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flccoc-my.sharepoint.com/personal/gkolchakian_flccoc_org/Documents/Desktop/"/>
    </mc:Choice>
  </mc:AlternateContent>
  <xr:revisionPtr revIDLastSave="53" documentId="8_{E836A291-D1BF-47DD-BEE5-60B490787A4A}" xr6:coauthVersionLast="47" xr6:coauthVersionMax="47" xr10:uidLastSave="{E16C1940-370B-4D81-94B1-27EE34120369}"/>
  <bookViews>
    <workbookView xWindow="28680" yWindow="-120" windowWidth="29040" windowHeight="15720" tabRatio="839" activeTab="3" xr2:uid="{39D73F0D-A1EC-44DD-B6C4-E13ACDFFE167}"/>
  </bookViews>
  <sheets>
    <sheet name="New Revenue Summary " sheetId="1" r:id="rId1"/>
    <sheet name="Alloc. Summary" sheetId="10" r:id="rId2"/>
    <sheet name="Issue Requests " sheetId="7" r:id="rId3"/>
    <sheet name="BUDGET CALCULATION" sheetId="2" r:id="rId4"/>
    <sheet name="WWM-CMA Alloc. Summary" sheetId="30" r:id="rId5"/>
    <sheet name="FRS Calc.   " sheetId="4" r:id="rId6"/>
    <sheet name="WWM Applied to 100% " sheetId="11" r:id="rId7"/>
    <sheet name="WWM-CMA Applied to 95%-5%" sheetId="28" r:id="rId8"/>
    <sheet name="Unspent Budgeted Funds (24-25)" sheetId="6" r:id="rId9"/>
    <sheet name="Cumulative Excess (24-25) " sheetId="5" r:id="rId10"/>
    <sheet name="WWM " sheetId="3" r:id="rId11"/>
    <sheet name="Revenue Projections " sheetId="12" r:id="rId12"/>
    <sheet name="Reduction Exercise " sheetId="23" r:id="rId13"/>
    <sheet name="Peer Group Comparison "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3" hidden="1">'BUDGET CALCULATION'!$A$1:$K$1</definedName>
    <definedName name="_xlnm._FilterDatabase" localSheetId="5" hidden="1">'FRS Calc.   '!$A$1:$E$309</definedName>
    <definedName name="_xlnm._FilterDatabase" localSheetId="2" hidden="1">'Issue Requests '!$A$1:$S$1</definedName>
    <definedName name="_xlnm._FilterDatabase" localSheetId="12" hidden="1">'Reduction Exercise '!$A$2:$F$2</definedName>
    <definedName name="_xlnm._FilterDatabase" localSheetId="11" hidden="1">'Revenue Projections '!$A$1:$C$1</definedName>
    <definedName name="_xlnm._FilterDatabase" localSheetId="8" hidden="1">'Unspent Budgeted Funds (24-25)'!$A$1:$M$1</definedName>
    <definedName name="_xlnm._FilterDatabase" localSheetId="10" hidden="1">'WWM '!$A$1:$G$1</definedName>
    <definedName name="_xlnm._FilterDatabase" localSheetId="6" hidden="1">'WWM Applied to 100% '!$A$2:$I$2</definedName>
    <definedName name="_xlnm._FilterDatabase" localSheetId="4" hidden="1">'WWM-CMA Alloc. Summary'!$A$4:$N$4</definedName>
    <definedName name="_xlnm._FilterDatabase" localSheetId="7" hidden="1">'WWM-CMA Applied to 95%-5%'!$A$2:$K$2</definedName>
    <definedName name="abc">#REF!</definedName>
    <definedName name="AdjEndorsement" localSheetId="6">#REF!</definedName>
    <definedName name="AdjEndorsement" localSheetId="7">#REF!</definedName>
    <definedName name="AdjEndorsement">#REF!</definedName>
    <definedName name="CertLetter" localSheetId="1">[1]SFY1920_JuryEstimateDetail!$A$4:$A$70</definedName>
    <definedName name="CertLetter" localSheetId="2">[1]SFY1920_JuryEstimateDetail!$A$4:$A$70</definedName>
    <definedName name="CertLetter" localSheetId="13">[1]SFY1920_JuryEstimateDetail!$A$4:$A$70</definedName>
    <definedName name="CertLetter" localSheetId="12">[1]SFY1920_JuryEstimateDetail!$A$4:$A$70</definedName>
    <definedName name="CertLetter" localSheetId="11">[1]SFY1920_JuryEstimateDetail!$A$4:$A$70</definedName>
    <definedName name="CertLetter" localSheetId="6">[1]SFY1920_JuryEstimateDetail!$A$4:$A$70</definedName>
    <definedName name="CertLetter" localSheetId="4">#REF!</definedName>
    <definedName name="CertLetter" localSheetId="7">[1]SFY1920_JuryEstimateDetail!$A$4:$A$70</definedName>
    <definedName name="CertLetter">[2]SFY1920_JuryEstimateDetail!$A$4:$A$70</definedName>
    <definedName name="ClerkDetail" localSheetId="1">[1]SFY1920_JuryEstimateDetail!$F$4:$AK$70</definedName>
    <definedName name="ClerkDetail" localSheetId="2">[1]SFY1920_JuryEstimateDetail!$F$4:$AK$70</definedName>
    <definedName name="ClerkDetail" localSheetId="13">[1]SFY1920_JuryEstimateDetail!$F$4:$AK$70</definedName>
    <definedName name="ClerkDetail" localSheetId="12">[1]SFY1920_JuryEstimateDetail!$F$4:$AK$70</definedName>
    <definedName name="ClerkDetail" localSheetId="11">[1]SFY1920_JuryEstimateDetail!$F$4:$AK$70</definedName>
    <definedName name="ClerkDetail" localSheetId="6">[1]SFY1920_JuryEstimateDetail!$F$4:$AK$70</definedName>
    <definedName name="ClerkDetail" localSheetId="4">#REF!</definedName>
    <definedName name="ClerkDetail" localSheetId="7">[1]SFY1920_JuryEstimateDetail!$F$4:$AK$70</definedName>
    <definedName name="ClerkDetail">[2]SFY1920_JuryEstimateDetail!$F$4:$AK$70</definedName>
    <definedName name="county" localSheetId="1">'[3]Cross-Walk'!$A$5:$G$71</definedName>
    <definedName name="county" localSheetId="2">'[3]Cross-Walk'!$A$5:$G$71</definedName>
    <definedName name="county" localSheetId="13">'[3]Cross-Walk'!$A$5:$G$71</definedName>
    <definedName name="county" localSheetId="12">'[3]Cross-Walk'!$A$5:$G$71</definedName>
    <definedName name="county" localSheetId="11">'[3]Cross-Walk'!$A$5:$G$71</definedName>
    <definedName name="county" localSheetId="6">'[3]Cross-Walk'!$A$5:$G$71</definedName>
    <definedName name="county" localSheetId="4">#REF!</definedName>
    <definedName name="county" localSheetId="7">'[3]Cross-Walk'!$A$5:$G$71</definedName>
    <definedName name="county">'[4]Cross-Walk'!$A$5:$G$71</definedName>
    <definedName name="county1" localSheetId="1">'[3]Cross-Walk_2_for Adjs'!$A$2:$E$68</definedName>
    <definedName name="county1" localSheetId="2">'[3]Cross-Walk_2_for Adjs'!$A$2:$E$68</definedName>
    <definedName name="county1" localSheetId="13">'[3]Cross-Walk_2_for Adjs'!$A$2:$E$68</definedName>
    <definedName name="county1" localSheetId="12">'[3]Cross-Walk_2_for Adjs'!$A$2:$E$68</definedName>
    <definedName name="county1" localSheetId="11">'[3]Cross-Walk_2_for Adjs'!$A$2:$E$68</definedName>
    <definedName name="county1" localSheetId="6">'[3]Cross-Walk_2_for Adjs'!$A$2:$E$68</definedName>
    <definedName name="county1" localSheetId="4">#REF!</definedName>
    <definedName name="county1" localSheetId="7">'[3]Cross-Walk_2_for Adjs'!$A$2:$E$68</definedName>
    <definedName name="county1">'[4]Cross-Walk_2_for Adjs'!$A$2:$E$68</definedName>
    <definedName name="dade" localSheetId="1">'[3]Cross-Walk'!$A$17:$G$17</definedName>
    <definedName name="dade" localSheetId="2">'[3]Cross-Walk'!$A$17:$G$17</definedName>
    <definedName name="dade" localSheetId="13">'[3]Cross-Walk'!$A$17:$G$17</definedName>
    <definedName name="dade" localSheetId="12">'[3]Cross-Walk'!$A$17:$G$17</definedName>
    <definedName name="dade" localSheetId="11">'[3]Cross-Walk'!$A$17:$G$17</definedName>
    <definedName name="dade" localSheetId="6">'[3]Cross-Walk'!$A$17:$G$17</definedName>
    <definedName name="dade" localSheetId="4">#REF!</definedName>
    <definedName name="dade" localSheetId="7">'[3]Cross-Walk'!$A$17:$G$17</definedName>
    <definedName name="dade">'[4]Cross-Walk'!$A$17:$G$17</definedName>
    <definedName name="dade1" localSheetId="1">'[3]Cross-Walk_2_for Adjs'!$A$14:$E$14</definedName>
    <definedName name="dade1" localSheetId="2">'[3]Cross-Walk_2_for Adjs'!$A$14:$E$14</definedName>
    <definedName name="dade1" localSheetId="13">'[3]Cross-Walk_2_for Adjs'!$A$14:$E$14</definedName>
    <definedName name="dade1" localSheetId="12">'[3]Cross-Walk_2_for Adjs'!$A$14:$E$14</definedName>
    <definedName name="dade1" localSheetId="11">'[3]Cross-Walk_2_for Adjs'!$A$14:$E$14</definedName>
    <definedName name="dade1" localSheetId="6">'[3]Cross-Walk_2_for Adjs'!$A$14:$E$14</definedName>
    <definedName name="dade1" localSheetId="4">#REF!</definedName>
    <definedName name="dade1" localSheetId="7">'[3]Cross-Walk_2_for Adjs'!$A$14:$E$14</definedName>
    <definedName name="dade1">'[4]Cross-Walk_2_for Adjs'!$A$14:$E$14</definedName>
    <definedName name="dynamic_c" localSheetId="6">#REF!</definedName>
    <definedName name="dynamic_c" localSheetId="7">#REF!</definedName>
    <definedName name="dynamic_c">#REF!</definedName>
    <definedName name="InsufficientAmount" localSheetId="1">[5]Estimate!$F$55</definedName>
    <definedName name="InsufficientAmount" localSheetId="2">[5]Estimate!$F$55</definedName>
    <definedName name="InsufficientAmount" localSheetId="13">[5]Estimate!$F$55</definedName>
    <definedName name="InsufficientAmount" localSheetId="12">[5]Estimate!$F$55</definedName>
    <definedName name="InsufficientAmount" localSheetId="11">[5]Estimate!$F$55</definedName>
    <definedName name="InsufficientAmount" localSheetId="6">[5]Estimate!$F$55</definedName>
    <definedName name="InsufficientAmount" localSheetId="4">#REF!</definedName>
    <definedName name="InsufficientAmount" localSheetId="7">[5]Estimate!$F$55</definedName>
    <definedName name="InsufficientAmount">[6]Estimate!$F$55</definedName>
    <definedName name="JuryForm" localSheetId="1">[1]SFY1920_JuryEstimateDetail!$B$4:$B$70</definedName>
    <definedName name="JuryForm" localSheetId="2">[1]SFY1920_JuryEstimateDetail!$B$4:$B$70</definedName>
    <definedName name="JuryForm" localSheetId="13">[1]SFY1920_JuryEstimateDetail!$B$4:$B$70</definedName>
    <definedName name="JuryForm" localSheetId="12">[1]SFY1920_JuryEstimateDetail!$B$4:$B$70</definedName>
    <definedName name="JuryForm" localSheetId="11">[1]SFY1920_JuryEstimateDetail!$B$4:$B$70</definedName>
    <definedName name="JuryForm" localSheetId="6">[1]SFY1920_JuryEstimateDetail!$B$4:$B$70</definedName>
    <definedName name="JuryForm" localSheetId="4">#REF!</definedName>
    <definedName name="JuryForm" localSheetId="7">[1]SFY1920_JuryEstimateDetail!$B$4:$B$70</definedName>
    <definedName name="JuryForm">[2]SFY1920_JuryEstimateDetail!$B$4:$B$70</definedName>
    <definedName name="Peer_Group" localSheetId="1">'[7]Cost per WC'!$A$76:$B$83</definedName>
    <definedName name="Peer_Group" localSheetId="2">'[7]Cost per WC'!$A$76:$B$83</definedName>
    <definedName name="Peer_Group" localSheetId="13">'[7]Cost per WC'!$A$76:$B$83</definedName>
    <definedName name="Peer_Group" localSheetId="12">'[7]Cost per WC'!$A$76:$B$83</definedName>
    <definedName name="Peer_Group" localSheetId="11">'[7]Cost per WC'!$A$76:$B$83</definedName>
    <definedName name="Peer_Group" localSheetId="6">'[7]Cost per WC'!$A$76:$B$83</definedName>
    <definedName name="Peer_Group" localSheetId="7">'[7]Cost per WC'!$A$76:$B$83</definedName>
    <definedName name="Peer_Group">'[8]Cost per WC'!$A$76:$B$83</definedName>
    <definedName name="_xlnm.Print_Area" localSheetId="3">'BUDGET CALCULATION'!$A$1:$K$77</definedName>
    <definedName name="_xlnm.Print_Area" localSheetId="9">'Cumulative Excess (24-25) '!$A$1:$B$2</definedName>
    <definedName name="_xlnm.Print_Area" localSheetId="0">'New Revenue Summary '!$A$1:$B$30</definedName>
    <definedName name="_xlnm.Print_Area" localSheetId="10">'WWM '!$A$1:$E$76</definedName>
    <definedName name="_xlnm.Print_Titles" localSheetId="3">'BUDGET CALCULATION'!$A:$B,'BUDGET CALCULATION'!$1:$1</definedName>
    <definedName name="_xlnm.Print_Titles" localSheetId="2">'Issue Requests '!$A:$B,'Issue Requests '!$1:$1</definedName>
    <definedName name="_xlnm.Print_Titles" localSheetId="13">'Peer Group Comparison '!$1:$2</definedName>
    <definedName name="_xlnm.Print_Titles" localSheetId="12">'Reduction Exercise '!$A:$B,'Reduction Exercise '!$2:$2</definedName>
    <definedName name="_xlnm.Print_Titles" localSheetId="8">'Unspent Budgeted Funds (24-25)'!$1:$1</definedName>
    <definedName name="_xlnm.Print_Titles" localSheetId="10">'WWM '!$A:$B,'WWM '!$1:$1</definedName>
    <definedName name="_xlnm.Print_Titles" localSheetId="6">'WWM Applied to 100% '!$A:$B,'WWM Applied to 100% '!$2:$2</definedName>
    <definedName name="_xlnm.Print_Titles" localSheetId="7">'WWM-CMA Applied to 95%-5%'!$A:$B,'WWM-CMA Applied to 95%-5%'!$2:$2</definedName>
    <definedName name="Q1SFY1617" localSheetId="6">#REF!</definedName>
    <definedName name="Q1SFY1617" localSheetId="7">#REF!</definedName>
    <definedName name="Q1SFY1617">#REF!</definedName>
    <definedName name="Remove">#REF!</definedName>
    <definedName name="REmove2">#REF!</definedName>
    <definedName name="solver_eng" localSheetId="8" hidden="1">1</definedName>
    <definedName name="solver_neg" localSheetId="8" hidden="1">1</definedName>
    <definedName name="solver_num" localSheetId="8" hidden="1">0</definedName>
    <definedName name="solver_opt" localSheetId="8" hidden="1">'Unspent Budgeted Funds (24-25)'!$I$60</definedName>
    <definedName name="solver_typ" localSheetId="8" hidden="1">1</definedName>
    <definedName name="solver_val" localSheetId="8" hidden="1">0</definedName>
    <definedName name="solver_ver" localSheetId="8" hidden="1">3</definedName>
    <definedName name="UnExpendedAmount" localSheetId="1">[5]Estimate!$F$52</definedName>
    <definedName name="UnExpendedAmount" localSheetId="2">[5]Estimate!$F$52</definedName>
    <definedName name="UnExpendedAmount" localSheetId="13">[5]Estimate!$F$52</definedName>
    <definedName name="UnExpendedAmount" localSheetId="12">[5]Estimate!$F$52</definedName>
    <definedName name="UnExpendedAmount" localSheetId="11">[5]Estimate!$F$52</definedName>
    <definedName name="UnExpendedAmount" localSheetId="6">[5]Estimate!$F$52</definedName>
    <definedName name="UnExpendedAmount" localSheetId="4">#REF!</definedName>
    <definedName name="UnExpendedAmount" localSheetId="7">[5]Estimate!$F$52</definedName>
    <definedName name="UnExpendedAmount">[6]Estimate!$F$52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3" i="30" l="1"/>
  <c r="K63" i="30" s="1"/>
  <c r="G73" i="30"/>
  <c r="H56" i="30" s="1"/>
  <c r="D73" i="30"/>
  <c r="C73" i="30"/>
  <c r="M2" i="30"/>
  <c r="L3" i="30" s="1"/>
  <c r="E3" i="30"/>
  <c r="E29" i="30" s="1"/>
  <c r="K11" i="30" l="1"/>
  <c r="H11" i="30"/>
  <c r="K13" i="30"/>
  <c r="K30" i="30"/>
  <c r="H48" i="30"/>
  <c r="K56" i="30"/>
  <c r="K5" i="30"/>
  <c r="K22" i="30"/>
  <c r="H40" i="30"/>
  <c r="K48" i="30"/>
  <c r="K65" i="30"/>
  <c r="H6" i="30"/>
  <c r="K14" i="30"/>
  <c r="H23" i="30"/>
  <c r="H32" i="30"/>
  <c r="K40" i="30"/>
  <c r="H49" i="30"/>
  <c r="K57" i="30"/>
  <c r="H66" i="30"/>
  <c r="H22" i="30"/>
  <c r="H39" i="30"/>
  <c r="H65" i="30"/>
  <c r="H14" i="30"/>
  <c r="H31" i="30"/>
  <c r="H57" i="30"/>
  <c r="K6" i="30"/>
  <c r="H15" i="30"/>
  <c r="H24" i="30"/>
  <c r="K32" i="30"/>
  <c r="H41" i="30"/>
  <c r="K49" i="30"/>
  <c r="H58" i="30"/>
  <c r="K66" i="30"/>
  <c r="H7" i="30"/>
  <c r="H16" i="30"/>
  <c r="K24" i="30"/>
  <c r="H33" i="30"/>
  <c r="K41" i="30"/>
  <c r="H50" i="30"/>
  <c r="K58" i="30"/>
  <c r="H67" i="30"/>
  <c r="H59" i="30"/>
  <c r="K67" i="30"/>
  <c r="H5" i="30"/>
  <c r="H8" i="30"/>
  <c r="K16" i="30"/>
  <c r="H25" i="30"/>
  <c r="K33" i="30"/>
  <c r="H42" i="30"/>
  <c r="K50" i="30"/>
  <c r="K8" i="30"/>
  <c r="H17" i="30"/>
  <c r="K25" i="30"/>
  <c r="H34" i="30"/>
  <c r="K42" i="30"/>
  <c r="H51" i="30"/>
  <c r="K59" i="30"/>
  <c r="H68" i="30"/>
  <c r="H9" i="30"/>
  <c r="K17" i="30"/>
  <c r="H26" i="30"/>
  <c r="K34" i="30"/>
  <c r="H43" i="30"/>
  <c r="K51" i="30"/>
  <c r="H60" i="30"/>
  <c r="K68" i="30"/>
  <c r="H69" i="30"/>
  <c r="H18" i="30"/>
  <c r="H35" i="30"/>
  <c r="H52" i="30"/>
  <c r="K60" i="30"/>
  <c r="H10" i="30"/>
  <c r="K18" i="30"/>
  <c r="H27" i="30"/>
  <c r="K35" i="30"/>
  <c r="H44" i="30"/>
  <c r="K52" i="30"/>
  <c r="H61" i="30"/>
  <c r="K69" i="30"/>
  <c r="K10" i="30"/>
  <c r="H19" i="30"/>
  <c r="K27" i="30"/>
  <c r="H36" i="30"/>
  <c r="K44" i="30"/>
  <c r="H53" i="30"/>
  <c r="K61" i="30"/>
  <c r="H70" i="30"/>
  <c r="K70" i="30"/>
  <c r="H71" i="30"/>
  <c r="K9" i="30"/>
  <c r="K26" i="30"/>
  <c r="K43" i="30"/>
  <c r="K19" i="30"/>
  <c r="H28" i="30"/>
  <c r="K36" i="30"/>
  <c r="H45" i="30"/>
  <c r="H62" i="30"/>
  <c r="H20" i="30"/>
  <c r="K28" i="30"/>
  <c r="H37" i="30"/>
  <c r="K45" i="30"/>
  <c r="H54" i="30"/>
  <c r="K62" i="30"/>
  <c r="H12" i="30"/>
  <c r="K20" i="30"/>
  <c r="H29" i="30"/>
  <c r="K37" i="30"/>
  <c r="H46" i="30"/>
  <c r="K54" i="30"/>
  <c r="H63" i="30"/>
  <c r="K71" i="30"/>
  <c r="K53" i="30"/>
  <c r="K12" i="30"/>
  <c r="H21" i="30"/>
  <c r="K29" i="30"/>
  <c r="H38" i="30"/>
  <c r="K46" i="30"/>
  <c r="H55" i="30"/>
  <c r="H64" i="30"/>
  <c r="H13" i="30"/>
  <c r="K21" i="30"/>
  <c r="H30" i="30"/>
  <c r="K38" i="30"/>
  <c r="H47" i="30"/>
  <c r="K64" i="30"/>
  <c r="I3" i="30"/>
  <c r="E37" i="30"/>
  <c r="E49" i="30"/>
  <c r="E41" i="30"/>
  <c r="E25" i="30"/>
  <c r="E17" i="30"/>
  <c r="E44" i="30"/>
  <c r="E36" i="30"/>
  <c r="E28" i="30"/>
  <c r="E20" i="30"/>
  <c r="E12" i="30"/>
  <c r="E15" i="30"/>
  <c r="E7" i="30"/>
  <c r="E18" i="30"/>
  <c r="E45" i="30"/>
  <c r="E58" i="30"/>
  <c r="E50" i="30"/>
  <c r="E42" i="30"/>
  <c r="E34" i="30"/>
  <c r="E26" i="30"/>
  <c r="E10" i="30"/>
  <c r="E61" i="30"/>
  <c r="E53" i="30"/>
  <c r="E69" i="30"/>
  <c r="E56" i="30"/>
  <c r="E48" i="30"/>
  <c r="E40" i="30"/>
  <c r="E32" i="30"/>
  <c r="E24" i="30"/>
  <c r="E16" i="30"/>
  <c r="E8" i="30"/>
  <c r="E51" i="30"/>
  <c r="E43" i="30"/>
  <c r="E27" i="30"/>
  <c r="E19" i="30"/>
  <c r="E67" i="30"/>
  <c r="E59" i="30"/>
  <c r="E35" i="30"/>
  <c r="E11" i="30"/>
  <c r="E14" i="30"/>
  <c r="E6" i="30"/>
  <c r="E65" i="30"/>
  <c r="E57" i="30"/>
  <c r="E33" i="30"/>
  <c r="E9" i="30"/>
  <c r="E13" i="30"/>
  <c r="E21" i="30"/>
  <c r="E5" i="30"/>
  <c r="E68" i="30"/>
  <c r="K7" i="30"/>
  <c r="K15" i="30"/>
  <c r="E22" i="30"/>
  <c r="K23" i="30"/>
  <c r="E30" i="30"/>
  <c r="K31" i="30"/>
  <c r="E38" i="30"/>
  <c r="K39" i="30"/>
  <c r="E46" i="30"/>
  <c r="K47" i="30"/>
  <c r="E54" i="30"/>
  <c r="K55" i="30"/>
  <c r="E62" i="30"/>
  <c r="E70" i="30"/>
  <c r="E64" i="30"/>
  <c r="E66" i="30"/>
  <c r="E23" i="30"/>
  <c r="E31" i="30"/>
  <c r="E39" i="30"/>
  <c r="E47" i="30"/>
  <c r="E55" i="30"/>
  <c r="E63" i="30"/>
  <c r="E71" i="30"/>
  <c r="E52" i="30"/>
  <c r="E60" i="30"/>
  <c r="G3" i="30" l="1"/>
  <c r="H73" i="30"/>
  <c r="I19" i="30" s="1"/>
  <c r="J3" i="30"/>
  <c r="I10" i="30"/>
  <c r="I28" i="30"/>
  <c r="I62" i="30"/>
  <c r="I61" i="30"/>
  <c r="I55" i="30"/>
  <c r="I54" i="30"/>
  <c r="I51" i="30"/>
  <c r="I6" i="30"/>
  <c r="I52" i="30"/>
  <c r="K73" i="30"/>
  <c r="L55" i="30" s="1"/>
  <c r="E73" i="30"/>
  <c r="I35" i="30"/>
  <c r="I11" i="30"/>
  <c r="I30" i="30"/>
  <c r="I39" i="30" l="1"/>
  <c r="I15" i="30"/>
  <c r="I44" i="30"/>
  <c r="I33" i="30"/>
  <c r="I43" i="30"/>
  <c r="I23" i="30"/>
  <c r="I31" i="30"/>
  <c r="I50" i="30"/>
  <c r="I36" i="30"/>
  <c r="I32" i="30"/>
  <c r="I53" i="30"/>
  <c r="I70" i="30"/>
  <c r="I63" i="30"/>
  <c r="I14" i="30"/>
  <c r="I59" i="30"/>
  <c r="I24" i="30"/>
  <c r="I42" i="30"/>
  <c r="I20" i="30"/>
  <c r="I5" i="30"/>
  <c r="I29" i="30"/>
  <c r="I46" i="30"/>
  <c r="I18" i="30"/>
  <c r="I65" i="30"/>
  <c r="I68" i="30"/>
  <c r="I56" i="30"/>
  <c r="I27" i="30"/>
  <c r="I66" i="30"/>
  <c r="I12" i="30"/>
  <c r="I45" i="30"/>
  <c r="I71" i="30"/>
  <c r="I49" i="30"/>
  <c r="I67" i="30"/>
  <c r="I34" i="30"/>
  <c r="I58" i="30"/>
  <c r="I60" i="30"/>
  <c r="I47" i="30"/>
  <c r="I17" i="30"/>
  <c r="I22" i="30"/>
  <c r="I69" i="30"/>
  <c r="I8" i="30"/>
  <c r="I37" i="30"/>
  <c r="I16" i="30"/>
  <c r="I21" i="30"/>
  <c r="I48" i="30"/>
  <c r="I7" i="30"/>
  <c r="I25" i="30"/>
  <c r="I9" i="30"/>
  <c r="I26" i="30"/>
  <c r="I57" i="30"/>
  <c r="I13" i="30"/>
  <c r="I64" i="30"/>
  <c r="I40" i="30"/>
  <c r="I38" i="30"/>
  <c r="I41" i="30"/>
  <c r="L23" i="30"/>
  <c r="M23" i="30" s="1"/>
  <c r="N23" i="30" s="1"/>
  <c r="L15" i="30"/>
  <c r="M15" i="30" s="1"/>
  <c r="N15" i="30" s="1"/>
  <c r="L39" i="30"/>
  <c r="M39" i="30" s="1"/>
  <c r="N39" i="30" s="1"/>
  <c r="M55" i="30"/>
  <c r="N55" i="30" s="1"/>
  <c r="L17" i="30"/>
  <c r="L41" i="30"/>
  <c r="L49" i="30"/>
  <c r="L30" i="30"/>
  <c r="M30" i="30" s="1"/>
  <c r="N30" i="30" s="1"/>
  <c r="L12" i="30"/>
  <c r="M12" i="30" s="1"/>
  <c r="N12" i="30" s="1"/>
  <c r="L58" i="30"/>
  <c r="L50" i="30"/>
  <c r="L52" i="30"/>
  <c r="M52" i="30" s="1"/>
  <c r="N52" i="30" s="1"/>
  <c r="L25" i="30"/>
  <c r="L24" i="30"/>
  <c r="L29" i="30"/>
  <c r="M29" i="30" s="1"/>
  <c r="N29" i="30" s="1"/>
  <c r="L69" i="30"/>
  <c r="L36" i="30"/>
  <c r="L13" i="30"/>
  <c r="L26" i="30"/>
  <c r="L38" i="30"/>
  <c r="L21" i="30"/>
  <c r="M21" i="30" s="1"/>
  <c r="N21" i="30" s="1"/>
  <c r="L42" i="30"/>
  <c r="M42" i="30" s="1"/>
  <c r="N42" i="30" s="1"/>
  <c r="L57" i="30"/>
  <c r="L33" i="30"/>
  <c r="M33" i="30" s="1"/>
  <c r="N33" i="30" s="1"/>
  <c r="L61" i="30"/>
  <c r="M61" i="30" s="1"/>
  <c r="N61" i="30" s="1"/>
  <c r="L5" i="30"/>
  <c r="L11" i="30"/>
  <c r="M11" i="30" s="1"/>
  <c r="N11" i="30" s="1"/>
  <c r="L6" i="30"/>
  <c r="M6" i="30" s="1"/>
  <c r="N6" i="30" s="1"/>
  <c r="L70" i="30"/>
  <c r="L59" i="30"/>
  <c r="L64" i="30"/>
  <c r="M64" i="30" s="1"/>
  <c r="N64" i="30" s="1"/>
  <c r="L19" i="30"/>
  <c r="M19" i="30" s="1"/>
  <c r="N19" i="30" s="1"/>
  <c r="L10" i="30"/>
  <c r="M10" i="30" s="1"/>
  <c r="N10" i="30" s="1"/>
  <c r="L35" i="30"/>
  <c r="M35" i="30" s="1"/>
  <c r="N35" i="30" s="1"/>
  <c r="L22" i="30"/>
  <c r="L51" i="30"/>
  <c r="M51" i="30" s="1"/>
  <c r="N51" i="30" s="1"/>
  <c r="L8" i="30"/>
  <c r="M8" i="30" s="1"/>
  <c r="N8" i="30" s="1"/>
  <c r="L28" i="30"/>
  <c r="M28" i="30" s="1"/>
  <c r="N28" i="30" s="1"/>
  <c r="L14" i="30"/>
  <c r="L32" i="30"/>
  <c r="M32" i="30" s="1"/>
  <c r="N32" i="30" s="1"/>
  <c r="L44" i="30"/>
  <c r="M44" i="30" s="1"/>
  <c r="N44" i="30" s="1"/>
  <c r="L45" i="30"/>
  <c r="M45" i="30" s="1"/>
  <c r="N45" i="30" s="1"/>
  <c r="L9" i="30"/>
  <c r="L62" i="30"/>
  <c r="M62" i="30" s="1"/>
  <c r="N62" i="30" s="1"/>
  <c r="L56" i="30"/>
  <c r="L65" i="30"/>
  <c r="L18" i="30"/>
  <c r="L71" i="30"/>
  <c r="L66" i="30"/>
  <c r="L34" i="30"/>
  <c r="L63" i="30"/>
  <c r="L40" i="30"/>
  <c r="L16" i="30"/>
  <c r="M16" i="30" s="1"/>
  <c r="N16" i="30" s="1"/>
  <c r="L48" i="30"/>
  <c r="M48" i="30" s="1"/>
  <c r="N48" i="30" s="1"/>
  <c r="L27" i="30"/>
  <c r="M27" i="30" s="1"/>
  <c r="N27" i="30" s="1"/>
  <c r="L37" i="30"/>
  <c r="M37" i="30" s="1"/>
  <c r="N37" i="30" s="1"/>
  <c r="L46" i="30"/>
  <c r="M46" i="30" s="1"/>
  <c r="N46" i="30" s="1"/>
  <c r="L68" i="30"/>
  <c r="M68" i="30" s="1"/>
  <c r="N68" i="30" s="1"/>
  <c r="L60" i="30"/>
  <c r="L53" i="30"/>
  <c r="L67" i="30"/>
  <c r="L43" i="30"/>
  <c r="M43" i="30" s="1"/>
  <c r="N43" i="30" s="1"/>
  <c r="L20" i="30"/>
  <c r="M20" i="30" s="1"/>
  <c r="N20" i="30" s="1"/>
  <c r="L54" i="30"/>
  <c r="M54" i="30" s="1"/>
  <c r="N54" i="30" s="1"/>
  <c r="L7" i="30"/>
  <c r="L47" i="30"/>
  <c r="L31" i="30"/>
  <c r="M31" i="30" s="1"/>
  <c r="N31" i="30" s="1"/>
  <c r="M63" i="30" l="1"/>
  <c r="N63" i="30" s="1"/>
  <c r="M36" i="30"/>
  <c r="N36" i="30" s="1"/>
  <c r="M18" i="30"/>
  <c r="N18" i="30" s="1"/>
  <c r="M59" i="30"/>
  <c r="N59" i="30" s="1"/>
  <c r="M70" i="30"/>
  <c r="N70" i="30" s="1"/>
  <c r="M25" i="30"/>
  <c r="N25" i="30" s="1"/>
  <c r="M24" i="30"/>
  <c r="N24" i="30" s="1"/>
  <c r="M14" i="30"/>
  <c r="N14" i="30" s="1"/>
  <c r="M65" i="30"/>
  <c r="N65" i="30" s="1"/>
  <c r="M67" i="30"/>
  <c r="N67" i="30" s="1"/>
  <c r="M56" i="30"/>
  <c r="N56" i="30" s="1"/>
  <c r="M53" i="30"/>
  <c r="N53" i="30" s="1"/>
  <c r="M9" i="30"/>
  <c r="N9" i="30" s="1"/>
  <c r="M50" i="30"/>
  <c r="N50" i="30" s="1"/>
  <c r="I73" i="30"/>
  <c r="M66" i="30"/>
  <c r="N66" i="30" s="1"/>
  <c r="M71" i="30"/>
  <c r="N71" i="30" s="1"/>
  <c r="M69" i="30"/>
  <c r="N69" i="30" s="1"/>
  <c r="M57" i="30"/>
  <c r="N57" i="30" s="1"/>
  <c r="M49" i="30"/>
  <c r="N49" i="30" s="1"/>
  <c r="M41" i="30"/>
  <c r="N41" i="30" s="1"/>
  <c r="M17" i="30"/>
  <c r="N17" i="30" s="1"/>
  <c r="M60" i="30"/>
  <c r="N60" i="30" s="1"/>
  <c r="M38" i="30"/>
  <c r="N38" i="30" s="1"/>
  <c r="M58" i="30"/>
  <c r="N58" i="30" s="1"/>
  <c r="M40" i="30"/>
  <c r="N40" i="30" s="1"/>
  <c r="M47" i="30"/>
  <c r="N47" i="30" s="1"/>
  <c r="M22" i="30"/>
  <c r="N22" i="30" s="1"/>
  <c r="M26" i="30"/>
  <c r="N26" i="30" s="1"/>
  <c r="M13" i="30"/>
  <c r="N13" i="30" s="1"/>
  <c r="M34" i="30"/>
  <c r="N34" i="30" s="1"/>
  <c r="M7" i="30"/>
  <c r="N7" i="30" s="1"/>
  <c r="L73" i="30"/>
  <c r="M5" i="30"/>
  <c r="N5" i="30" s="1"/>
  <c r="M73" i="30" l="1"/>
  <c r="M3" i="30"/>
  <c r="N73" i="30"/>
  <c r="H70" i="2" l="1"/>
  <c r="F70" i="2"/>
  <c r="G68" i="2"/>
  <c r="G22" i="2"/>
  <c r="G21" i="2"/>
  <c r="G19" i="2"/>
  <c r="G15" i="2"/>
  <c r="G64" i="2"/>
  <c r="G39" i="2"/>
  <c r="G34" i="2"/>
  <c r="E3" i="28" l="1"/>
  <c r="E4" i="28"/>
  <c r="E5" i="28"/>
  <c r="E6" i="28"/>
  <c r="E7" i="28"/>
  <c r="E8" i="28"/>
  <c r="E9" i="28"/>
  <c r="E10" i="28"/>
  <c r="E11" i="28"/>
  <c r="E12" i="28"/>
  <c r="E13" i="28"/>
  <c r="E14" i="28"/>
  <c r="E15" i="28"/>
  <c r="E16"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E53" i="28"/>
  <c r="E54" i="28"/>
  <c r="E55" i="28"/>
  <c r="E56" i="28"/>
  <c r="E57" i="28"/>
  <c r="E58" i="28"/>
  <c r="E59" i="28"/>
  <c r="E60" i="28"/>
  <c r="E61" i="28"/>
  <c r="E62" i="28"/>
  <c r="E63" i="28"/>
  <c r="E64" i="28"/>
  <c r="E65" i="28"/>
  <c r="E66" i="28"/>
  <c r="E67" i="28"/>
  <c r="E68" i="28"/>
  <c r="E69" i="28"/>
  <c r="G71" i="28" l="1"/>
  <c r="D71" i="28" l="1"/>
  <c r="C71" i="28"/>
  <c r="E71" i="28" l="1"/>
  <c r="D1" i="28"/>
  <c r="F1" i="28" s="1"/>
  <c r="F27" i="28" l="1"/>
  <c r="F68" i="28"/>
  <c r="F20" i="28"/>
  <c r="H20" i="28" s="1"/>
  <c r="J20" i="28" s="1"/>
  <c r="K20" i="28" s="1"/>
  <c r="F36" i="28"/>
  <c r="H36" i="28" s="1"/>
  <c r="F12" i="28"/>
  <c r="H12" i="28" s="1"/>
  <c r="I12" i="28" s="1"/>
  <c r="F57" i="28"/>
  <c r="H57" i="28" s="1"/>
  <c r="J57" i="28" s="1"/>
  <c r="K57" i="28" s="1"/>
  <c r="F6" i="28"/>
  <c r="H6" i="28" s="1"/>
  <c r="F62" i="28"/>
  <c r="H62" i="28" s="1"/>
  <c r="J62" i="28" s="1"/>
  <c r="K62" i="28" s="1"/>
  <c r="F29" i="28"/>
  <c r="H29" i="28" s="1"/>
  <c r="I29" i="28" s="1"/>
  <c r="F67" i="28"/>
  <c r="H67" i="28" s="1"/>
  <c r="J67" i="28" s="1"/>
  <c r="K67" i="28" s="1"/>
  <c r="F35" i="28"/>
  <c r="H35" i="28" s="1"/>
  <c r="J35" i="28" s="1"/>
  <c r="K35" i="28" s="1"/>
  <c r="F37" i="28"/>
  <c r="H37" i="28" s="1"/>
  <c r="F24" i="28"/>
  <c r="H24" i="28" s="1"/>
  <c r="J24" i="28" s="1"/>
  <c r="K24" i="28" s="1"/>
  <c r="F30" i="28"/>
  <c r="H30" i="28" s="1"/>
  <c r="J30" i="28" s="1"/>
  <c r="K30" i="28" s="1"/>
  <c r="F22" i="28"/>
  <c r="H22" i="28" s="1"/>
  <c r="I22" i="28" s="1"/>
  <c r="F9" i="28"/>
  <c r="H9" i="28" s="1"/>
  <c r="F60" i="28"/>
  <c r="F51" i="28"/>
  <c r="H51" i="28" s="1"/>
  <c r="F14" i="28"/>
  <c r="H14" i="28" s="1"/>
  <c r="F65" i="28"/>
  <c r="H65" i="28" s="1"/>
  <c r="J65" i="28" s="1"/>
  <c r="K65" i="28" s="1"/>
  <c r="F53" i="28"/>
  <c r="H53" i="28" s="1"/>
  <c r="J53" i="28" s="1"/>
  <c r="K53" i="28" s="1"/>
  <c r="F69" i="28"/>
  <c r="H69" i="28" s="1"/>
  <c r="I69" i="28" s="1"/>
  <c r="F18" i="28"/>
  <c r="H18" i="28" s="1"/>
  <c r="F23" i="28"/>
  <c r="H23" i="28" s="1"/>
  <c r="I23" i="28" s="1"/>
  <c r="F63" i="28"/>
  <c r="H63" i="28" s="1"/>
  <c r="F44" i="28"/>
  <c r="H44" i="28" s="1"/>
  <c r="F52" i="28"/>
  <c r="H52" i="28" s="1"/>
  <c r="F7" i="28"/>
  <c r="H7" i="28" s="1"/>
  <c r="J7" i="28" s="1"/>
  <c r="K7" i="28" s="1"/>
  <c r="F55" i="28"/>
  <c r="H55" i="28" s="1"/>
  <c r="J55" i="28" s="1"/>
  <c r="K55" i="28" s="1"/>
  <c r="F66" i="28"/>
  <c r="H66" i="28" s="1"/>
  <c r="J66" i="28" s="1"/>
  <c r="K66" i="28" s="1"/>
  <c r="F17" i="28"/>
  <c r="H17" i="28" s="1"/>
  <c r="J17" i="28" s="1"/>
  <c r="K17" i="28" s="1"/>
  <c r="F46" i="28"/>
  <c r="H46" i="28" s="1"/>
  <c r="I46" i="28" s="1"/>
  <c r="F59" i="28"/>
  <c r="H59" i="28" s="1"/>
  <c r="F58" i="28"/>
  <c r="F48" i="28"/>
  <c r="H48" i="28" s="1"/>
  <c r="F50" i="28"/>
  <c r="H50" i="28" s="1"/>
  <c r="J50" i="28" s="1"/>
  <c r="K50" i="28" s="1"/>
  <c r="F47" i="28"/>
  <c r="H47" i="28" s="1"/>
  <c r="J47" i="28" s="1"/>
  <c r="K47" i="28" s="1"/>
  <c r="F5" i="28"/>
  <c r="H5" i="28" s="1"/>
  <c r="I5" i="28" s="1"/>
  <c r="F41" i="28"/>
  <c r="H41" i="28" s="1"/>
  <c r="J41" i="28" s="1"/>
  <c r="K41" i="28" s="1"/>
  <c r="F8" i="28"/>
  <c r="H8" i="28" s="1"/>
  <c r="F43" i="28"/>
  <c r="H43" i="28" s="1"/>
  <c r="F3" i="28"/>
  <c r="H3" i="28" s="1"/>
  <c r="I3" i="28" s="1"/>
  <c r="F54" i="28"/>
  <c r="H54" i="28" s="1"/>
  <c r="J54" i="28" s="1"/>
  <c r="K54" i="28" s="1"/>
  <c r="F45" i="28"/>
  <c r="H45" i="28" s="1"/>
  <c r="F25" i="28"/>
  <c r="H25" i="28" s="1"/>
  <c r="G1" i="28"/>
  <c r="F42" i="28"/>
  <c r="H42" i="28" s="1"/>
  <c r="I42" i="28" s="1"/>
  <c r="F56" i="28"/>
  <c r="H56" i="28" s="1"/>
  <c r="J56" i="28" s="1"/>
  <c r="K56" i="28" s="1"/>
  <c r="F13" i="28"/>
  <c r="F32" i="28"/>
  <c r="H32" i="28" s="1"/>
  <c r="I32" i="28" s="1"/>
  <c r="F40" i="28"/>
  <c r="H40" i="28" s="1"/>
  <c r="F26" i="28"/>
  <c r="H26" i="28" s="1"/>
  <c r="J26" i="28" s="1"/>
  <c r="K26" i="28" s="1"/>
  <c r="F39" i="28"/>
  <c r="H39" i="28" s="1"/>
  <c r="F21" i="28"/>
  <c r="H21" i="28" s="1"/>
  <c r="F4" i="28"/>
  <c r="H4" i="28" s="1"/>
  <c r="I4" i="28" s="1"/>
  <c r="F34" i="28"/>
  <c r="H34" i="28" s="1"/>
  <c r="F33" i="28"/>
  <c r="H33" i="28" s="1"/>
  <c r="F19" i="28"/>
  <c r="H19" i="28" s="1"/>
  <c r="J19" i="28" s="1"/>
  <c r="K19" i="28" s="1"/>
  <c r="F49" i="28"/>
  <c r="H49" i="28" s="1"/>
  <c r="J49" i="28" s="1"/>
  <c r="K49" i="28" s="1"/>
  <c r="F38" i="28"/>
  <c r="H38" i="28" s="1"/>
  <c r="F15" i="28"/>
  <c r="H15" i="28" s="1"/>
  <c r="H27" i="28"/>
  <c r="H60" i="28"/>
  <c r="J12" i="28"/>
  <c r="K12" i="28" s="1"/>
  <c r="J32" i="28"/>
  <c r="K32" i="28" s="1"/>
  <c r="J59" i="28"/>
  <c r="K59" i="28" s="1"/>
  <c r="I59" i="28"/>
  <c r="I39" i="28"/>
  <c r="J39" i="28"/>
  <c r="K39" i="28" s="1"/>
  <c r="H13" i="28"/>
  <c r="J69" i="28"/>
  <c r="K69" i="28" s="1"/>
  <c r="J14" i="28"/>
  <c r="K14" i="28" s="1"/>
  <c r="I14" i="28"/>
  <c r="J40" i="28"/>
  <c r="K40" i="28" s="1"/>
  <c r="I40" i="28"/>
  <c r="H68" i="28"/>
  <c r="H58" i="28"/>
  <c r="J23" i="28"/>
  <c r="K23" i="28" s="1"/>
  <c r="F31" i="28"/>
  <c r="H31" i="28" s="1"/>
  <c r="F64" i="28"/>
  <c r="H64" i="28" s="1"/>
  <c r="F28" i="28"/>
  <c r="F61" i="28"/>
  <c r="J48" i="28"/>
  <c r="K48" i="28" s="1"/>
  <c r="I48" i="28"/>
  <c r="I50" i="28"/>
  <c r="I20" i="28"/>
  <c r="J51" i="28"/>
  <c r="K51" i="28" s="1"/>
  <c r="I51" i="28"/>
  <c r="F11" i="28"/>
  <c r="H11" i="28" s="1"/>
  <c r="F10" i="28"/>
  <c r="H10" i="28" s="1"/>
  <c r="F16" i="28"/>
  <c r="J5" i="28" l="1"/>
  <c r="K5" i="28" s="1"/>
  <c r="J29" i="28"/>
  <c r="K29" i="28" s="1"/>
  <c r="I62" i="28"/>
  <c r="I53" i="28"/>
  <c r="I67" i="28"/>
  <c r="J3" i="28"/>
  <c r="K3" i="28" s="1"/>
  <c r="I57" i="28"/>
  <c r="I65" i="28"/>
  <c r="I47" i="28"/>
  <c r="I26" i="28"/>
  <c r="I17" i="28"/>
  <c r="I55" i="28"/>
  <c r="I54" i="28"/>
  <c r="I66" i="28"/>
  <c r="J22" i="28"/>
  <c r="K22" i="28" s="1"/>
  <c r="I7" i="28"/>
  <c r="J46" i="28"/>
  <c r="K46" i="28" s="1"/>
  <c r="I30" i="28"/>
  <c r="I35" i="28"/>
  <c r="I41" i="28"/>
  <c r="I24" i="28"/>
  <c r="I56" i="28"/>
  <c r="J42" i="28"/>
  <c r="K42" i="28" s="1"/>
  <c r="I49" i="28"/>
  <c r="I19" i="28"/>
  <c r="J4" i="28"/>
  <c r="K4" i="28" s="1"/>
  <c r="H61" i="28"/>
  <c r="I44" i="28"/>
  <c r="J44" i="28"/>
  <c r="K44" i="28" s="1"/>
  <c r="I52" i="28"/>
  <c r="J52" i="28"/>
  <c r="K52" i="28" s="1"/>
  <c r="I64" i="28"/>
  <c r="J64" i="28"/>
  <c r="K64" i="28" s="1"/>
  <c r="J21" i="28"/>
  <c r="K21" i="28" s="1"/>
  <c r="I21" i="28"/>
  <c r="J34" i="28"/>
  <c r="K34" i="28" s="1"/>
  <c r="I34" i="28"/>
  <c r="I43" i="28"/>
  <c r="J43" i="28"/>
  <c r="K43" i="28" s="1"/>
  <c r="J45" i="28"/>
  <c r="K45" i="28" s="1"/>
  <c r="I45" i="28"/>
  <c r="H16" i="28"/>
  <c r="J15" i="28"/>
  <c r="K15" i="28" s="1"/>
  <c r="I15" i="28"/>
  <c r="J33" i="28"/>
  <c r="K33" i="28" s="1"/>
  <c r="I33" i="28"/>
  <c r="J38" i="28"/>
  <c r="K38" i="28" s="1"/>
  <c r="I38" i="28"/>
  <c r="I9" i="28"/>
  <c r="J9" i="28"/>
  <c r="K9" i="28" s="1"/>
  <c r="I60" i="28"/>
  <c r="J60" i="28"/>
  <c r="K60" i="28" s="1"/>
  <c r="J6" i="28"/>
  <c r="K6" i="28" s="1"/>
  <c r="I6" i="28"/>
  <c r="J37" i="28"/>
  <c r="K37" i="28" s="1"/>
  <c r="I37" i="28"/>
  <c r="J10" i="28"/>
  <c r="K10" i="28" s="1"/>
  <c r="I10" i="28"/>
  <c r="J11" i="28"/>
  <c r="K11" i="28" s="1"/>
  <c r="I11" i="28"/>
  <c r="J31" i="28"/>
  <c r="K31" i="28" s="1"/>
  <c r="I31" i="28"/>
  <c r="I25" i="28"/>
  <c r="J25" i="28"/>
  <c r="K25" i="28" s="1"/>
  <c r="J63" i="28"/>
  <c r="K63" i="28" s="1"/>
  <c r="I63" i="28"/>
  <c r="J36" i="28"/>
  <c r="K36" i="28" s="1"/>
  <c r="I36" i="28"/>
  <c r="J13" i="28"/>
  <c r="K13" i="28" s="1"/>
  <c r="I13" i="28"/>
  <c r="H28" i="28"/>
  <c r="J58" i="28"/>
  <c r="K58" i="28" s="1"/>
  <c r="I58" i="28"/>
  <c r="I68" i="28"/>
  <c r="J68" i="28"/>
  <c r="K68" i="28" s="1"/>
  <c r="J18" i="28"/>
  <c r="K18" i="28" s="1"/>
  <c r="I18" i="28"/>
  <c r="F71" i="28"/>
  <c r="I8" i="28"/>
  <c r="J8" i="28"/>
  <c r="K8" i="28" s="1"/>
  <c r="I27" i="28"/>
  <c r="J27" i="28"/>
  <c r="K27" i="28" s="1"/>
  <c r="J28" i="28" l="1"/>
  <c r="K28" i="28" s="1"/>
  <c r="I28" i="28"/>
  <c r="H71" i="28"/>
  <c r="J61" i="28"/>
  <c r="K61" i="28" s="1"/>
  <c r="I61" i="28"/>
  <c r="K74" i="28"/>
  <c r="J16" i="28"/>
  <c r="K16" i="28" s="1"/>
  <c r="I16" i="28"/>
  <c r="I71" i="28" l="1"/>
  <c r="J71" i="28"/>
  <c r="K73" i="28"/>
  <c r="E5" i="10" l="1"/>
  <c r="D8" i="10" s="1"/>
  <c r="P36" i="7" l="1"/>
  <c r="I36" i="7"/>
  <c r="C71" i="23" l="1"/>
  <c r="D1" i="23" s="1"/>
  <c r="D69" i="23"/>
  <c r="E69" i="23" s="1"/>
  <c r="F69" i="23" s="1"/>
  <c r="D68" i="23"/>
  <c r="E68" i="23" s="1"/>
  <c r="F68" i="23" s="1"/>
  <c r="E67" i="23"/>
  <c r="F67" i="23" s="1"/>
  <c r="D67" i="23"/>
  <c r="E66" i="23"/>
  <c r="F66" i="23" s="1"/>
  <c r="D66" i="23"/>
  <c r="D65" i="23"/>
  <c r="E65" i="23" s="1"/>
  <c r="F65" i="23" s="1"/>
  <c r="F64" i="23"/>
  <c r="E64" i="23"/>
  <c r="D64" i="23"/>
  <c r="E63" i="23"/>
  <c r="F63" i="23" s="1"/>
  <c r="D63" i="23"/>
  <c r="D62" i="23"/>
  <c r="E62" i="23" s="1"/>
  <c r="F62" i="23" s="1"/>
  <c r="D61" i="23"/>
  <c r="E61" i="23" s="1"/>
  <c r="F61" i="23" s="1"/>
  <c r="D60" i="23"/>
  <c r="E60" i="23" s="1"/>
  <c r="F60" i="23" s="1"/>
  <c r="E59" i="23"/>
  <c r="F59" i="23" s="1"/>
  <c r="D59" i="23"/>
  <c r="D58" i="23"/>
  <c r="E58" i="23" s="1"/>
  <c r="F58" i="23" s="1"/>
  <c r="D57" i="23"/>
  <c r="E57" i="23" s="1"/>
  <c r="F57" i="23" s="1"/>
  <c r="D56" i="23"/>
  <c r="E56" i="23" s="1"/>
  <c r="F56" i="23" s="1"/>
  <c r="D55" i="23"/>
  <c r="E55" i="23" s="1"/>
  <c r="F55" i="23" s="1"/>
  <c r="D54" i="23"/>
  <c r="E54" i="23" s="1"/>
  <c r="F54" i="23" s="1"/>
  <c r="D53" i="23"/>
  <c r="E53" i="23" s="1"/>
  <c r="F53" i="23" s="1"/>
  <c r="D52" i="23"/>
  <c r="E52" i="23" s="1"/>
  <c r="F52" i="23" s="1"/>
  <c r="D51" i="23"/>
  <c r="E51" i="23" s="1"/>
  <c r="F51" i="23" s="1"/>
  <c r="E50" i="23"/>
  <c r="F50" i="23" s="1"/>
  <c r="D50" i="23"/>
  <c r="D49" i="23"/>
  <c r="E49" i="23" s="1"/>
  <c r="F49" i="23" s="1"/>
  <c r="F48" i="23"/>
  <c r="E48" i="23"/>
  <c r="D48" i="23"/>
  <c r="E47" i="23"/>
  <c r="F47" i="23" s="1"/>
  <c r="D47" i="23"/>
  <c r="D46" i="23"/>
  <c r="E46" i="23" s="1"/>
  <c r="F46" i="23" s="1"/>
  <c r="D45" i="23"/>
  <c r="E45" i="23" s="1"/>
  <c r="F45" i="23" s="1"/>
  <c r="D44" i="23"/>
  <c r="E44" i="23" s="1"/>
  <c r="F44" i="23" s="1"/>
  <c r="E43" i="23"/>
  <c r="F43" i="23" s="1"/>
  <c r="D43" i="23"/>
  <c r="D42" i="23"/>
  <c r="E42" i="23" s="1"/>
  <c r="F42" i="23" s="1"/>
  <c r="D41" i="23"/>
  <c r="E41" i="23" s="1"/>
  <c r="F41" i="23" s="1"/>
  <c r="D40" i="23"/>
  <c r="E40" i="23" s="1"/>
  <c r="F40" i="23" s="1"/>
  <c r="D39" i="23"/>
  <c r="E39" i="23" s="1"/>
  <c r="F39" i="23" s="1"/>
  <c r="D38" i="23"/>
  <c r="E38" i="23" s="1"/>
  <c r="F38" i="23" s="1"/>
  <c r="D37" i="23"/>
  <c r="E37" i="23" s="1"/>
  <c r="F37" i="23" s="1"/>
  <c r="D36" i="23"/>
  <c r="E36" i="23" s="1"/>
  <c r="F36" i="23" s="1"/>
  <c r="D35" i="23"/>
  <c r="E35" i="23" s="1"/>
  <c r="F35" i="23" s="1"/>
  <c r="E34" i="23"/>
  <c r="F34" i="23" s="1"/>
  <c r="D34" i="23"/>
  <c r="D33" i="23"/>
  <c r="E33" i="23" s="1"/>
  <c r="F33" i="23" s="1"/>
  <c r="F32" i="23"/>
  <c r="E32" i="23"/>
  <c r="D32" i="23"/>
  <c r="E31" i="23"/>
  <c r="F31" i="23" s="1"/>
  <c r="D31" i="23"/>
  <c r="D30" i="23"/>
  <c r="E30" i="23" s="1"/>
  <c r="F30" i="23" s="1"/>
  <c r="D29" i="23"/>
  <c r="E29" i="23" s="1"/>
  <c r="F29" i="23" s="1"/>
  <c r="D28" i="23"/>
  <c r="E28" i="23" s="1"/>
  <c r="F28" i="23" s="1"/>
  <c r="E27" i="23"/>
  <c r="F27" i="23" s="1"/>
  <c r="D27" i="23"/>
  <c r="D26" i="23"/>
  <c r="E26" i="23" s="1"/>
  <c r="F26" i="23" s="1"/>
  <c r="D25" i="23"/>
  <c r="E25" i="23" s="1"/>
  <c r="F25" i="23" s="1"/>
  <c r="D24" i="23"/>
  <c r="E24" i="23" s="1"/>
  <c r="F24" i="23" s="1"/>
  <c r="D23" i="23"/>
  <c r="E23" i="23" s="1"/>
  <c r="F23" i="23" s="1"/>
  <c r="D22" i="23"/>
  <c r="E22" i="23" s="1"/>
  <c r="F22" i="23" s="1"/>
  <c r="D21" i="23"/>
  <c r="E21" i="23" s="1"/>
  <c r="F21" i="23" s="1"/>
  <c r="D20" i="23"/>
  <c r="E20" i="23" s="1"/>
  <c r="F20" i="23" s="1"/>
  <c r="D19" i="23"/>
  <c r="E19" i="23" s="1"/>
  <c r="F19" i="23" s="1"/>
  <c r="E18" i="23"/>
  <c r="F18" i="23" s="1"/>
  <c r="D18" i="23"/>
  <c r="D17" i="23"/>
  <c r="E17" i="23" s="1"/>
  <c r="F17" i="23" s="1"/>
  <c r="F16" i="23"/>
  <c r="E16" i="23"/>
  <c r="D16" i="23"/>
  <c r="E15" i="23"/>
  <c r="F15" i="23" s="1"/>
  <c r="D15" i="23"/>
  <c r="D14" i="23"/>
  <c r="E14" i="23" s="1"/>
  <c r="F14" i="23" s="1"/>
  <c r="D13" i="23"/>
  <c r="E13" i="23" s="1"/>
  <c r="F13" i="23" s="1"/>
  <c r="D12" i="23"/>
  <c r="E12" i="23" s="1"/>
  <c r="F12" i="23" s="1"/>
  <c r="E11" i="23"/>
  <c r="F11" i="23" s="1"/>
  <c r="D11" i="23"/>
  <c r="D10" i="23"/>
  <c r="E10" i="23" s="1"/>
  <c r="F10" i="23" s="1"/>
  <c r="D9" i="23"/>
  <c r="E9" i="23" s="1"/>
  <c r="F9" i="23" s="1"/>
  <c r="D8" i="23"/>
  <c r="E8" i="23" s="1"/>
  <c r="F8" i="23" s="1"/>
  <c r="D7" i="23"/>
  <c r="E7" i="23" s="1"/>
  <c r="F7" i="23" s="1"/>
  <c r="D6" i="23"/>
  <c r="E6" i="23" s="1"/>
  <c r="F6" i="23" s="1"/>
  <c r="D5" i="23"/>
  <c r="E5" i="23" s="1"/>
  <c r="F5" i="23" s="1"/>
  <c r="D4" i="23"/>
  <c r="E4" i="23" s="1"/>
  <c r="F4" i="23" s="1"/>
  <c r="D3" i="23"/>
  <c r="D71" i="23" s="1"/>
  <c r="E3" i="23" l="1"/>
  <c r="F3" i="23" l="1"/>
  <c r="E71" i="23"/>
  <c r="F71" i="23" s="1"/>
  <c r="P65" i="7" l="1"/>
  <c r="I65" i="7"/>
  <c r="C70" i="3" l="1"/>
  <c r="P63" i="7" l="1"/>
  <c r="K4" i="7" l="1"/>
  <c r="H4" i="7" l="1"/>
  <c r="P37" i="7" l="1"/>
  <c r="I37" i="7"/>
  <c r="H58" i="7" l="1"/>
  <c r="H48" i="7" l="1"/>
  <c r="P23" i="7" l="1"/>
  <c r="H23" i="7"/>
  <c r="H18" i="7" l="1"/>
  <c r="I74" i="2" l="1"/>
  <c r="C316" i="4" l="1"/>
  <c r="C111" i="4" l="1"/>
  <c r="E276" i="4" l="1"/>
  <c r="Q76" i="7" l="1"/>
  <c r="H62" i="7" l="1"/>
  <c r="H34" i="7" l="1"/>
  <c r="H44" i="7" l="1"/>
  <c r="L33" i="7" l="1"/>
  <c r="K10" i="7" l="1"/>
  <c r="H21" i="7" l="1"/>
  <c r="K70" i="7" l="1"/>
  <c r="O52" i="7"/>
  <c r="H2" i="7" l="1"/>
  <c r="H14" i="7" l="1"/>
  <c r="H51" i="7" l="1"/>
  <c r="P35" i="7" l="1"/>
  <c r="P56" i="7" l="1"/>
  <c r="I26" i="7" l="1"/>
  <c r="H49" i="7" l="1"/>
  <c r="P28" i="7"/>
  <c r="I28" i="7"/>
  <c r="H66" i="7" l="1"/>
  <c r="H11" i="7" l="1"/>
  <c r="P11" i="7"/>
  <c r="H31" i="7" l="1"/>
  <c r="P16" i="7" l="1"/>
  <c r="L16" i="7"/>
  <c r="H61" i="7" l="1"/>
  <c r="H53" i="7" l="1"/>
  <c r="I53" i="7" l="1"/>
  <c r="C77" i="14" l="1"/>
  <c r="D76" i="14" s="1"/>
  <c r="C70" i="14"/>
  <c r="D66" i="14" s="1"/>
  <c r="C65" i="14"/>
  <c r="D63" i="14" s="1"/>
  <c r="C57" i="14"/>
  <c r="D44" i="14" s="1"/>
  <c r="C42" i="14"/>
  <c r="D41" i="14" s="1"/>
  <c r="C31" i="14"/>
  <c r="D30" i="14" s="1"/>
  <c r="C20" i="14"/>
  <c r="D14" i="14" s="1"/>
  <c r="C7" i="14"/>
  <c r="C70" i="12"/>
  <c r="C74" i="12" s="1"/>
  <c r="C75" i="12" s="1"/>
  <c r="D71" i="11"/>
  <c r="C71" i="11"/>
  <c r="F1" i="11" s="1"/>
  <c r="F54" i="11" s="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5" i="11"/>
  <c r="E4" i="11"/>
  <c r="E3" i="11"/>
  <c r="C244" i="4"/>
  <c r="C317" i="4"/>
  <c r="C103" i="4"/>
  <c r="E102" i="4"/>
  <c r="D67" i="14" l="1"/>
  <c r="D68" i="14"/>
  <c r="D69" i="14"/>
  <c r="D50" i="14"/>
  <c r="D47" i="14"/>
  <c r="D52" i="14"/>
  <c r="D53" i="14"/>
  <c r="D48" i="14"/>
  <c r="D51" i="14"/>
  <c r="D54" i="14"/>
  <c r="D45" i="14"/>
  <c r="D49" i="14"/>
  <c r="D46" i="14"/>
  <c r="D32" i="14"/>
  <c r="D33" i="14"/>
  <c r="D36" i="14"/>
  <c r="D35" i="14"/>
  <c r="D34" i="14"/>
  <c r="C79" i="14"/>
  <c r="D19" i="14"/>
  <c r="D16" i="14"/>
  <c r="D17" i="14"/>
  <c r="D18" i="14"/>
  <c r="D15" i="14"/>
  <c r="D3" i="14"/>
  <c r="D4" i="14"/>
  <c r="D5" i="14"/>
  <c r="D6" i="14"/>
  <c r="C78" i="12"/>
  <c r="C79" i="12" s="1"/>
  <c r="E71" i="11"/>
  <c r="F64" i="11"/>
  <c r="G64" i="11" s="1"/>
  <c r="F49" i="11"/>
  <c r="H49" i="11" s="1"/>
  <c r="I49" i="11" s="1"/>
  <c r="F26" i="11"/>
  <c r="G26" i="11" s="1"/>
  <c r="F67" i="11"/>
  <c r="H67" i="11" s="1"/>
  <c r="I67" i="11" s="1"/>
  <c r="F39" i="11"/>
  <c r="G39" i="11" s="1"/>
  <c r="F36" i="11"/>
  <c r="H36" i="11" s="1"/>
  <c r="I36" i="11" s="1"/>
  <c r="F16" i="11"/>
  <c r="H16" i="11" s="1"/>
  <c r="I16" i="11" s="1"/>
  <c r="F8" i="11"/>
  <c r="H8" i="11" s="1"/>
  <c r="I8" i="11" s="1"/>
  <c r="F65" i="11"/>
  <c r="H65" i="11" s="1"/>
  <c r="I65" i="11" s="1"/>
  <c r="F17" i="11"/>
  <c r="H17" i="11" s="1"/>
  <c r="I17" i="11" s="1"/>
  <c r="F29" i="11"/>
  <c r="G29" i="11" s="1"/>
  <c r="F7" i="11"/>
  <c r="H7" i="11" s="1"/>
  <c r="I7" i="11" s="1"/>
  <c r="F19" i="11"/>
  <c r="H19" i="11" s="1"/>
  <c r="I19" i="11" s="1"/>
  <c r="F20" i="11"/>
  <c r="H20" i="11" s="1"/>
  <c r="I20" i="11" s="1"/>
  <c r="F45" i="11"/>
  <c r="G45" i="11" s="1"/>
  <c r="F27" i="11"/>
  <c r="G27" i="11" s="1"/>
  <c r="F58" i="11"/>
  <c r="G58" i="11" s="1"/>
  <c r="F48" i="11"/>
  <c r="H48" i="11" s="1"/>
  <c r="I48" i="11" s="1"/>
  <c r="F38" i="11"/>
  <c r="H38" i="11" s="1"/>
  <c r="I38" i="11" s="1"/>
  <c r="F6" i="11"/>
  <c r="H6" i="11" s="1"/>
  <c r="I6" i="11" s="1"/>
  <c r="F55" i="11"/>
  <c r="G55" i="11" s="1"/>
  <c r="F10" i="11"/>
  <c r="H10" i="11" s="1"/>
  <c r="I10" i="11" s="1"/>
  <c r="G54" i="11"/>
  <c r="H54" i="11"/>
  <c r="I54" i="11" s="1"/>
  <c r="G38" i="11"/>
  <c r="F51" i="11"/>
  <c r="G51" i="11" s="1"/>
  <c r="F68" i="11"/>
  <c r="H68" i="11" s="1"/>
  <c r="I68" i="11" s="1"/>
  <c r="F52" i="11"/>
  <c r="H52" i="11" s="1"/>
  <c r="I52" i="11" s="1"/>
  <c r="F11" i="11"/>
  <c r="G11" i="11" s="1"/>
  <c r="F22" i="11"/>
  <c r="G22" i="11" s="1"/>
  <c r="F3" i="11"/>
  <c r="G3" i="11" s="1"/>
  <c r="F13" i="11"/>
  <c r="G13" i="11" s="1"/>
  <c r="F33" i="11"/>
  <c r="H33" i="11" s="1"/>
  <c r="I33" i="11" s="1"/>
  <c r="F4" i="11"/>
  <c r="G4" i="11" s="1"/>
  <c r="F61" i="11"/>
  <c r="G61" i="11" s="1"/>
  <c r="F57" i="11"/>
  <c r="H57" i="11" s="1"/>
  <c r="I57" i="11" s="1"/>
  <c r="F32" i="11"/>
  <c r="G32" i="11" s="1"/>
  <c r="F42" i="11"/>
  <c r="G42" i="11" s="1"/>
  <c r="F24" i="11"/>
  <c r="H24" i="11" s="1"/>
  <c r="I24" i="11" s="1"/>
  <c r="F43" i="11"/>
  <c r="H43" i="11" s="1"/>
  <c r="I43" i="11" s="1"/>
  <c r="F59" i="11"/>
  <c r="H59" i="11" s="1"/>
  <c r="I59" i="11" s="1"/>
  <c r="F23" i="11"/>
  <c r="G23" i="11" s="1"/>
  <c r="F35" i="11"/>
  <c r="G35" i="11" s="1"/>
  <c r="D22" i="14"/>
  <c r="D38" i="14"/>
  <c r="D37" i="14"/>
  <c r="D23" i="14"/>
  <c r="D39" i="14"/>
  <c r="D55" i="14"/>
  <c r="D71" i="14"/>
  <c r="D21" i="14"/>
  <c r="D8" i="14"/>
  <c r="D24" i="14"/>
  <c r="D40" i="14"/>
  <c r="D56" i="14"/>
  <c r="D72" i="14"/>
  <c r="D9" i="14"/>
  <c r="D25" i="14"/>
  <c r="D73" i="14"/>
  <c r="D26" i="14"/>
  <c r="D74" i="14"/>
  <c r="D10" i="14"/>
  <c r="D79" i="14" s="1"/>
  <c r="D58" i="14"/>
  <c r="D11" i="14"/>
  <c r="D27" i="14"/>
  <c r="D43" i="14"/>
  <c r="D59" i="14"/>
  <c r="D75" i="14"/>
  <c r="D12" i="14"/>
  <c r="D28" i="14"/>
  <c r="D60" i="14"/>
  <c r="D13" i="14"/>
  <c r="D29" i="14"/>
  <c r="D61" i="14"/>
  <c r="D62" i="14"/>
  <c r="D64" i="14"/>
  <c r="F14" i="11"/>
  <c r="F30" i="11"/>
  <c r="F46" i="11"/>
  <c r="F62" i="11"/>
  <c r="G6" i="11"/>
  <c r="F40" i="11"/>
  <c r="F56" i="11"/>
  <c r="F5" i="11"/>
  <c r="F21" i="11"/>
  <c r="F37" i="11"/>
  <c r="F53" i="11"/>
  <c r="F69" i="11"/>
  <c r="F34" i="11"/>
  <c r="F66" i="11"/>
  <c r="F15" i="11"/>
  <c r="F12" i="11"/>
  <c r="F28" i="11"/>
  <c r="F44" i="11"/>
  <c r="F60" i="11"/>
  <c r="F18" i="11"/>
  <c r="F50" i="11"/>
  <c r="F31" i="11"/>
  <c r="F47" i="11"/>
  <c r="F63" i="11"/>
  <c r="F9" i="11"/>
  <c r="F25" i="11"/>
  <c r="F41" i="11"/>
  <c r="C315" i="4"/>
  <c r="E65" i="4"/>
  <c r="E272" i="4"/>
  <c r="E267" i="4"/>
  <c r="E257" i="4"/>
  <c r="E186" i="4"/>
  <c r="E169" i="4"/>
  <c r="E92" i="4"/>
  <c r="E118" i="4"/>
  <c r="E78" i="4"/>
  <c r="H64" i="11" l="1"/>
  <c r="I64" i="11" s="1"/>
  <c r="H58" i="11"/>
  <c r="I58" i="11" s="1"/>
  <c r="G24" i="11"/>
  <c r="G48" i="11"/>
  <c r="G49" i="11"/>
  <c r="G67" i="11"/>
  <c r="H42" i="11"/>
  <c r="I42" i="11" s="1"/>
  <c r="G16" i="11"/>
  <c r="H29" i="11"/>
  <c r="I29" i="11" s="1"/>
  <c r="G19" i="11"/>
  <c r="G10" i="11"/>
  <c r="G65" i="11"/>
  <c r="H55" i="11"/>
  <c r="I55" i="11" s="1"/>
  <c r="H11" i="11"/>
  <c r="I11" i="11" s="1"/>
  <c r="G17" i="11"/>
  <c r="G43" i="11"/>
  <c r="H27" i="11"/>
  <c r="I27" i="11" s="1"/>
  <c r="G8" i="11"/>
  <c r="H23" i="11"/>
  <c r="I23" i="11" s="1"/>
  <c r="G59" i="11"/>
  <c r="H51" i="11"/>
  <c r="I51" i="11" s="1"/>
  <c r="G36" i="11"/>
  <c r="H39" i="11"/>
  <c r="I39" i="11" s="1"/>
  <c r="G20" i="11"/>
  <c r="H61" i="11"/>
  <c r="I61" i="11" s="1"/>
  <c r="H26" i="11"/>
  <c r="I26" i="11" s="1"/>
  <c r="G7" i="11"/>
  <c r="H45" i="11"/>
  <c r="I45" i="11" s="1"/>
  <c r="H32" i="11"/>
  <c r="I32" i="11" s="1"/>
  <c r="G57" i="11"/>
  <c r="G68" i="11"/>
  <c r="G33" i="11"/>
  <c r="H4" i="11"/>
  <c r="I4" i="11" s="1"/>
  <c r="H13" i="11"/>
  <c r="I13" i="11" s="1"/>
  <c r="H35" i="11"/>
  <c r="I35" i="11" s="1"/>
  <c r="H3" i="11"/>
  <c r="I3" i="11" s="1"/>
  <c r="H22" i="11"/>
  <c r="I22" i="11" s="1"/>
  <c r="G52" i="11"/>
  <c r="H47" i="11"/>
  <c r="I47" i="11" s="1"/>
  <c r="G47" i="11"/>
  <c r="H56" i="11"/>
  <c r="I56" i="11" s="1"/>
  <c r="G56" i="11"/>
  <c r="H34" i="11"/>
  <c r="I34" i="11" s="1"/>
  <c r="G34" i="11"/>
  <c r="H63" i="11"/>
  <c r="I63" i="11" s="1"/>
  <c r="G63" i="11"/>
  <c r="H31" i="11"/>
  <c r="I31" i="11" s="1"/>
  <c r="G31" i="11"/>
  <c r="G25" i="11"/>
  <c r="H25" i="11"/>
  <c r="I25" i="11" s="1"/>
  <c r="G46" i="11"/>
  <c r="H46" i="11"/>
  <c r="I46" i="11" s="1"/>
  <c r="H40" i="11"/>
  <c r="I40" i="11" s="1"/>
  <c r="G40" i="11"/>
  <c r="H44" i="11"/>
  <c r="I44" i="11" s="1"/>
  <c r="G44" i="11"/>
  <c r="F71" i="11"/>
  <c r="G30" i="11"/>
  <c r="H30" i="11"/>
  <c r="I30" i="11" s="1"/>
  <c r="G14" i="11"/>
  <c r="H14" i="11"/>
  <c r="I14" i="11" s="1"/>
  <c r="H60" i="11"/>
  <c r="I60" i="11" s="1"/>
  <c r="G60" i="11"/>
  <c r="H12" i="11"/>
  <c r="I12" i="11" s="1"/>
  <c r="G12" i="11"/>
  <c r="H9" i="11"/>
  <c r="I9" i="11" s="1"/>
  <c r="G9" i="11"/>
  <c r="H5" i="11"/>
  <c r="I5" i="11" s="1"/>
  <c r="G5" i="11"/>
  <c r="H50" i="11"/>
  <c r="I50" i="11" s="1"/>
  <c r="G50" i="11"/>
  <c r="G18" i="11"/>
  <c r="H18" i="11"/>
  <c r="I18" i="11" s="1"/>
  <c r="H69" i="11"/>
  <c r="I69" i="11" s="1"/>
  <c r="G69" i="11"/>
  <c r="H53" i="11"/>
  <c r="I53" i="11" s="1"/>
  <c r="G53" i="11"/>
  <c r="H28" i="11"/>
  <c r="I28" i="11" s="1"/>
  <c r="G28" i="11"/>
  <c r="H37" i="11"/>
  <c r="I37" i="11" s="1"/>
  <c r="G37" i="11"/>
  <c r="H15" i="11"/>
  <c r="I15" i="11" s="1"/>
  <c r="G15" i="11"/>
  <c r="G41" i="11"/>
  <c r="H41" i="11"/>
  <c r="I41" i="11" s="1"/>
  <c r="H66" i="11"/>
  <c r="I66" i="11" s="1"/>
  <c r="G66" i="11"/>
  <c r="H21" i="11"/>
  <c r="I21" i="11" s="1"/>
  <c r="G21" i="11"/>
  <c r="G62" i="11"/>
  <c r="H62" i="11"/>
  <c r="I62" i="11" s="1"/>
  <c r="E243" i="4"/>
  <c r="I73" i="11" l="1"/>
  <c r="I74" i="11"/>
  <c r="G71" i="11"/>
  <c r="H71" i="11"/>
  <c r="E3" i="10"/>
  <c r="N70" i="7" l="1"/>
  <c r="J70" i="7"/>
  <c r="G70" i="7"/>
  <c r="D70" i="7"/>
  <c r="C70" i="7"/>
  <c r="O68" i="7"/>
  <c r="E68" i="7"/>
  <c r="O67" i="7"/>
  <c r="E67" i="7"/>
  <c r="O66" i="7"/>
  <c r="E66" i="7"/>
  <c r="O65" i="7"/>
  <c r="E65" i="7"/>
  <c r="O64" i="7"/>
  <c r="E64" i="7"/>
  <c r="O63" i="7"/>
  <c r="E63" i="7"/>
  <c r="O62" i="7"/>
  <c r="E62" i="7"/>
  <c r="O61" i="7"/>
  <c r="E61" i="7"/>
  <c r="O60" i="7"/>
  <c r="E60" i="7"/>
  <c r="O59" i="7"/>
  <c r="E59" i="7"/>
  <c r="O58" i="7"/>
  <c r="E58" i="7"/>
  <c r="O57" i="7"/>
  <c r="E57" i="7"/>
  <c r="O56" i="7"/>
  <c r="E56" i="7"/>
  <c r="O55" i="7"/>
  <c r="E55" i="7"/>
  <c r="O54" i="7"/>
  <c r="E54" i="7"/>
  <c r="P53" i="7"/>
  <c r="O53" i="7"/>
  <c r="E53" i="7"/>
  <c r="E52" i="7"/>
  <c r="O51" i="7"/>
  <c r="E51" i="7"/>
  <c r="O50" i="7"/>
  <c r="E50" i="7"/>
  <c r="O49" i="7"/>
  <c r="E49" i="7"/>
  <c r="O48" i="7"/>
  <c r="E48" i="7"/>
  <c r="O47" i="7"/>
  <c r="E47" i="7"/>
  <c r="O46" i="7"/>
  <c r="E46" i="7"/>
  <c r="O45" i="7"/>
  <c r="E45" i="7"/>
  <c r="O44" i="7"/>
  <c r="E44" i="7"/>
  <c r="O43" i="7"/>
  <c r="E43" i="7"/>
  <c r="O42" i="7"/>
  <c r="E42" i="7"/>
  <c r="O41" i="7"/>
  <c r="E41" i="7"/>
  <c r="O40" i="7"/>
  <c r="E40" i="7"/>
  <c r="O39" i="7"/>
  <c r="E39" i="7"/>
  <c r="O38" i="7"/>
  <c r="E38" i="7"/>
  <c r="O37" i="7"/>
  <c r="E37" i="7"/>
  <c r="O36" i="7"/>
  <c r="E36" i="7"/>
  <c r="E35" i="7"/>
  <c r="O34" i="7"/>
  <c r="E34" i="7"/>
  <c r="O33" i="7"/>
  <c r="E33" i="7"/>
  <c r="O32" i="7"/>
  <c r="E32" i="7"/>
  <c r="O31" i="7"/>
  <c r="E31" i="7"/>
  <c r="O30" i="7"/>
  <c r="E30" i="7"/>
  <c r="O29" i="7"/>
  <c r="E29" i="7"/>
  <c r="O28" i="7"/>
  <c r="E28" i="7"/>
  <c r="O27" i="7"/>
  <c r="E27" i="7"/>
  <c r="P26" i="7"/>
  <c r="O26" i="7"/>
  <c r="E26" i="7"/>
  <c r="O25" i="7"/>
  <c r="E25" i="7"/>
  <c r="O24" i="7"/>
  <c r="E24" i="7"/>
  <c r="O23" i="7"/>
  <c r="E23" i="7"/>
  <c r="O22" i="7"/>
  <c r="E22" i="7"/>
  <c r="O21" i="7"/>
  <c r="E21" i="7"/>
  <c r="O20" i="7"/>
  <c r="E20" i="7"/>
  <c r="O19" i="7"/>
  <c r="E19" i="7"/>
  <c r="O18" i="7"/>
  <c r="E18" i="7"/>
  <c r="O17" i="7"/>
  <c r="E17" i="7"/>
  <c r="M70" i="7"/>
  <c r="L70" i="7"/>
  <c r="E16" i="7"/>
  <c r="O15" i="7"/>
  <c r="E15" i="7"/>
  <c r="P14" i="7"/>
  <c r="P70" i="7" s="1"/>
  <c r="O14" i="7"/>
  <c r="E14" i="7"/>
  <c r="O13" i="7"/>
  <c r="E13" i="7"/>
  <c r="O12" i="7"/>
  <c r="E12" i="7"/>
  <c r="O11" i="7"/>
  <c r="E11" i="7"/>
  <c r="O10" i="7"/>
  <c r="E10" i="7"/>
  <c r="O9" i="7"/>
  <c r="E9" i="7"/>
  <c r="O8" i="7"/>
  <c r="E8" i="7"/>
  <c r="O7" i="7"/>
  <c r="E7" i="7"/>
  <c r="O6" i="7"/>
  <c r="E6" i="7"/>
  <c r="O5" i="7"/>
  <c r="E5" i="7"/>
  <c r="O4" i="7"/>
  <c r="E4" i="7"/>
  <c r="O3" i="7"/>
  <c r="E3" i="7"/>
  <c r="O2" i="7"/>
  <c r="E2" i="7"/>
  <c r="Q64" i="7" l="1"/>
  <c r="R64" i="7" s="1"/>
  <c r="Q63" i="7"/>
  <c r="Q37" i="7"/>
  <c r="R37" i="7" s="1"/>
  <c r="Q48" i="7"/>
  <c r="Q45" i="7"/>
  <c r="S45" i="7" s="1"/>
  <c r="Q5" i="7"/>
  <c r="Q27" i="7"/>
  <c r="Q43" i="7"/>
  <c r="S43" i="7" s="1"/>
  <c r="Q36" i="7"/>
  <c r="S36" i="7" s="1"/>
  <c r="Q29" i="7"/>
  <c r="S29" i="7" s="1"/>
  <c r="Q9" i="7"/>
  <c r="S9" i="7" s="1"/>
  <c r="Q23" i="7"/>
  <c r="R23" i="7" s="1"/>
  <c r="Q30" i="7"/>
  <c r="S30" i="7" s="1"/>
  <c r="Q60" i="7"/>
  <c r="S60" i="7" s="1"/>
  <c r="Q3" i="7"/>
  <c r="S3" i="7" s="1"/>
  <c r="Q67" i="7"/>
  <c r="R67" i="7" s="1"/>
  <c r="Q41" i="7"/>
  <c r="Q25" i="7"/>
  <c r="S25" i="7" s="1"/>
  <c r="Q17" i="7"/>
  <c r="S17" i="7" s="1"/>
  <c r="Q8" i="7"/>
  <c r="R8" i="7" s="1"/>
  <c r="Q15" i="7"/>
  <c r="R15" i="7" s="1"/>
  <c r="Q58" i="7"/>
  <c r="R58" i="7" s="1"/>
  <c r="Q46" i="7"/>
  <c r="S46" i="7" s="1"/>
  <c r="Q44" i="7"/>
  <c r="S44" i="7" s="1"/>
  <c r="Q13" i="7"/>
  <c r="R13" i="7" s="1"/>
  <c r="Q33" i="7"/>
  <c r="S33" i="7" s="1"/>
  <c r="Q12" i="7"/>
  <c r="R12" i="7" s="1"/>
  <c r="Q57" i="7"/>
  <c r="R57" i="7" s="1"/>
  <c r="Q21" i="7"/>
  <c r="R21" i="7" s="1"/>
  <c r="Q50" i="7"/>
  <c r="R50" i="7" s="1"/>
  <c r="Q54" i="7"/>
  <c r="S54" i="7" s="1"/>
  <c r="Q40" i="7"/>
  <c r="S40" i="7" s="1"/>
  <c r="Q56" i="7"/>
  <c r="S56" i="7" s="1"/>
  <c r="Q26" i="7"/>
  <c r="S26" i="7" s="1"/>
  <c r="Q28" i="7"/>
  <c r="S28" i="7" s="1"/>
  <c r="Q66" i="7"/>
  <c r="S66" i="7" s="1"/>
  <c r="Q11" i="7"/>
  <c r="S11" i="7" s="1"/>
  <c r="Q20" i="7"/>
  <c r="S20" i="7" s="1"/>
  <c r="Q19" i="7"/>
  <c r="S19" i="7" s="1"/>
  <c r="Q31" i="7"/>
  <c r="S31" i="7" s="1"/>
  <c r="Q68" i="7"/>
  <c r="R68" i="7" s="1"/>
  <c r="Q61" i="7"/>
  <c r="S61" i="7" s="1"/>
  <c r="Q38" i="7"/>
  <c r="S38" i="7" s="1"/>
  <c r="Q53" i="7"/>
  <c r="R53" i="7" s="1"/>
  <c r="Q6" i="7"/>
  <c r="S6" i="7" s="1"/>
  <c r="Q14" i="7"/>
  <c r="S14" i="7" s="1"/>
  <c r="Q24" i="7"/>
  <c r="S24" i="7" s="1"/>
  <c r="Q52" i="7"/>
  <c r="S52" i="7" s="1"/>
  <c r="Q59" i="7"/>
  <c r="R59" i="7" s="1"/>
  <c r="Q18" i="7"/>
  <c r="S18" i="7" s="1"/>
  <c r="Q39" i="7"/>
  <c r="S39" i="7" s="1"/>
  <c r="Q51" i="7"/>
  <c r="R51" i="7" s="1"/>
  <c r="F70" i="7"/>
  <c r="Q42" i="7"/>
  <c r="S42" i="7" s="1"/>
  <c r="E70" i="7"/>
  <c r="Q4" i="7"/>
  <c r="R4" i="7" s="1"/>
  <c r="Q49" i="7"/>
  <c r="S49" i="7" s="1"/>
  <c r="Q55" i="7"/>
  <c r="R55" i="7" s="1"/>
  <c r="Q62" i="7"/>
  <c r="R62" i="7" s="1"/>
  <c r="Q7" i="7"/>
  <c r="S7" i="7" s="1"/>
  <c r="Q32" i="7"/>
  <c r="R32" i="7" s="1"/>
  <c r="Q22" i="7"/>
  <c r="S22" i="7" s="1"/>
  <c r="Q10" i="7"/>
  <c r="R10" i="7" s="1"/>
  <c r="Q47" i="7"/>
  <c r="S47" i="7" s="1"/>
  <c r="Q65" i="7"/>
  <c r="S65" i="7" s="1"/>
  <c r="R66" i="7"/>
  <c r="S5" i="7"/>
  <c r="R5" i="7"/>
  <c r="S27" i="7"/>
  <c r="R27" i="7"/>
  <c r="R63" i="7"/>
  <c r="S63" i="7"/>
  <c r="R33" i="7"/>
  <c r="S41" i="7"/>
  <c r="R41" i="7"/>
  <c r="O16" i="7"/>
  <c r="Q16" i="7" s="1"/>
  <c r="Q2" i="7"/>
  <c r="Q34" i="7"/>
  <c r="O35" i="7"/>
  <c r="Q35" i="7" s="1"/>
  <c r="H70" i="7"/>
  <c r="S48" i="7"/>
  <c r="R48" i="7"/>
  <c r="I70" i="7"/>
  <c r="I72" i="7" s="1"/>
  <c r="S64" i="7" l="1"/>
  <c r="R28" i="7"/>
  <c r="R46" i="7"/>
  <c r="R45" i="7"/>
  <c r="S37" i="7"/>
  <c r="S13" i="7"/>
  <c r="S68" i="7"/>
  <c r="R60" i="7"/>
  <c r="R3" i="7"/>
  <c r="R29" i="7"/>
  <c r="R36" i="7"/>
  <c r="S23" i="7"/>
  <c r="R43" i="7"/>
  <c r="R18" i="7"/>
  <c r="R17" i="7"/>
  <c r="S58" i="7"/>
  <c r="S8" i="7"/>
  <c r="S15" i="7"/>
  <c r="R20" i="7"/>
  <c r="S67" i="7"/>
  <c r="R44" i="7"/>
  <c r="R25" i="7"/>
  <c r="R24" i="7"/>
  <c r="R54" i="7"/>
  <c r="R7" i="7"/>
  <c r="R9" i="7"/>
  <c r="R19" i="7"/>
  <c r="R30" i="7"/>
  <c r="R39" i="7"/>
  <c r="R42" i="7"/>
  <c r="R26" i="7"/>
  <c r="S10" i="7"/>
  <c r="S12" i="7"/>
  <c r="S50" i="7"/>
  <c r="R31" i="7"/>
  <c r="S59" i="7"/>
  <c r="S57" i="7"/>
  <c r="S21" i="7"/>
  <c r="R52" i="7"/>
  <c r="S32" i="7"/>
  <c r="R14" i="7"/>
  <c r="S51" i="7"/>
  <c r="R40" i="7"/>
  <c r="R56" i="7"/>
  <c r="R49" i="7"/>
  <c r="R11" i="7"/>
  <c r="O70" i="7"/>
  <c r="R61" i="7"/>
  <c r="R38" i="7"/>
  <c r="S53" i="7"/>
  <c r="R6" i="7"/>
  <c r="S55" i="7"/>
  <c r="S4" i="7"/>
  <c r="R47" i="7"/>
  <c r="S62" i="7"/>
  <c r="R22" i="7"/>
  <c r="R65" i="7"/>
  <c r="S35" i="7"/>
  <c r="R35" i="7"/>
  <c r="R2" i="7"/>
  <c r="S2" i="7"/>
  <c r="Q70" i="7"/>
  <c r="S16" i="7"/>
  <c r="R16" i="7"/>
  <c r="S34" i="7"/>
  <c r="R34" i="7"/>
  <c r="O72" i="7" l="1"/>
  <c r="Q77" i="7"/>
  <c r="S70" i="7"/>
  <c r="R70" i="7"/>
  <c r="B8" i="5" l="1"/>
  <c r="B6" i="5"/>
  <c r="H70" i="6"/>
  <c r="G70" i="6"/>
  <c r="E70" i="6"/>
  <c r="C70" i="6"/>
  <c r="B70" i="6"/>
  <c r="J68" i="6"/>
  <c r="I68" i="6"/>
  <c r="F68" i="6"/>
  <c r="K68" i="6" s="1"/>
  <c r="L68" i="6" s="1"/>
  <c r="J67" i="6"/>
  <c r="I67" i="6"/>
  <c r="K67" i="6" s="1"/>
  <c r="L67" i="6" s="1"/>
  <c r="F67" i="6"/>
  <c r="J66" i="6"/>
  <c r="I66" i="6"/>
  <c r="K66" i="6" s="1"/>
  <c r="L66" i="6" s="1"/>
  <c r="F66" i="6"/>
  <c r="J65" i="6"/>
  <c r="I65" i="6"/>
  <c r="F65" i="6"/>
  <c r="J64" i="6"/>
  <c r="I64" i="6"/>
  <c r="F64" i="6"/>
  <c r="K64" i="6" s="1"/>
  <c r="L64" i="6" s="1"/>
  <c r="J63" i="6"/>
  <c r="I63" i="6"/>
  <c r="F63" i="6"/>
  <c r="K63" i="6" s="1"/>
  <c r="L63" i="6" s="1"/>
  <c r="J62" i="6"/>
  <c r="I62" i="6"/>
  <c r="F62" i="6"/>
  <c r="J61" i="6"/>
  <c r="I61" i="6"/>
  <c r="K61" i="6" s="1"/>
  <c r="L61" i="6" s="1"/>
  <c r="F61" i="6"/>
  <c r="J60" i="6"/>
  <c r="I60" i="6"/>
  <c r="F60" i="6"/>
  <c r="J59" i="6"/>
  <c r="I59" i="6"/>
  <c r="F59" i="6"/>
  <c r="J58" i="6"/>
  <c r="I58" i="6"/>
  <c r="F58" i="6"/>
  <c r="J57" i="6"/>
  <c r="I57" i="6"/>
  <c r="F57" i="6"/>
  <c r="J56" i="6"/>
  <c r="I56" i="6"/>
  <c r="K56" i="6" s="1"/>
  <c r="L56" i="6" s="1"/>
  <c r="F56" i="6"/>
  <c r="J55" i="6"/>
  <c r="I55" i="6"/>
  <c r="F55" i="6"/>
  <c r="K55" i="6" s="1"/>
  <c r="L55" i="6" s="1"/>
  <c r="J54" i="6"/>
  <c r="I54" i="6"/>
  <c r="F54" i="6"/>
  <c r="K53" i="6"/>
  <c r="L53" i="6" s="1"/>
  <c r="J53" i="6"/>
  <c r="I53" i="6"/>
  <c r="F53" i="6"/>
  <c r="J52" i="6"/>
  <c r="I52" i="6"/>
  <c r="F52" i="6"/>
  <c r="K52" i="6" s="1"/>
  <c r="L52" i="6" s="1"/>
  <c r="J51" i="6"/>
  <c r="I51" i="6"/>
  <c r="F51" i="6"/>
  <c r="J50" i="6"/>
  <c r="I50" i="6"/>
  <c r="F50" i="6"/>
  <c r="J49" i="6"/>
  <c r="I49" i="6"/>
  <c r="F49" i="6"/>
  <c r="K49" i="6" s="1"/>
  <c r="L49" i="6" s="1"/>
  <c r="K48" i="6"/>
  <c r="L48" i="6" s="1"/>
  <c r="J48" i="6"/>
  <c r="I48" i="6"/>
  <c r="F48" i="6"/>
  <c r="J47" i="6"/>
  <c r="I47" i="6"/>
  <c r="F47" i="6"/>
  <c r="K47" i="6" s="1"/>
  <c r="L47" i="6" s="1"/>
  <c r="J46" i="6"/>
  <c r="I46" i="6"/>
  <c r="F46" i="6"/>
  <c r="J45" i="6"/>
  <c r="I45" i="6"/>
  <c r="K45" i="6" s="1"/>
  <c r="L45" i="6" s="1"/>
  <c r="F45" i="6"/>
  <c r="J44" i="6"/>
  <c r="I44" i="6"/>
  <c r="F44" i="6"/>
  <c r="J43" i="6"/>
  <c r="I43" i="6"/>
  <c r="F43" i="6"/>
  <c r="J42" i="6"/>
  <c r="I42" i="6"/>
  <c r="F42" i="6"/>
  <c r="J41" i="6"/>
  <c r="I41" i="6"/>
  <c r="F41" i="6"/>
  <c r="J40" i="6"/>
  <c r="I40" i="6"/>
  <c r="K40" i="6" s="1"/>
  <c r="L40" i="6" s="1"/>
  <c r="F40" i="6"/>
  <c r="J39" i="6"/>
  <c r="I39" i="6"/>
  <c r="F39" i="6"/>
  <c r="J38" i="6"/>
  <c r="I38" i="6"/>
  <c r="F38" i="6"/>
  <c r="J37" i="6"/>
  <c r="I37" i="6"/>
  <c r="F37" i="6"/>
  <c r="K37" i="6" s="1"/>
  <c r="L37" i="6" s="1"/>
  <c r="J36" i="6"/>
  <c r="I36" i="6"/>
  <c r="F36" i="6"/>
  <c r="K36" i="6" s="1"/>
  <c r="L36" i="6" s="1"/>
  <c r="J35" i="6"/>
  <c r="I35" i="6"/>
  <c r="F35" i="6"/>
  <c r="J34" i="6"/>
  <c r="I34" i="6"/>
  <c r="K34" i="6" s="1"/>
  <c r="L34" i="6" s="1"/>
  <c r="F34" i="6"/>
  <c r="J33" i="6"/>
  <c r="I33" i="6"/>
  <c r="F33" i="6"/>
  <c r="J32" i="6"/>
  <c r="I32" i="6"/>
  <c r="F32" i="6"/>
  <c r="K32" i="6" s="1"/>
  <c r="L32" i="6" s="1"/>
  <c r="J31" i="6"/>
  <c r="I31" i="6"/>
  <c r="F31" i="6"/>
  <c r="K31" i="6" s="1"/>
  <c r="L31" i="6" s="1"/>
  <c r="J30" i="6"/>
  <c r="I30" i="6"/>
  <c r="F30" i="6"/>
  <c r="K29" i="6"/>
  <c r="L29" i="6" s="1"/>
  <c r="J29" i="6"/>
  <c r="I29" i="6"/>
  <c r="F29" i="6"/>
  <c r="J28" i="6"/>
  <c r="I28" i="6"/>
  <c r="F28" i="6"/>
  <c r="K28" i="6" s="1"/>
  <c r="L28" i="6" s="1"/>
  <c r="J27" i="6"/>
  <c r="I27" i="6"/>
  <c r="F27" i="6"/>
  <c r="K27" i="6" s="1"/>
  <c r="L27" i="6" s="1"/>
  <c r="J26" i="6"/>
  <c r="I26" i="6"/>
  <c r="F26" i="6"/>
  <c r="D26" i="6"/>
  <c r="D70" i="6" s="1"/>
  <c r="J25" i="6"/>
  <c r="I25" i="6"/>
  <c r="F25" i="6"/>
  <c r="K25" i="6" s="1"/>
  <c r="L25" i="6" s="1"/>
  <c r="J24" i="6"/>
  <c r="I24" i="6"/>
  <c r="F24" i="6"/>
  <c r="J23" i="6"/>
  <c r="I23" i="6"/>
  <c r="F23" i="6"/>
  <c r="J22" i="6"/>
  <c r="I22" i="6"/>
  <c r="F22" i="6"/>
  <c r="K22" i="6" s="1"/>
  <c r="L22" i="6" s="1"/>
  <c r="J21" i="6"/>
  <c r="I21" i="6"/>
  <c r="K21" i="6" s="1"/>
  <c r="L21" i="6" s="1"/>
  <c r="F21" i="6"/>
  <c r="J20" i="6"/>
  <c r="I20" i="6"/>
  <c r="F20" i="6"/>
  <c r="K20" i="6" s="1"/>
  <c r="L20" i="6" s="1"/>
  <c r="J19" i="6"/>
  <c r="I19" i="6"/>
  <c r="F19" i="6"/>
  <c r="J18" i="6"/>
  <c r="I18" i="6"/>
  <c r="F18" i="6"/>
  <c r="K18" i="6" s="1"/>
  <c r="L18" i="6" s="1"/>
  <c r="J17" i="6"/>
  <c r="I17" i="6"/>
  <c r="F17" i="6"/>
  <c r="J16" i="6"/>
  <c r="I16" i="6"/>
  <c r="F16" i="6"/>
  <c r="J15" i="6"/>
  <c r="I15" i="6"/>
  <c r="F15" i="6"/>
  <c r="J14" i="6"/>
  <c r="I14" i="6"/>
  <c r="F14" i="6"/>
  <c r="J13" i="6"/>
  <c r="I13" i="6"/>
  <c r="F13" i="6"/>
  <c r="K13" i="6" s="1"/>
  <c r="L13" i="6" s="1"/>
  <c r="J12" i="6"/>
  <c r="I12" i="6"/>
  <c r="F12" i="6"/>
  <c r="J11" i="6"/>
  <c r="I11" i="6"/>
  <c r="F11" i="6"/>
  <c r="J10" i="6"/>
  <c r="I10" i="6"/>
  <c r="F10" i="6"/>
  <c r="K10" i="6" s="1"/>
  <c r="L10" i="6" s="1"/>
  <c r="J9" i="6"/>
  <c r="I9" i="6"/>
  <c r="F9" i="6"/>
  <c r="K9" i="6" s="1"/>
  <c r="L9" i="6" s="1"/>
  <c r="J8" i="6"/>
  <c r="I8" i="6"/>
  <c r="F8" i="6"/>
  <c r="J7" i="6"/>
  <c r="I7" i="6"/>
  <c r="K7" i="6" s="1"/>
  <c r="L7" i="6" s="1"/>
  <c r="F7" i="6"/>
  <c r="J6" i="6"/>
  <c r="I6" i="6"/>
  <c r="F6" i="6"/>
  <c r="K6" i="6" s="1"/>
  <c r="L6" i="6" s="1"/>
  <c r="J5" i="6"/>
  <c r="I5" i="6"/>
  <c r="F5" i="6"/>
  <c r="K5" i="6" s="1"/>
  <c r="L5" i="6" s="1"/>
  <c r="J4" i="6"/>
  <c r="I4" i="6"/>
  <c r="F4" i="6"/>
  <c r="K4" i="6" s="1"/>
  <c r="L4" i="6" s="1"/>
  <c r="J3" i="6"/>
  <c r="I3" i="6"/>
  <c r="F3" i="6"/>
  <c r="J2" i="6"/>
  <c r="I2" i="6"/>
  <c r="K2" i="6" s="1"/>
  <c r="F2" i="6"/>
  <c r="B5" i="5"/>
  <c r="C314" i="4"/>
  <c r="C309" i="4"/>
  <c r="E308" i="4"/>
  <c r="E307" i="4"/>
  <c r="E306" i="4"/>
  <c r="E305" i="4"/>
  <c r="C304" i="4"/>
  <c r="E303" i="4"/>
  <c r="E302" i="4"/>
  <c r="E301" i="4"/>
  <c r="C300" i="4"/>
  <c r="E299" i="4"/>
  <c r="E298" i="4"/>
  <c r="E297" i="4"/>
  <c r="C296" i="4"/>
  <c r="E295" i="4"/>
  <c r="E294" i="4"/>
  <c r="E293" i="4"/>
  <c r="E292" i="4"/>
  <c r="C291" i="4"/>
  <c r="E290" i="4"/>
  <c r="E289" i="4"/>
  <c r="C288" i="4"/>
  <c r="E287" i="4"/>
  <c r="E286" i="4"/>
  <c r="E285" i="4"/>
  <c r="E284" i="4"/>
  <c r="C283" i="4"/>
  <c r="E282" i="4"/>
  <c r="E281" i="4"/>
  <c r="E280" i="4"/>
  <c r="E279" i="4"/>
  <c r="C278" i="4"/>
  <c r="E277" i="4"/>
  <c r="E275" i="4"/>
  <c r="C274" i="4"/>
  <c r="E273" i="4"/>
  <c r="E271" i="4"/>
  <c r="E270" i="4"/>
  <c r="C269" i="4"/>
  <c r="E268" i="4"/>
  <c r="E266" i="4"/>
  <c r="E265" i="4"/>
  <c r="C264" i="4"/>
  <c r="E263" i="4"/>
  <c r="E262" i="4"/>
  <c r="E261" i="4"/>
  <c r="E260" i="4"/>
  <c r="C259" i="4"/>
  <c r="E258" i="4"/>
  <c r="E256" i="4"/>
  <c r="E255" i="4"/>
  <c r="C254" i="4"/>
  <c r="E253" i="4"/>
  <c r="E252" i="4"/>
  <c r="E251" i="4"/>
  <c r="E250" i="4"/>
  <c r="C249" i="4"/>
  <c r="E248" i="4"/>
  <c r="E247" i="4"/>
  <c r="E246" i="4"/>
  <c r="E245" i="4"/>
  <c r="E242" i="4"/>
  <c r="E241" i="4"/>
  <c r="E240" i="4"/>
  <c r="C239" i="4"/>
  <c r="E238" i="4"/>
  <c r="E237" i="4"/>
  <c r="E236" i="4"/>
  <c r="C235" i="4"/>
  <c r="E234" i="4"/>
  <c r="E233" i="4"/>
  <c r="E232" i="4"/>
  <c r="E231" i="4"/>
  <c r="C230" i="4"/>
  <c r="E229" i="4"/>
  <c r="E228" i="4"/>
  <c r="E227" i="4"/>
  <c r="E226" i="4"/>
  <c r="C225" i="4"/>
  <c r="E224" i="4"/>
  <c r="E223" i="4"/>
  <c r="E222" i="4"/>
  <c r="E221" i="4"/>
  <c r="C220" i="4"/>
  <c r="E219" i="4"/>
  <c r="E218" i="4"/>
  <c r="E217" i="4"/>
  <c r="E216" i="4"/>
  <c r="C215" i="4"/>
  <c r="E214" i="4"/>
  <c r="E213" i="4"/>
  <c r="C212" i="4"/>
  <c r="E211" i="4"/>
  <c r="E210" i="4"/>
  <c r="E209" i="4"/>
  <c r="E208" i="4"/>
  <c r="C207" i="4"/>
  <c r="E206" i="4"/>
  <c r="E205" i="4"/>
  <c r="E204" i="4"/>
  <c r="E203" i="4"/>
  <c r="C202" i="4"/>
  <c r="E201" i="4"/>
  <c r="E200" i="4"/>
  <c r="E199" i="4"/>
  <c r="E198" i="4"/>
  <c r="C197" i="4"/>
  <c r="E196" i="4"/>
  <c r="E195" i="4"/>
  <c r="E194" i="4"/>
  <c r="E193" i="4"/>
  <c r="C192" i="4"/>
  <c r="E191" i="4"/>
  <c r="E190" i="4"/>
  <c r="E189" i="4"/>
  <c r="C188" i="4"/>
  <c r="E187" i="4"/>
  <c r="E185" i="4"/>
  <c r="E184" i="4"/>
  <c r="C183" i="4"/>
  <c r="E182" i="4"/>
  <c r="E181" i="4"/>
  <c r="E180" i="4"/>
  <c r="E179" i="4"/>
  <c r="C178" i="4"/>
  <c r="E177" i="4"/>
  <c r="E176" i="4"/>
  <c r="C175" i="4"/>
  <c r="E174" i="4"/>
  <c r="E173" i="4"/>
  <c r="E172" i="4"/>
  <c r="E175" i="4" s="1"/>
  <c r="C171" i="4"/>
  <c r="E170" i="4"/>
  <c r="E168" i="4"/>
  <c r="E167" i="4"/>
  <c r="C166" i="4"/>
  <c r="E165" i="4"/>
  <c r="E164" i="4"/>
  <c r="E163" i="4"/>
  <c r="E162" i="4"/>
  <c r="C161" i="4"/>
  <c r="E160" i="4"/>
  <c r="E159" i="4"/>
  <c r="E158" i="4"/>
  <c r="E157" i="4"/>
  <c r="C156" i="4"/>
  <c r="E155" i="4"/>
  <c r="E154" i="4"/>
  <c r="E153" i="4"/>
  <c r="E152" i="4"/>
  <c r="C151" i="4"/>
  <c r="E150" i="4"/>
  <c r="E149" i="4"/>
  <c r="C148" i="4"/>
  <c r="E147" i="4"/>
  <c r="E146" i="4"/>
  <c r="E145" i="4"/>
  <c r="C144" i="4"/>
  <c r="E143" i="4"/>
  <c r="E142" i="4"/>
  <c r="E141" i="4"/>
  <c r="E140" i="4"/>
  <c r="C139" i="4"/>
  <c r="E138" i="4"/>
  <c r="E137" i="4"/>
  <c r="E136" i="4"/>
  <c r="E135" i="4"/>
  <c r="C134" i="4"/>
  <c r="E133" i="4"/>
  <c r="E132" i="4"/>
  <c r="E131" i="4"/>
  <c r="C130" i="4"/>
  <c r="E129" i="4"/>
  <c r="E128" i="4"/>
  <c r="E127" i="4"/>
  <c r="E126" i="4"/>
  <c r="C125" i="4"/>
  <c r="E124" i="4"/>
  <c r="E123" i="4"/>
  <c r="E122" i="4"/>
  <c r="E121" i="4"/>
  <c r="C120" i="4"/>
  <c r="E119" i="4"/>
  <c r="E117" i="4"/>
  <c r="E116" i="4"/>
  <c r="C115" i="4"/>
  <c r="E114" i="4"/>
  <c r="E113" i="4"/>
  <c r="E112" i="4"/>
  <c r="E110" i="4"/>
  <c r="E109" i="4"/>
  <c r="E108" i="4"/>
  <c r="C107" i="4"/>
  <c r="E106" i="4"/>
  <c r="E105" i="4"/>
  <c r="E104" i="4"/>
  <c r="E101" i="4"/>
  <c r="E100" i="4"/>
  <c r="E99" i="4"/>
  <c r="E103" i="4" s="1"/>
  <c r="C98" i="4"/>
  <c r="E97" i="4"/>
  <c r="E96" i="4"/>
  <c r="E95" i="4"/>
  <c r="C94" i="4"/>
  <c r="E93" i="4"/>
  <c r="E91" i="4"/>
  <c r="E90" i="4"/>
  <c r="C89" i="4"/>
  <c r="E88" i="4"/>
  <c r="E87" i="4"/>
  <c r="E86" i="4"/>
  <c r="C85" i="4"/>
  <c r="E84" i="4"/>
  <c r="E83" i="4"/>
  <c r="E82" i="4"/>
  <c r="E81" i="4"/>
  <c r="C80" i="4"/>
  <c r="E79" i="4"/>
  <c r="E77" i="4"/>
  <c r="E76" i="4"/>
  <c r="C75" i="4"/>
  <c r="E74" i="4"/>
  <c r="E73" i="4"/>
  <c r="E72" i="4"/>
  <c r="E71" i="4"/>
  <c r="C70" i="4"/>
  <c r="E69" i="4"/>
  <c r="E68" i="4"/>
  <c r="C67" i="4"/>
  <c r="E66" i="4"/>
  <c r="E64" i="4"/>
  <c r="C63" i="4"/>
  <c r="E62" i="4"/>
  <c r="E61" i="4"/>
  <c r="E60" i="4"/>
  <c r="C59" i="4"/>
  <c r="E58" i="4"/>
  <c r="E57" i="4"/>
  <c r="E56" i="4"/>
  <c r="C55" i="4"/>
  <c r="E54" i="4"/>
  <c r="E53" i="4"/>
  <c r="E52" i="4"/>
  <c r="E51" i="4"/>
  <c r="C50" i="4"/>
  <c r="E49" i="4"/>
  <c r="E48" i="4"/>
  <c r="E47" i="4"/>
  <c r="E46" i="4"/>
  <c r="C45" i="4"/>
  <c r="E44" i="4"/>
  <c r="E43" i="4"/>
  <c r="E42" i="4"/>
  <c r="E41" i="4"/>
  <c r="C40" i="4"/>
  <c r="E39" i="4"/>
  <c r="E38" i="4"/>
  <c r="E37" i="4"/>
  <c r="E36" i="4"/>
  <c r="C35" i="4"/>
  <c r="E34" i="4"/>
  <c r="E33" i="4"/>
  <c r="E32" i="4"/>
  <c r="E31" i="4"/>
  <c r="C30" i="4"/>
  <c r="E29" i="4"/>
  <c r="E28" i="4"/>
  <c r="E27" i="4"/>
  <c r="E26" i="4"/>
  <c r="C25" i="4"/>
  <c r="E24" i="4"/>
  <c r="E23" i="4"/>
  <c r="E22" i="4"/>
  <c r="E21" i="4"/>
  <c r="C20" i="4"/>
  <c r="E19" i="4"/>
  <c r="E18" i="4"/>
  <c r="E17" i="4"/>
  <c r="C16" i="4"/>
  <c r="E15" i="4"/>
  <c r="E14" i="4"/>
  <c r="E13" i="4"/>
  <c r="E12" i="4"/>
  <c r="C11" i="4"/>
  <c r="E10" i="4"/>
  <c r="E9" i="4"/>
  <c r="E8" i="4"/>
  <c r="E7" i="4"/>
  <c r="C6" i="4"/>
  <c r="E5" i="4"/>
  <c r="E4" i="4"/>
  <c r="E3" i="4"/>
  <c r="E2" i="4"/>
  <c r="G70" i="3"/>
  <c r="F70" i="3"/>
  <c r="E70" i="3"/>
  <c r="D70" i="3"/>
  <c r="D70" i="2"/>
  <c r="C70" i="2"/>
  <c r="E51" i="2"/>
  <c r="I51" i="2" s="1"/>
  <c r="E49" i="2"/>
  <c r="I49" i="2" s="1"/>
  <c r="E44" i="2"/>
  <c r="I44" i="2" s="1"/>
  <c r="E29" i="2"/>
  <c r="I29" i="2" s="1"/>
  <c r="E16" i="2"/>
  <c r="I16" i="2" s="1"/>
  <c r="E7" i="2"/>
  <c r="I7" i="2" s="1"/>
  <c r="E65" i="2"/>
  <c r="I65" i="2" s="1"/>
  <c r="E54" i="2"/>
  <c r="I54" i="2" s="1"/>
  <c r="E53" i="2"/>
  <c r="I53" i="2" s="1"/>
  <c r="E36" i="2"/>
  <c r="I36" i="2" s="1"/>
  <c r="E60" i="2"/>
  <c r="I60" i="2" s="1"/>
  <c r="E59" i="2"/>
  <c r="I59" i="2" s="1"/>
  <c r="E52" i="2"/>
  <c r="I52" i="2" s="1"/>
  <c r="E50" i="2"/>
  <c r="I50" i="2" s="1"/>
  <c r="E41" i="2"/>
  <c r="I41" i="2" s="1"/>
  <c r="E17" i="2"/>
  <c r="I17" i="2" s="1"/>
  <c r="E6" i="2"/>
  <c r="I6" i="2" s="1"/>
  <c r="E58" i="2"/>
  <c r="I58" i="2" s="1"/>
  <c r="E57" i="2"/>
  <c r="I57" i="2" s="1"/>
  <c r="E56" i="2"/>
  <c r="I56" i="2" s="1"/>
  <c r="E47" i="2"/>
  <c r="I47" i="2" s="1"/>
  <c r="E45" i="2"/>
  <c r="I45" i="2" s="1"/>
  <c r="E42" i="2"/>
  <c r="I42" i="2" s="1"/>
  <c r="E37" i="2"/>
  <c r="I37" i="2" s="1"/>
  <c r="E35" i="2"/>
  <c r="I35" i="2" s="1"/>
  <c r="E27" i="2"/>
  <c r="I27" i="2" s="1"/>
  <c r="E12" i="2"/>
  <c r="I12" i="2" s="1"/>
  <c r="E11" i="2"/>
  <c r="I11" i="2" s="1"/>
  <c r="E9" i="2"/>
  <c r="I9" i="2" s="1"/>
  <c r="E4" i="2"/>
  <c r="I4" i="2" s="1"/>
  <c r="E2" i="2"/>
  <c r="I2" i="2" s="1"/>
  <c r="E67" i="2"/>
  <c r="I67" i="2" s="1"/>
  <c r="E61" i="2"/>
  <c r="I61" i="2" s="1"/>
  <c r="E55" i="2"/>
  <c r="I55" i="2" s="1"/>
  <c r="E46" i="2"/>
  <c r="I46" i="2" s="1"/>
  <c r="E43" i="2"/>
  <c r="I43" i="2" s="1"/>
  <c r="E31" i="2"/>
  <c r="I31" i="2" s="1"/>
  <c r="E28" i="2"/>
  <c r="I28" i="2" s="1"/>
  <c r="E18" i="2"/>
  <c r="I18" i="2" s="1"/>
  <c r="E13" i="2"/>
  <c r="I13" i="2" s="1"/>
  <c r="E10" i="2"/>
  <c r="I10" i="2" s="1"/>
  <c r="E66" i="2"/>
  <c r="I66" i="2" s="1"/>
  <c r="E62" i="2"/>
  <c r="I62" i="2" s="1"/>
  <c r="E48" i="2"/>
  <c r="I48" i="2" s="1"/>
  <c r="E40" i="2"/>
  <c r="I40" i="2" s="1"/>
  <c r="E38" i="2"/>
  <c r="I38" i="2" s="1"/>
  <c r="E32" i="2"/>
  <c r="I32" i="2" s="1"/>
  <c r="E26" i="2"/>
  <c r="I26" i="2" s="1"/>
  <c r="E20" i="2"/>
  <c r="I20" i="2" s="1"/>
  <c r="E14" i="2"/>
  <c r="I14" i="2" s="1"/>
  <c r="E5" i="2"/>
  <c r="I5" i="2" s="1"/>
  <c r="E68" i="2"/>
  <c r="I68" i="2" s="1"/>
  <c r="E63" i="2"/>
  <c r="I63" i="2" s="1"/>
  <c r="E33" i="2"/>
  <c r="I33" i="2" s="1"/>
  <c r="E30" i="2"/>
  <c r="I30" i="2" s="1"/>
  <c r="E25" i="2"/>
  <c r="I25" i="2" s="1"/>
  <c r="E24" i="2"/>
  <c r="I24" i="2" s="1"/>
  <c r="E22" i="2"/>
  <c r="I22" i="2" s="1"/>
  <c r="E21" i="2"/>
  <c r="I21" i="2" s="1"/>
  <c r="E19" i="2"/>
  <c r="I19" i="2" s="1"/>
  <c r="E15" i="2"/>
  <c r="I15" i="2" s="1"/>
  <c r="E8" i="2"/>
  <c r="I8" i="2" s="1"/>
  <c r="E3" i="2"/>
  <c r="I3" i="2" s="1"/>
  <c r="E64" i="2"/>
  <c r="I64" i="2" s="1"/>
  <c r="E39" i="2"/>
  <c r="I39" i="2" s="1"/>
  <c r="E34" i="2"/>
  <c r="I34" i="2" s="1"/>
  <c r="E23" i="2"/>
  <c r="I23" i="2" s="1"/>
  <c r="E316" i="4" l="1"/>
  <c r="E244" i="4"/>
  <c r="E314" i="4"/>
  <c r="E317" i="4"/>
  <c r="E315" i="4"/>
  <c r="E25" i="4"/>
  <c r="E107" i="4"/>
  <c r="E178" i="4"/>
  <c r="E296" i="4"/>
  <c r="E304" i="4"/>
  <c r="E215" i="4"/>
  <c r="E63" i="4"/>
  <c r="E98" i="4"/>
  <c r="E115" i="4"/>
  <c r="E161" i="4"/>
  <c r="E50" i="4"/>
  <c r="E269" i="4"/>
  <c r="E278" i="4"/>
  <c r="E249" i="4"/>
  <c r="E300" i="4"/>
  <c r="E283" i="4"/>
  <c r="E80" i="4"/>
  <c r="E235" i="4"/>
  <c r="E70" i="4"/>
  <c r="E291" i="4"/>
  <c r="E139" i="4"/>
  <c r="E148" i="4"/>
  <c r="E30" i="4"/>
  <c r="E16" i="4"/>
  <c r="E35" i="4"/>
  <c r="E166" i="4"/>
  <c r="E151" i="4"/>
  <c r="E220" i="4"/>
  <c r="E6" i="4"/>
  <c r="E45" i="4"/>
  <c r="E55" i="4"/>
  <c r="E156" i="4"/>
  <c r="E230" i="4"/>
  <c r="E207" i="4"/>
  <c r="E188" i="4"/>
  <c r="E171" i="4"/>
  <c r="E144" i="4"/>
  <c r="E125" i="4"/>
  <c r="E111" i="4"/>
  <c r="E94" i="4"/>
  <c r="E85" i="4"/>
  <c r="E67" i="4"/>
  <c r="E59" i="4"/>
  <c r="E202" i="4"/>
  <c r="E309" i="4"/>
  <c r="E264" i="4"/>
  <c r="E11" i="4"/>
  <c r="E40" i="4"/>
  <c r="E20" i="4"/>
  <c r="E134" i="4"/>
  <c r="E192" i="4"/>
  <c r="E288" i="4"/>
  <c r="C318" i="4"/>
  <c r="E130" i="4"/>
  <c r="C311" i="4"/>
  <c r="E120" i="4"/>
  <c r="E225" i="4"/>
  <c r="E254" i="4"/>
  <c r="E75" i="4"/>
  <c r="E89" i="4"/>
  <c r="E197" i="4"/>
  <c r="E212" i="4"/>
  <c r="E239" i="4"/>
  <c r="E274" i="4"/>
  <c r="E183" i="4"/>
  <c r="E259" i="4"/>
  <c r="F70" i="6"/>
  <c r="K26" i="6"/>
  <c r="L26" i="6" s="1"/>
  <c r="K41" i="6"/>
  <c r="L41" i="6" s="1"/>
  <c r="K46" i="6"/>
  <c r="L46" i="6" s="1"/>
  <c r="K51" i="6"/>
  <c r="L51" i="6" s="1"/>
  <c r="K12" i="6"/>
  <c r="L12" i="6" s="1"/>
  <c r="K17" i="6"/>
  <c r="L17" i="6" s="1"/>
  <c r="K3" i="6"/>
  <c r="L3" i="6" s="1"/>
  <c r="K8" i="6"/>
  <c r="L8" i="6" s="1"/>
  <c r="K42" i="6"/>
  <c r="L42" i="6" s="1"/>
  <c r="K57" i="6"/>
  <c r="L57" i="6" s="1"/>
  <c r="K62" i="6"/>
  <c r="L62" i="6" s="1"/>
  <c r="K23" i="6"/>
  <c r="L23" i="6" s="1"/>
  <c r="K33" i="6"/>
  <c r="L33" i="6" s="1"/>
  <c r="K38" i="6"/>
  <c r="L38" i="6" s="1"/>
  <c r="K43" i="6"/>
  <c r="L43" i="6" s="1"/>
  <c r="I70" i="6"/>
  <c r="J70" i="6"/>
  <c r="K14" i="6"/>
  <c r="L14" i="6" s="1"/>
  <c r="K19" i="6"/>
  <c r="L19" i="6" s="1"/>
  <c r="K24" i="6"/>
  <c r="L24" i="6" s="1"/>
  <c r="K58" i="6"/>
  <c r="L58" i="6" s="1"/>
  <c r="K39" i="6"/>
  <c r="L39" i="6" s="1"/>
  <c r="K44" i="6"/>
  <c r="L44" i="6" s="1"/>
  <c r="K54" i="6"/>
  <c r="L54" i="6" s="1"/>
  <c r="K59" i="6"/>
  <c r="L59" i="6" s="1"/>
  <c r="K15" i="6"/>
  <c r="L15" i="6" s="1"/>
  <c r="K30" i="6"/>
  <c r="L30" i="6" s="1"/>
  <c r="K35" i="6"/>
  <c r="L35" i="6" s="1"/>
  <c r="K11" i="6"/>
  <c r="L11" i="6" s="1"/>
  <c r="K16" i="6"/>
  <c r="L16" i="6" s="1"/>
  <c r="K50" i="6"/>
  <c r="L50" i="6" s="1"/>
  <c r="K60" i="6"/>
  <c r="L60" i="6" s="1"/>
  <c r="K65" i="6"/>
  <c r="L65" i="6" s="1"/>
  <c r="L2" i="6"/>
  <c r="B7" i="5"/>
  <c r="E70" i="2"/>
  <c r="B7" i="1"/>
  <c r="B11" i="1" l="1"/>
  <c r="D9" i="10"/>
  <c r="B16" i="1"/>
  <c r="C319" i="4"/>
  <c r="E311" i="4"/>
  <c r="E318" i="4"/>
  <c r="K70" i="6"/>
  <c r="B17" i="1"/>
  <c r="Q78" i="7"/>
  <c r="E319" i="4" l="1"/>
  <c r="B21" i="1"/>
  <c r="J2" i="2" l="1"/>
  <c r="J44" i="2"/>
  <c r="J50" i="2"/>
  <c r="J19" i="2"/>
  <c r="J52" i="2"/>
  <c r="J47" i="2"/>
  <c r="J64" i="2"/>
  <c r="J32" i="2"/>
  <c r="J26" i="2"/>
  <c r="J41" i="2"/>
  <c r="J17" i="2"/>
  <c r="J31" i="2"/>
  <c r="J61" i="2"/>
  <c r="J63" i="2"/>
  <c r="J57" i="2"/>
  <c r="J7" i="2"/>
  <c r="J35" i="2"/>
  <c r="J5" i="2"/>
  <c r="J36" i="2"/>
  <c r="J39" i="2"/>
  <c r="J43" i="2"/>
  <c r="J3" i="2"/>
  <c r="J54" i="2"/>
  <c r="J45" i="2"/>
  <c r="J21" i="2"/>
  <c r="J13" i="2"/>
  <c r="J33" i="2"/>
  <c r="J42" i="2"/>
  <c r="J18" i="2"/>
  <c r="J62" i="2"/>
  <c r="J4" i="2"/>
  <c r="J38" i="2"/>
  <c r="J25" i="2"/>
  <c r="J15" i="2"/>
  <c r="J6" i="2"/>
  <c r="J55" i="2"/>
  <c r="J68" i="2"/>
  <c r="J60" i="2"/>
  <c r="J12" i="2"/>
  <c r="J11" i="2"/>
  <c r="J46" i="2"/>
  <c r="J37" i="2"/>
  <c r="J58" i="2"/>
  <c r="J66" i="2"/>
  <c r="J51" i="2"/>
  <c r="J40" i="2"/>
  <c r="J24" i="2"/>
  <c r="J65" i="2"/>
  <c r="J59" i="2"/>
  <c r="J20" i="2"/>
  <c r="J29" i="2"/>
  <c r="J49" i="2"/>
  <c r="J56" i="2"/>
  <c r="J28" i="2"/>
  <c r="J22" i="2"/>
  <c r="J34" i="2"/>
  <c r="J8" i="2"/>
  <c r="J16" i="2"/>
  <c r="J9" i="2"/>
  <c r="J53" i="2"/>
  <c r="J67" i="2"/>
  <c r="J30" i="2"/>
  <c r="J14" i="2"/>
  <c r="J27" i="2"/>
  <c r="J48" i="2"/>
  <c r="J10" i="2"/>
  <c r="B22" i="1"/>
  <c r="K18" i="2" l="1"/>
  <c r="K42" i="2"/>
  <c r="K63" i="2"/>
  <c r="K37" i="2"/>
  <c r="K46" i="2"/>
  <c r="K34" i="2"/>
  <c r="K12" i="2"/>
  <c r="K28" i="2"/>
  <c r="K56" i="2"/>
  <c r="K64" i="2"/>
  <c r="K53" i="2"/>
  <c r="K9" i="2"/>
  <c r="K16" i="2"/>
  <c r="K31" i="2"/>
  <c r="K21" i="2"/>
  <c r="K22" i="2"/>
  <c r="K26" i="2"/>
  <c r="K43" i="2"/>
  <c r="K55" i="2"/>
  <c r="K20" i="2"/>
  <c r="K15" i="2"/>
  <c r="K66" i="2"/>
  <c r="K58" i="2"/>
  <c r="K33" i="2"/>
  <c r="K13" i="2"/>
  <c r="K11" i="2"/>
  <c r="K41" i="2"/>
  <c r="K60" i="2"/>
  <c r="K3" i="2"/>
  <c r="K68" i="2"/>
  <c r="K39" i="2"/>
  <c r="K36" i="2"/>
  <c r="K48" i="2"/>
  <c r="K5" i="2"/>
  <c r="K27" i="2"/>
  <c r="K19" i="2"/>
  <c r="K24" i="2"/>
  <c r="K4" i="2"/>
  <c r="K44" i="2"/>
  <c r="K57" i="2"/>
  <c r="K61" i="2"/>
  <c r="K8" i="2"/>
  <c r="K17" i="2"/>
  <c r="K45" i="2"/>
  <c r="K54" i="2"/>
  <c r="K49" i="2"/>
  <c r="K32" i="2"/>
  <c r="K29" i="2"/>
  <c r="K10" i="2"/>
  <c r="K6" i="2"/>
  <c r="K47" i="2"/>
  <c r="K59" i="2"/>
  <c r="K52" i="2"/>
  <c r="K65" i="2"/>
  <c r="K25" i="2"/>
  <c r="K14" i="2"/>
  <c r="K38" i="2"/>
  <c r="K50" i="2"/>
  <c r="K30" i="2"/>
  <c r="K40" i="2"/>
  <c r="K35" i="2"/>
  <c r="K67" i="2"/>
  <c r="K51" i="2"/>
  <c r="K62" i="2"/>
  <c r="K7" i="2"/>
  <c r="K2" i="2"/>
  <c r="J23" i="2"/>
  <c r="I70" i="2"/>
  <c r="I71" i="2" l="1"/>
  <c r="I76" i="2"/>
  <c r="J70" i="2"/>
  <c r="K70" i="2" s="1"/>
  <c r="K23" i="2"/>
</calcChain>
</file>

<file path=xl/sharedStrings.xml><?xml version="1.0" encoding="utf-8"?>
<sst xmlns="http://schemas.openxmlformats.org/spreadsheetml/2006/main" count="1419" uniqueCount="283">
  <si>
    <t>New Revenue Summary</t>
  </si>
  <si>
    <r>
      <t xml:space="preserve">Statutorily Required Amount to Reserve </t>
    </r>
    <r>
      <rPr>
        <sz val="14"/>
        <color theme="1"/>
        <rFont val="Franklin Gothic Book"/>
        <family val="2"/>
      </rPr>
      <t>(10%)</t>
    </r>
  </si>
  <si>
    <r>
      <t xml:space="preserve">Jury Management Funding </t>
    </r>
    <r>
      <rPr>
        <sz val="14"/>
        <color theme="1"/>
        <rFont val="Franklin Gothic Book"/>
        <family val="2"/>
      </rPr>
      <t>(State GR)</t>
    </r>
  </si>
  <si>
    <t>Year-over-Year Revenue-Limited Budget Increase</t>
  </si>
  <si>
    <t>Year-over-Year Total Court-Side Budget Authority Increase</t>
  </si>
  <si>
    <t>s. 28.35(2)(f), F.S. - requires the CCOC to ensure that the total combined budgets of the clerks do not exceed the total estimated revenues from fees, service charges, court costs, and fines for court-related functions as determined by the Revenue Estimating Conference, plus the total court-related unspent budgeted funds carried forward, plus the Cumulative Excess funds carried forward, and any other appropriations.</t>
  </si>
  <si>
    <t>CFY 2026-27 Total Court-Side Budget Authority</t>
  </si>
  <si>
    <r>
      <t>Cumulative Excess - Clerks' Share of 50%</t>
    </r>
    <r>
      <rPr>
        <sz val="14"/>
        <color theme="1"/>
        <rFont val="Franklin Gothic Book"/>
        <family val="2"/>
      </rPr>
      <t xml:space="preserve"> (CFY 2024-25)  </t>
    </r>
  </si>
  <si>
    <r>
      <t xml:space="preserve">Unspent Budgeted Funds </t>
    </r>
    <r>
      <rPr>
        <sz val="14"/>
        <color theme="1"/>
        <rFont val="Franklin Gothic Book"/>
        <family val="2"/>
      </rPr>
      <t>(CFY 2024-25)</t>
    </r>
  </si>
  <si>
    <r>
      <t xml:space="preserve">Prior Year Revenue-Limited Budget </t>
    </r>
    <r>
      <rPr>
        <sz val="14"/>
        <color theme="1"/>
        <rFont val="Franklin Gothic Book"/>
        <family val="2"/>
      </rPr>
      <t>(CFY 2025-26)</t>
    </r>
  </si>
  <si>
    <r>
      <t xml:space="preserve">Prior Year Total Court-Side Budget Authority </t>
    </r>
    <r>
      <rPr>
        <sz val="14"/>
        <color theme="1"/>
        <rFont val="Franklin Gothic Book"/>
        <family val="2"/>
      </rPr>
      <t>(CFY 2025-26)</t>
    </r>
  </si>
  <si>
    <t>County</t>
  </si>
  <si>
    <t>Peer
Group</t>
  </si>
  <si>
    <r>
      <rPr>
        <b/>
        <sz val="10"/>
        <color rgb="FF00B050"/>
        <rFont val="Franklin Gothic Book"/>
        <family val="2"/>
      </rPr>
      <t>ADD</t>
    </r>
    <r>
      <rPr>
        <b/>
        <sz val="10"/>
        <rFont val="Franklin Gothic Book"/>
        <family val="2"/>
      </rPr>
      <t xml:space="preserve">
FRS 
Increase</t>
    </r>
  </si>
  <si>
    <t>Weighted Workload Measure 
(CFY 2023-24)</t>
  </si>
  <si>
    <t>CFY 2025-26 Revenue-Limited Budget</t>
  </si>
  <si>
    <t>Year-over-year Increase</t>
  </si>
  <si>
    <t>Increase Over Current Year Budget</t>
  </si>
  <si>
    <t>Gulf</t>
  </si>
  <si>
    <t>Lafayette</t>
  </si>
  <si>
    <t>Liberty</t>
  </si>
  <si>
    <t>Union</t>
  </si>
  <si>
    <t>Baker</t>
  </si>
  <si>
    <t>Calhoun</t>
  </si>
  <si>
    <t>Dixie</t>
  </si>
  <si>
    <t>Franklin</t>
  </si>
  <si>
    <t>Gilchrist</t>
  </si>
  <si>
    <t>Glades</t>
  </si>
  <si>
    <t>Hamilton</t>
  </si>
  <si>
    <t>Hardee</t>
  </si>
  <si>
    <t>Holmes</t>
  </si>
  <si>
    <t>Jefferson</t>
  </si>
  <si>
    <t>Taylor</t>
  </si>
  <si>
    <t>Washington</t>
  </si>
  <si>
    <t>Bradford</t>
  </si>
  <si>
    <t>DeSoto</t>
  </si>
  <si>
    <t>Gadsden</t>
  </si>
  <si>
    <t>Hendry</t>
  </si>
  <si>
    <t>Jackson</t>
  </si>
  <si>
    <t>Levy</t>
  </si>
  <si>
    <t>Madison</t>
  </si>
  <si>
    <t>Okeechobee</t>
  </si>
  <si>
    <t>Suwannee</t>
  </si>
  <si>
    <t>Wakulla</t>
  </si>
  <si>
    <t>Citrus</t>
  </si>
  <si>
    <t>Columbia</t>
  </si>
  <si>
    <t>Flagler</t>
  </si>
  <si>
    <t>Highlands</t>
  </si>
  <si>
    <t>Indian River</t>
  </si>
  <si>
    <t>Martin</t>
  </si>
  <si>
    <t>Nassau</t>
  </si>
  <si>
    <t>Putnam</t>
  </si>
  <si>
    <t>Sumter</t>
  </si>
  <si>
    <t>Walton</t>
  </si>
  <si>
    <t>Alachua</t>
  </si>
  <si>
    <t>Bay</t>
  </si>
  <si>
    <t>Charlotte</t>
  </si>
  <si>
    <t>Clay</t>
  </si>
  <si>
    <t>Collier</t>
  </si>
  <si>
    <t>Hernando</t>
  </si>
  <si>
    <t>Lake</t>
  </si>
  <si>
    <t>Leon</t>
  </si>
  <si>
    <t>Marion</t>
  </si>
  <si>
    <t>Monroe</t>
  </si>
  <si>
    <t>Okaloosa</t>
  </si>
  <si>
    <t>Saint Johns</t>
  </si>
  <si>
    <t>Saint Lucie</t>
  </si>
  <si>
    <t>Santa Rosa</t>
  </si>
  <si>
    <t>Brevard</t>
  </si>
  <si>
    <t>Escambia</t>
  </si>
  <si>
    <t>Manatee</t>
  </si>
  <si>
    <t>Osceola</t>
  </si>
  <si>
    <t>Pasco</t>
  </si>
  <si>
    <t>Sarasota</t>
  </si>
  <si>
    <t>Seminole</t>
  </si>
  <si>
    <t>Lee</t>
  </si>
  <si>
    <t>Pinellas</t>
  </si>
  <si>
    <t>Polk</t>
  </si>
  <si>
    <t>Volusia</t>
  </si>
  <si>
    <t>Broward</t>
  </si>
  <si>
    <t>Duval</t>
  </si>
  <si>
    <t>Hillsborough</t>
  </si>
  <si>
    <t>Miami-Dade</t>
  </si>
  <si>
    <t>Orange</t>
  </si>
  <si>
    <t>Palm Beach</t>
  </si>
  <si>
    <t>STATEWIDE TOTAL</t>
  </si>
  <si>
    <t>weighted cases</t>
  </si>
  <si>
    <t xml:space="preserve">Jury Reimbursement Funding:   </t>
  </si>
  <si>
    <t xml:space="preserve">TOTAL COURT-RELATED BUDGET:  </t>
  </si>
  <si>
    <t>Weighted Workload Measure 
(CFY 2022-23)</t>
  </si>
  <si>
    <t>Weighted Workload Measure 
(CFY 2021-22)</t>
  </si>
  <si>
    <t>Weighted Workload Measure 
(CFY 2020-21)</t>
  </si>
  <si>
    <t>Weighted Workload Measure 
(CFY 2024-25)</t>
  </si>
  <si>
    <t>CFY 2026-27
Base Budget</t>
  </si>
  <si>
    <t>CFY 2026-27 Revenue-Limited Budget</t>
  </si>
  <si>
    <t>FRS Type</t>
  </si>
  <si>
    <t>Salary Allocation Court Amount</t>
  </si>
  <si>
    <t>FRS Increase %</t>
  </si>
  <si>
    <t>Reg EE</t>
  </si>
  <si>
    <t>SMS</t>
  </si>
  <si>
    <t>DROP</t>
  </si>
  <si>
    <t>Clerk</t>
  </si>
  <si>
    <t>Alachua Total</t>
  </si>
  <si>
    <t>Baker Total</t>
  </si>
  <si>
    <t>Bay Total</t>
  </si>
  <si>
    <t>Bradford Total</t>
  </si>
  <si>
    <t>Brevard Total</t>
  </si>
  <si>
    <t>Broward Total</t>
  </si>
  <si>
    <t>Calhoun Total</t>
  </si>
  <si>
    <t>Charlotte Total</t>
  </si>
  <si>
    <t>Citrus Total</t>
  </si>
  <si>
    <t>Clay Total</t>
  </si>
  <si>
    <t>Collier Total</t>
  </si>
  <si>
    <t>Columbia Total</t>
  </si>
  <si>
    <t>DeSoto Total</t>
  </si>
  <si>
    <t>Dixie Total</t>
  </si>
  <si>
    <t>Non-FRS (Inv. Plan &amp; Pension)</t>
  </si>
  <si>
    <t>Duval Total</t>
  </si>
  <si>
    <t>Escambia Total</t>
  </si>
  <si>
    <t>Flagler Total</t>
  </si>
  <si>
    <t>Franklin Total</t>
  </si>
  <si>
    <t>Gadsden Total</t>
  </si>
  <si>
    <t>Gilchrist Total</t>
  </si>
  <si>
    <t>Glades Total</t>
  </si>
  <si>
    <t>Gulf Total</t>
  </si>
  <si>
    <t>Hamilton Total</t>
  </si>
  <si>
    <t>Hardee Total</t>
  </si>
  <si>
    <t>Hendry Total</t>
  </si>
  <si>
    <t>Hernando Total</t>
  </si>
  <si>
    <t>Highlands Total</t>
  </si>
  <si>
    <t>Hillsborough Total</t>
  </si>
  <si>
    <t>Holmes Total</t>
  </si>
  <si>
    <t>Indian River Total</t>
  </si>
  <si>
    <t>Jackson Total</t>
  </si>
  <si>
    <t>Jefferson Total</t>
  </si>
  <si>
    <t>Lafayette Total</t>
  </si>
  <si>
    <t>Lake Total</t>
  </si>
  <si>
    <t>Lee Total</t>
  </si>
  <si>
    <t>Leon Total</t>
  </si>
  <si>
    <t>Levy Total</t>
  </si>
  <si>
    <t>Liberty Total</t>
  </si>
  <si>
    <t>Madison Total</t>
  </si>
  <si>
    <t>Manatee Total</t>
  </si>
  <si>
    <t>Marion Total</t>
  </si>
  <si>
    <t>Martin Total</t>
  </si>
  <si>
    <t>Miami-Dade Total</t>
  </si>
  <si>
    <t>Monroe Total</t>
  </si>
  <si>
    <t>Nassau Total</t>
  </si>
  <si>
    <t>Okaloosa Total</t>
  </si>
  <si>
    <t>Okeechobee Total</t>
  </si>
  <si>
    <t>Orange Total</t>
  </si>
  <si>
    <t>Osceola Total</t>
  </si>
  <si>
    <t>Palm Beach Total</t>
  </si>
  <si>
    <t>Pasco Total</t>
  </si>
  <si>
    <t>Pinellas Total</t>
  </si>
  <si>
    <t>Polk Total</t>
  </si>
  <si>
    <t>Putnam Total</t>
  </si>
  <si>
    <t>Saint Johns Total</t>
  </si>
  <si>
    <t>Saint Lucie Total</t>
  </si>
  <si>
    <t>Santa Rosa Total</t>
  </si>
  <si>
    <t>Sarasota Total</t>
  </si>
  <si>
    <t>Seminole Total</t>
  </si>
  <si>
    <t>Sumter Total</t>
  </si>
  <si>
    <t>Suwannee Total</t>
  </si>
  <si>
    <t>Taylor Total</t>
  </si>
  <si>
    <t>Union Total</t>
  </si>
  <si>
    <t>Volusia Total</t>
  </si>
  <si>
    <t>Wakulla Total</t>
  </si>
  <si>
    <t>Walton Total</t>
  </si>
  <si>
    <t>Washington Total</t>
  </si>
  <si>
    <t>Grand Total</t>
  </si>
  <si>
    <t>2026 
FRS Increase</t>
  </si>
  <si>
    <t>Excess Revenue Collected Above the REC Estimate</t>
  </si>
  <si>
    <t>Clerks' Share of the Cumulative Excess (50%)</t>
  </si>
  <si>
    <t>Statutorily Required Amount to Reserve (10%)</t>
  </si>
  <si>
    <t>s. 28.36(2)(b), F.S. - "the portion of the balance of funds remaining in the Clerks of the Court Trust Fund after the transfer of funds to the General Revenue Fund required pursuant to s. 28.37(4)(b)"</t>
  </si>
  <si>
    <t>s. 28.37(2)(a), F.S. - defines "Cumulative excess" to mean revenues derived from fines, fees, service charges, and court costs collected by the clerks of the court which are greater than the original revenue projection</t>
  </si>
  <si>
    <t>Cumulative Excess Calculation Summary (CFY 2024-25)</t>
  </si>
  <si>
    <r>
      <t xml:space="preserve">REC Revenue Estimate </t>
    </r>
    <r>
      <rPr>
        <sz val="14"/>
        <rFont val="Franklin Gothic Book"/>
        <family val="2"/>
      </rPr>
      <t xml:space="preserve">(Used to Build CFY 2024-25 Budget)  </t>
    </r>
    <r>
      <rPr>
        <u/>
        <sz val="14"/>
        <rFont val="Franklin Gothic Book"/>
        <family val="2"/>
      </rPr>
      <t>[July 2024</t>
    </r>
    <r>
      <rPr>
        <sz val="14"/>
        <rFont val="Franklin Gothic Book"/>
        <family val="2"/>
      </rPr>
      <t>]</t>
    </r>
  </si>
  <si>
    <r>
      <t xml:space="preserve">Actual Revenues Collected (Settle-Up Calculation) </t>
    </r>
    <r>
      <rPr>
        <sz val="14"/>
        <rFont val="Franklin Gothic Book"/>
        <family val="2"/>
      </rPr>
      <t xml:space="preserve">(CFY 2024-25) </t>
    </r>
  </si>
  <si>
    <t>CFY 2024-25 Cumulative Excess</t>
  </si>
  <si>
    <t>Final Budget Authority 
(Adopted by Exec. Council 9/10/24)</t>
  </si>
  <si>
    <t>CCOC Revenues
(Sep 24-Aug 25)
(EC Report)</t>
  </si>
  <si>
    <t>Funds Received from Trust Fund
(Sep 24-Aug 25)
(EC Report)</t>
  </si>
  <si>
    <t>Additional Revenues from Trust Fund
(EC Report)</t>
  </si>
  <si>
    <t>Total Revenues + Funds from Trust Fund</t>
  </si>
  <si>
    <t>Excess Revenue Sent to Trust Fund 
(Oct 24-Sep 25)
(DOR Report)</t>
  </si>
  <si>
    <t>CCOC Expenditures
(Oct 24-Sep 25)
(EC Report)</t>
  </si>
  <si>
    <t>Excess Revenue Sent to the TF + CCOC Expenditures</t>
  </si>
  <si>
    <t>Unspent 
Budgeted 
Funds</t>
  </si>
  <si>
    <t>CFY 2024-25
Settle-Up
Calculation</t>
  </si>
  <si>
    <t>Due To
(Due From) TF</t>
  </si>
  <si>
    <t>Statewide</t>
  </si>
  <si>
    <t>FRS 
Increase</t>
  </si>
  <si>
    <r>
      <rPr>
        <b/>
        <sz val="10"/>
        <color rgb="FF00B050"/>
        <rFont val="Franklin Gothic Book"/>
        <family val="2"/>
      </rPr>
      <t>ADD</t>
    </r>
    <r>
      <rPr>
        <b/>
        <sz val="10"/>
        <color theme="1"/>
        <rFont val="Franklin Gothic Book"/>
        <family val="2"/>
      </rPr>
      <t xml:space="preserve">
Additional FRS </t>
    </r>
  </si>
  <si>
    <r>
      <rPr>
        <b/>
        <sz val="10"/>
        <color rgb="FF00B050"/>
        <rFont val="Franklin Gothic Book"/>
        <family val="2"/>
      </rPr>
      <t>ADD</t>
    </r>
    <r>
      <rPr>
        <b/>
        <sz val="10"/>
        <color theme="1"/>
        <rFont val="Franklin Gothic Book"/>
        <family val="2"/>
      </rPr>
      <t xml:space="preserve">
Additional Health Insurance </t>
    </r>
  </si>
  <si>
    <r>
      <rPr>
        <b/>
        <sz val="10"/>
        <color rgb="FF00B050"/>
        <rFont val="Franklin Gothic Book"/>
        <family val="2"/>
      </rPr>
      <t>ADD</t>
    </r>
    <r>
      <rPr>
        <b/>
        <sz val="10"/>
        <color theme="1"/>
        <rFont val="Franklin Gothic Book"/>
        <family val="2"/>
      </rPr>
      <t xml:space="preserve">
Pay &amp; Benefits/ COLA</t>
    </r>
  </si>
  <si>
    <r>
      <rPr>
        <b/>
        <sz val="10"/>
        <color rgb="FF00B050"/>
        <rFont val="Franklin Gothic Book"/>
        <family val="2"/>
      </rPr>
      <t>ADD</t>
    </r>
    <r>
      <rPr>
        <b/>
        <sz val="10"/>
        <color theme="1"/>
        <rFont val="Franklin Gothic Book"/>
        <family val="2"/>
      </rPr>
      <t xml:space="preserve">
Pay &amp; Benefits: New FTE</t>
    </r>
  </si>
  <si>
    <r>
      <rPr>
        <b/>
        <sz val="10"/>
        <color rgb="FF00B050"/>
        <rFont val="Franklin Gothic Book"/>
        <family val="2"/>
      </rPr>
      <t>ADD</t>
    </r>
    <r>
      <rPr>
        <b/>
        <sz val="10"/>
        <color theme="1"/>
        <rFont val="Franklin Gothic Book"/>
        <family val="2"/>
      </rPr>
      <t xml:space="preserve">
Compliance Issues</t>
    </r>
  </si>
  <si>
    <r>
      <rPr>
        <b/>
        <sz val="10"/>
        <color rgb="FF00B050"/>
        <rFont val="Franklin Gothic Book"/>
        <family val="2"/>
      </rPr>
      <t>ADD</t>
    </r>
    <r>
      <rPr>
        <b/>
        <sz val="10"/>
        <color theme="1"/>
        <rFont val="Franklin Gothic Book"/>
        <family val="2"/>
      </rPr>
      <t xml:space="preserve">
Cost
Shifts</t>
    </r>
  </si>
  <si>
    <r>
      <rPr>
        <b/>
        <sz val="10"/>
        <color rgb="FF00B050"/>
        <rFont val="Franklin Gothic Book"/>
        <family val="2"/>
      </rPr>
      <t>ADD</t>
    </r>
    <r>
      <rPr>
        <b/>
        <sz val="10"/>
        <color theme="1"/>
        <rFont val="Franklin Gothic Book"/>
        <family val="2"/>
      </rPr>
      <t xml:space="preserve">
IT Funded from CCOC</t>
    </r>
  </si>
  <si>
    <r>
      <rPr>
        <b/>
        <sz val="10"/>
        <color rgb="FF00B050"/>
        <rFont val="Franklin Gothic Book"/>
        <family val="2"/>
      </rPr>
      <t>ADD</t>
    </r>
    <r>
      <rPr>
        <b/>
        <sz val="10"/>
        <color theme="1"/>
        <rFont val="Franklin Gothic Book"/>
        <family val="2"/>
      </rPr>
      <t xml:space="preserve">
Other</t>
    </r>
  </si>
  <si>
    <r>
      <rPr>
        <b/>
        <sz val="10"/>
        <color rgb="FFFF0000"/>
        <rFont val="Franklin Gothic Book"/>
        <family val="2"/>
      </rPr>
      <t>DEDUCT</t>
    </r>
    <r>
      <rPr>
        <b/>
        <sz val="10"/>
        <color theme="1"/>
        <rFont val="Franklin Gothic Book"/>
        <family val="2"/>
      </rPr>
      <t xml:space="preserve">
Budget Reduction Issues</t>
    </r>
  </si>
  <si>
    <t>TOTAL 
FTE Requested</t>
  </si>
  <si>
    <t>Increase Over Base Budget</t>
  </si>
  <si>
    <t xml:space="preserve">Total New FTE:  </t>
  </si>
  <si>
    <t xml:space="preserve">Total Requests + FRS Increase:  </t>
  </si>
  <si>
    <t xml:space="preserve">s. 28.36(2)(a), F.S. - requires each clerk, on or before June 1, to submit their proposed budget to the CCOC in the manner and form prescribed by the CCOC. </t>
  </si>
  <si>
    <t>Budget Allocation Summary</t>
  </si>
  <si>
    <t>CFY 2026-27 
Base Budget</t>
  </si>
  <si>
    <t>Calculation Line</t>
  </si>
  <si>
    <t>Cost per Weighted Case</t>
  </si>
  <si>
    <t>Percentage of Total Budget</t>
  </si>
  <si>
    <t>Difference</t>
  </si>
  <si>
    <t>Increase/ Decrease Percentage</t>
  </si>
  <si>
    <t>TOTAL</t>
  </si>
  <si>
    <t xml:space="preserve">"Under-funded" clerks:  </t>
  </si>
  <si>
    <t xml:space="preserve">"Over-funded" clerks:  </t>
  </si>
  <si>
    <t>Peer Group</t>
  </si>
  <si>
    <t>TOTAL:</t>
  </si>
  <si>
    <t>Revenue-Limited Budget:</t>
  </si>
  <si>
    <t>s. 28.36(2)(a), F.S. - requires each clerk, on or before June 1, to submit to the CCOC detailed information on the anticipated revenues available in the manner and form prescribed by the CCOC</t>
  </si>
  <si>
    <t>PROJECTED 
REVENUE
(CFY 2026-27)</t>
  </si>
  <si>
    <r>
      <rPr>
        <b/>
        <sz val="10"/>
        <color rgb="FFFF0000"/>
        <rFont val="Franklin Gothic Book"/>
        <family val="2"/>
      </rPr>
      <t>DEDUCT</t>
    </r>
    <r>
      <rPr>
        <b/>
        <sz val="10"/>
        <color theme="1"/>
        <rFont val="Franklin Gothic Book"/>
        <family val="2"/>
      </rPr>
      <t xml:space="preserve">
Reduction Exercise 
(10%)</t>
    </r>
  </si>
  <si>
    <t>Percent Decrease</t>
  </si>
  <si>
    <t xml:space="preserve">STATEWIDE TOTAL: </t>
  </si>
  <si>
    <t>s. 28.35(2)(f)3., F.S. -- requires the CCOC to 'identify potential targeted budget reductions in the percentage amount provided in Schedule VIII-B of the state’s previous year’s legislative budget instructions, as referenced in s. 216.023(3), or an equivalent schedule or instruction as may be adopted by the Legislature.</t>
  </si>
  <si>
    <t>CFY 2026-27 Statutorily- Required Reduction Exercise</t>
  </si>
  <si>
    <t>Budget Comparison to the Peer Group Average</t>
  </si>
  <si>
    <t>Peer Groups</t>
  </si>
  <si>
    <t>Percent Above/
Below PG Avg.</t>
  </si>
  <si>
    <t>Peer Group 1 Average</t>
  </si>
  <si>
    <t>Peer Group 2 Average</t>
  </si>
  <si>
    <t>2 Average</t>
  </si>
  <si>
    <t>Peer Group 3 Average</t>
  </si>
  <si>
    <t>Peer Group 4 Average</t>
  </si>
  <si>
    <t>Peer Group 5 Average</t>
  </si>
  <si>
    <t>Peer Group 6 Average</t>
  </si>
  <si>
    <t>Peer Group 7 Average</t>
  </si>
  <si>
    <t>Peer Group 8 Average</t>
  </si>
  <si>
    <t xml:space="preserve">Statewide Total  </t>
  </si>
  <si>
    <t>s. 28.35(2)(f)9., F.S., requires CCOC to identify the budget of any clerk which exceeds the average budget of similarly situated clerks by more than 10%.</t>
  </si>
  <si>
    <t xml:space="preserve">  * updated 6/2/26</t>
  </si>
  <si>
    <t>TOTAL 
Funding Issues 
Requested</t>
  </si>
  <si>
    <t xml:space="preserve">COURT-RELATED TOTAL:  </t>
  </si>
  <si>
    <t>(2.5% - 51.3%)</t>
  </si>
  <si>
    <t xml:space="preserve">No Fee Cases Reimbursement Funding:   </t>
  </si>
  <si>
    <t>CFY 2026-27 Base Budget</t>
  </si>
  <si>
    <t>CFY 2026-27 Total Requested Budget</t>
  </si>
  <si>
    <t>6% Floor</t>
  </si>
  <si>
    <r>
      <t xml:space="preserve">No Fee Cases Funding </t>
    </r>
    <r>
      <rPr>
        <sz val="14"/>
        <color theme="1"/>
        <rFont val="Franklin Gothic Book"/>
        <family val="2"/>
      </rPr>
      <t>(State GR)</t>
    </r>
  </si>
  <si>
    <r>
      <rPr>
        <b/>
        <sz val="8"/>
        <color theme="1"/>
        <rFont val="Franklin Gothic Book"/>
        <family val="2"/>
      </rPr>
      <t>Schedule VIIIB-2: Priority Listing of Agency Budget Issues for Possible Reduction in the Event of Revenue Shortfalls for Legislative Budget Request Year</t>
    </r>
    <r>
      <rPr>
        <sz val="8"/>
        <color theme="1"/>
        <rFont val="Franklin Gothic Book"/>
        <family val="2"/>
      </rPr>
      <t xml:space="preserve">
The purpose of the Schedule VIIIB-2 is to identify recurring budget reductions that can be made in Fiscal Year 2026-27 in the event that budget reductions are necessary. Agencies are required to submit a Schedule VIIIB-2 that contains reduction issues for Fiscal Year 2026-27, totaling at least ten percent of their 2025-26 recurring general revenue funds and at least ten percent of their 2025-26 recurring state trust funds, for consideration in developing the 2026-27 budget.
Page 99 of FY 26-27 LBR Instructions  [https://floridafiscalportal.laspbs.state.fl.us/Document.aspx?ID=29453&amp;DocType=PDF]</t>
    </r>
  </si>
  <si>
    <r>
      <t xml:space="preserve">REC Revenue Estimate </t>
    </r>
    <r>
      <rPr>
        <sz val="14"/>
        <color theme="1"/>
        <rFont val="Franklin Gothic Book"/>
        <family val="2"/>
      </rPr>
      <t xml:space="preserve">(CFY 2026-27)  </t>
    </r>
    <r>
      <rPr>
        <u/>
        <sz val="14"/>
        <color theme="1"/>
        <rFont val="Franklin Gothic Book"/>
        <family val="2"/>
      </rPr>
      <t>[July 2026</t>
    </r>
    <r>
      <rPr>
        <sz val="14"/>
        <color theme="1"/>
        <rFont val="Franklin Gothic Book"/>
        <family val="2"/>
      </rPr>
      <t>]</t>
    </r>
  </si>
  <si>
    <t>8</t>
  </si>
  <si>
    <t xml:space="preserve">REC Estimate:   </t>
  </si>
  <si>
    <t>(6.0% - 14.2%)</t>
  </si>
  <si>
    <r>
      <t xml:space="preserve">95% - Weighted Workload Measure </t>
    </r>
    <r>
      <rPr>
        <sz val="9"/>
        <color theme="1"/>
        <rFont val="Franklin Gothic Book"/>
        <family val="2"/>
      </rPr>
      <t>(WWM)</t>
    </r>
    <r>
      <rPr>
        <sz val="11"/>
        <color theme="1"/>
        <rFont val="Franklin Gothic Book"/>
        <family val="2"/>
      </rPr>
      <t xml:space="preserve"> Allocation</t>
    </r>
  </si>
  <si>
    <t>Allocation over Base Budget</t>
  </si>
  <si>
    <t>Adjustment - Bring eight counties to 6% floor</t>
  </si>
  <si>
    <t>5% - Competitive Market Adjustment Allocation</t>
  </si>
  <si>
    <t>CFY 2026-27
Revenue-Limited Budget</t>
  </si>
  <si>
    <t>WWM Applied to 95%</t>
  </si>
  <si>
    <t>Competitive Market Adjustment Applied to 5%</t>
  </si>
  <si>
    <t>Total 
Allocation</t>
  </si>
  <si>
    <t>Cost per  Weighted Case</t>
  </si>
  <si>
    <r>
      <rPr>
        <b/>
        <sz val="10"/>
        <color rgb="FF00B050"/>
        <rFont val="Franklin Gothic Book"/>
        <family val="2"/>
      </rPr>
      <t>ADD</t>
    </r>
    <r>
      <rPr>
        <b/>
        <sz val="10"/>
        <color theme="1"/>
        <rFont val="Franklin Gothic Book"/>
        <family val="2"/>
      </rPr>
      <t xml:space="preserve">
WWM / Comp. Market Adjust. Alloc. 
(95% / 5%)</t>
    </r>
  </si>
  <si>
    <r>
      <rPr>
        <b/>
        <sz val="10"/>
        <color rgb="FF00B050"/>
        <rFont val="Franklin Gothic Book"/>
        <family val="2"/>
      </rPr>
      <t>ADD</t>
    </r>
    <r>
      <rPr>
        <b/>
        <sz val="10"/>
        <rFont val="Franklin Gothic Book"/>
        <family val="2"/>
      </rPr>
      <t xml:space="preserve">
6% Floor Adjustment</t>
    </r>
  </si>
  <si>
    <t>WWM Applied to 100% of all available funding</t>
  </si>
  <si>
    <t>Available Budget</t>
  </si>
  <si>
    <t>Allocation %</t>
  </si>
  <si>
    <t>Alloc. Amount</t>
  </si>
  <si>
    <t>Counties Impacted</t>
  </si>
  <si>
    <t>Alloc. %</t>
  </si>
  <si>
    <t>MIT L.W. 3-Yr. Avg.</t>
  </si>
  <si>
    <t>Amount Over State Average</t>
  </si>
  <si>
    <t>MIT L.W. Allocation</t>
  </si>
  <si>
    <t xml:space="preserve">FPLI 3-Yr. Avg. </t>
  </si>
  <si>
    <t>FPLI Allocation</t>
  </si>
  <si>
    <t>Total COL Allocation</t>
  </si>
  <si>
    <t>Base Budget + WWM Allocation + COL Allocation</t>
  </si>
  <si>
    <t>5% CMA Allocation based on split 50/50 MIT Living Wage &amp; FPLI for only counties over the state average</t>
  </si>
  <si>
    <t>Competitive Market Adjustment Calculation</t>
  </si>
  <si>
    <t>WWM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</si>
</sst>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0_);_(* \(#,##0.0\);_(* &quot;-&quot;??_);_(@_)"/>
    <numFmt numFmtId="167" formatCode="&quot;$&quot;#,##0"/>
    <numFmt numFmtId="168" formatCode="_(* #,##0_);_(* \(#,##0\);_(* &quot;-&quot;??_);_(@_)"/>
    <numFmt numFmtId="169" formatCode="_(* #,##0.000_);_(* \(#,##0.000\);_(* &quot;-&quot;??_);_(@_)"/>
    <numFmt numFmtId="170" formatCode="_(* #,##0.0_);_(* \(#,##0.0\);_(* &quot;-&quot;?_);_(@_)"/>
    <numFmt numFmtId="171" formatCode="_(&quot;$&quot;* #,##0.00_);_(&quot;$&quot;* \(#,##0.00\);_(&quot;$&quot;* &quot;-&quot;_);_(@_)"/>
    <numFmt numFmtId="172" formatCode="_(* #,##0.0000_);_(* \(#,##0.0000\);_(* &quot;-&quot;??_);_(@_)"/>
  </numFmts>
  <fonts count="62" x14ac:knownFonts="1">
    <font>
      <sz val="11"/>
      <color theme="1"/>
      <name val="Aptos Narrow"/>
      <family val="2"/>
      <scheme val="minor"/>
    </font>
    <font>
      <sz val="11"/>
      <color theme="1"/>
      <name val="Aptos Narrow"/>
      <family val="2"/>
      <scheme val="minor"/>
    </font>
    <font>
      <sz val="10"/>
      <color theme="1"/>
      <name val="Franklin Gothic Book"/>
      <family val="2"/>
    </font>
    <font>
      <b/>
      <sz val="16"/>
      <color theme="1"/>
      <name val="Franklin Gothic Book"/>
      <family val="2"/>
    </font>
    <font>
      <sz val="16"/>
      <color theme="1"/>
      <name val="Franklin Gothic Book"/>
      <family val="2"/>
    </font>
    <font>
      <sz val="14"/>
      <color theme="1"/>
      <name val="Franklin Gothic Book"/>
      <family val="2"/>
    </font>
    <font>
      <u/>
      <sz val="14"/>
      <color theme="1"/>
      <name val="Franklin Gothic Book"/>
      <family val="2"/>
    </font>
    <font>
      <sz val="16"/>
      <color rgb="FFC00000"/>
      <name val="Franklin Gothic Book"/>
      <family val="2"/>
    </font>
    <font>
      <sz val="16"/>
      <color rgb="FFFF0000"/>
      <name val="Franklin Gothic Book"/>
      <family val="2"/>
    </font>
    <font>
      <i/>
      <sz val="16"/>
      <color rgb="FF0070C0"/>
      <name val="Franklin Gothic Book"/>
      <family val="2"/>
    </font>
    <font>
      <i/>
      <sz val="16"/>
      <color theme="1"/>
      <name val="Franklin Gothic Book"/>
      <family val="2"/>
    </font>
    <font>
      <i/>
      <sz val="12"/>
      <color theme="1"/>
      <name val="Franklin Gothic Book"/>
      <family val="2"/>
    </font>
    <font>
      <sz val="11"/>
      <color theme="1"/>
      <name val="Franklin Gothic Book"/>
      <family val="2"/>
    </font>
    <font>
      <sz val="9"/>
      <color theme="1"/>
      <name val="Franklin Gothic Book"/>
      <family val="2"/>
    </font>
    <font>
      <b/>
      <sz val="11"/>
      <color theme="1"/>
      <name val="Aptos Narrow"/>
      <family val="2"/>
      <scheme val="minor"/>
    </font>
    <font>
      <b/>
      <sz val="10"/>
      <color theme="1"/>
      <name val="Franklin Gothic Book"/>
      <family val="2"/>
    </font>
    <font>
      <b/>
      <sz val="10"/>
      <name val="Franklin Gothic Book"/>
      <family val="2"/>
    </font>
    <font>
      <b/>
      <sz val="10"/>
      <color rgb="FF00B050"/>
      <name val="Franklin Gothic Book"/>
      <family val="2"/>
    </font>
    <font>
      <b/>
      <sz val="10"/>
      <color theme="0"/>
      <name val="Franklin Gothic Book"/>
      <family val="2"/>
    </font>
    <font>
      <b/>
      <sz val="9"/>
      <name val="Franklin Gothic Book"/>
      <family val="2"/>
    </font>
    <font>
      <b/>
      <sz val="9"/>
      <color theme="1"/>
      <name val="Franklin Gothic Book"/>
      <family val="2"/>
    </font>
    <font>
      <sz val="12"/>
      <color theme="1"/>
      <name val="Franklin Gothic Book"/>
      <family val="2"/>
    </font>
    <font>
      <sz val="9"/>
      <name val="Franklin Gothic Book"/>
      <family val="2"/>
    </font>
    <font>
      <i/>
      <sz val="10"/>
      <color theme="1"/>
      <name val="Franklin Gothic Book"/>
      <family val="2"/>
    </font>
    <font>
      <sz val="10"/>
      <color rgb="FFFF0000"/>
      <name val="Franklin Gothic Book"/>
      <family val="2"/>
    </font>
    <font>
      <sz val="9"/>
      <color rgb="FFFF0000"/>
      <name val="Franklin Gothic Book"/>
      <family val="2"/>
    </font>
    <font>
      <b/>
      <i/>
      <sz val="10"/>
      <color theme="1"/>
      <name val="Franklin Gothic Book"/>
      <family val="2"/>
    </font>
    <font>
      <i/>
      <sz val="9"/>
      <color theme="1"/>
      <name val="Franklin Gothic Book"/>
      <family val="2"/>
    </font>
    <font>
      <i/>
      <sz val="8"/>
      <color theme="1"/>
      <name val="Franklin Gothic Book"/>
      <family val="2"/>
    </font>
    <font>
      <sz val="8"/>
      <color theme="1"/>
      <name val="Franklin Gothic Book"/>
      <family val="2"/>
    </font>
    <font>
      <b/>
      <sz val="9"/>
      <color theme="0"/>
      <name val="Franklin Gothic Book"/>
      <family val="2"/>
    </font>
    <font>
      <b/>
      <sz val="11"/>
      <color theme="1"/>
      <name val="Franklin Gothic Book"/>
      <family val="2"/>
    </font>
    <font>
      <sz val="11"/>
      <name val="Franklin Gothic Book"/>
      <family val="2"/>
    </font>
    <font>
      <i/>
      <sz val="11"/>
      <color theme="1"/>
      <name val="Franklin Gothic Book"/>
      <family val="2"/>
    </font>
    <font>
      <i/>
      <sz val="11"/>
      <color theme="1"/>
      <name val="Aptos Narrow"/>
      <family val="2"/>
      <scheme val="minor"/>
    </font>
    <font>
      <b/>
      <sz val="16"/>
      <name val="Franklin Gothic Book"/>
      <family val="2"/>
    </font>
    <font>
      <sz val="16"/>
      <name val="Franklin Gothic Book"/>
      <family val="2"/>
    </font>
    <font>
      <sz val="14"/>
      <name val="Franklin Gothic Book"/>
      <family val="2"/>
    </font>
    <font>
      <u/>
      <sz val="14"/>
      <name val="Franklin Gothic Book"/>
      <family val="2"/>
    </font>
    <font>
      <i/>
      <sz val="16"/>
      <name val="Franklin Gothic Book"/>
      <family val="2"/>
    </font>
    <font>
      <b/>
      <sz val="16"/>
      <color theme="4" tint="-0.249977111117893"/>
      <name val="Franklin Gothic Book"/>
      <family val="2"/>
    </font>
    <font>
      <b/>
      <sz val="11"/>
      <name val="Franklin Gothic Book"/>
      <family val="2"/>
    </font>
    <font>
      <b/>
      <sz val="11"/>
      <color theme="0"/>
      <name val="Franklin Gothic Book"/>
      <family val="2"/>
    </font>
    <font>
      <b/>
      <sz val="10"/>
      <color rgb="FFFF0000"/>
      <name val="Franklin Gothic Book"/>
      <family val="2"/>
    </font>
    <font>
      <sz val="8.5"/>
      <color theme="1"/>
      <name val="Franklin Gothic Book"/>
      <family val="2"/>
    </font>
    <font>
      <b/>
      <sz val="12"/>
      <color theme="1"/>
      <name val="Franklin Gothic Book"/>
      <family val="2"/>
    </font>
    <font>
      <b/>
      <sz val="14"/>
      <color theme="1"/>
      <name val="Franklin Gothic Book"/>
      <family val="2"/>
    </font>
    <font>
      <b/>
      <sz val="10"/>
      <color rgb="FFC00000"/>
      <name val="Franklin Gothic Book"/>
      <family val="2"/>
    </font>
    <font>
      <sz val="9"/>
      <color rgb="FFC00000"/>
      <name val="Franklin Gothic Book"/>
      <family val="2"/>
    </font>
    <font>
      <b/>
      <sz val="9"/>
      <color rgb="FFC00000"/>
      <name val="Franklin Gothic Book"/>
      <family val="2"/>
    </font>
    <font>
      <b/>
      <sz val="8"/>
      <color theme="1"/>
      <name val="Franklin Gothic Book"/>
      <family val="2"/>
    </font>
    <font>
      <sz val="10"/>
      <color theme="1"/>
      <name val="Aptos Narrow"/>
      <family val="2"/>
      <scheme val="minor"/>
    </font>
    <font>
      <b/>
      <sz val="18"/>
      <color theme="1"/>
      <name val="Aptos Narrow"/>
      <family val="2"/>
      <scheme val="minor"/>
    </font>
    <font>
      <b/>
      <sz val="14"/>
      <color theme="1"/>
      <name val="Aptos Narrow"/>
      <family val="2"/>
      <scheme val="minor"/>
    </font>
    <font>
      <b/>
      <sz val="10"/>
      <color theme="1"/>
      <name val="Aptos Narrow"/>
      <family val="2"/>
      <scheme val="minor"/>
    </font>
    <font>
      <b/>
      <sz val="10"/>
      <color theme="0"/>
      <name val="Aptos Narrow"/>
      <family val="2"/>
      <scheme val="minor"/>
    </font>
    <font>
      <b/>
      <sz val="10"/>
      <color theme="0" tint="-4.9989318521683403E-2"/>
      <name val="Aptos Narrow"/>
      <family val="2"/>
      <scheme val="minor"/>
    </font>
    <font>
      <sz val="10"/>
      <name val="Aptos Narrow"/>
      <family val="2"/>
      <scheme val="minor"/>
    </font>
    <font>
      <b/>
      <sz val="10"/>
      <name val="Aptos Narrow"/>
      <family val="2"/>
      <scheme val="minor"/>
    </font>
    <font>
      <sz val="10"/>
      <color rgb="FFFF0000"/>
      <name val="Aptos Narrow"/>
      <family val="2"/>
      <scheme val="minor"/>
    </font>
    <font>
      <i/>
      <sz val="10"/>
      <color theme="1"/>
      <name val="Aptos Narrow"/>
      <family val="2"/>
      <scheme val="minor"/>
    </font>
    <font>
      <sz val="10"/>
      <color rgb="FF111111"/>
      <name val="Aptos Narrow"/>
      <family val="2"/>
      <scheme val="minor"/>
    </font>
  </fonts>
  <fills count="22">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002060"/>
        <bgColor indexed="64"/>
      </patternFill>
    </fill>
    <fill>
      <patternFill patternType="solid">
        <fgColor rgb="FFC00000"/>
        <bgColor indexed="64"/>
      </patternFill>
    </fill>
    <fill>
      <patternFill patternType="solid">
        <fgColor theme="4" tint="0.79998168889431442"/>
        <bgColor indexed="64"/>
      </patternFill>
    </fill>
    <fill>
      <patternFill patternType="solid">
        <fgColor theme="5" tint="0.79998168889431442"/>
        <bgColor indexed="65"/>
      </patternFill>
    </fill>
    <fill>
      <patternFill patternType="solid">
        <fgColor theme="6" tint="0.39997558519241921"/>
        <bgColor indexed="65"/>
      </patternFill>
    </fill>
    <fill>
      <patternFill patternType="solid">
        <fgColor rgb="FF002D73"/>
        <bgColor indexed="64"/>
      </patternFill>
    </fill>
    <fill>
      <patternFill patternType="solid">
        <fgColor rgb="FFAF162C"/>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CFB53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009959"/>
        <bgColor indexed="64"/>
      </patternFill>
    </fill>
    <fill>
      <patternFill patternType="solid">
        <fgColor theme="9" tint="0.39997558519241921"/>
        <bgColor indexed="64"/>
      </patternFill>
    </fill>
    <fill>
      <patternFill patternType="solid">
        <fgColor theme="4" tint="-0.499984740745262"/>
        <bgColor indexed="64"/>
      </patternFill>
    </fill>
  </fills>
  <borders count="68">
    <border>
      <left/>
      <right/>
      <top/>
      <bottom/>
      <diagonal/>
    </border>
    <border>
      <left/>
      <right/>
      <top style="double">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10">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1" fillId="0" borderId="0" applyFont="0" applyFill="0" applyBorder="0" applyAlignment="0" applyProtection="0"/>
    <xf numFmtId="0" fontId="1" fillId="7" borderId="0" applyNumberFormat="0" applyBorder="0" applyAlignment="0" applyProtection="0"/>
    <xf numFmtId="0" fontId="1" fillId="8" borderId="0" applyNumberFormat="0" applyBorder="0" applyAlignment="0" applyProtection="0"/>
    <xf numFmtId="0" fontId="21" fillId="0" borderId="0"/>
  </cellStyleXfs>
  <cellXfs count="543">
    <xf numFmtId="0" fontId="0" fillId="0" borderId="0" xfId="0"/>
    <xf numFmtId="0" fontId="4" fillId="0" borderId="0" xfId="2" applyFont="1"/>
    <xf numFmtId="164" fontId="8" fillId="0" borderId="0" xfId="3" applyNumberFormat="1" applyFont="1"/>
    <xf numFmtId="164" fontId="3" fillId="0" borderId="1" xfId="3" applyNumberFormat="1" applyFont="1" applyFill="1" applyBorder="1"/>
    <xf numFmtId="164" fontId="9" fillId="0" borderId="0" xfId="3" applyNumberFormat="1" applyFont="1"/>
    <xf numFmtId="164" fontId="3" fillId="0" borderId="0" xfId="3" applyNumberFormat="1" applyFont="1" applyFill="1" applyBorder="1"/>
    <xf numFmtId="164" fontId="4" fillId="0" borderId="0" xfId="3" applyNumberFormat="1" applyFont="1" applyFill="1" applyBorder="1"/>
    <xf numFmtId="0" fontId="3" fillId="0" borderId="0" xfId="2" applyFont="1"/>
    <xf numFmtId="0" fontId="4" fillId="2" borderId="0" xfId="2" applyFont="1" applyFill="1"/>
    <xf numFmtId="164" fontId="4" fillId="2" borderId="0" xfId="3" applyNumberFormat="1" applyFont="1" applyFill="1"/>
    <xf numFmtId="0" fontId="10" fillId="2" borderId="0" xfId="2" applyFont="1" applyFill="1"/>
    <xf numFmtId="164" fontId="10" fillId="2" borderId="0" xfId="3" applyNumberFormat="1" applyFont="1" applyFill="1"/>
    <xf numFmtId="165" fontId="11" fillId="2" borderId="0" xfId="1" applyNumberFormat="1" applyFont="1" applyFill="1"/>
    <xf numFmtId="165" fontId="11" fillId="0" borderId="0" xfId="1" applyNumberFormat="1" applyFont="1"/>
    <xf numFmtId="0" fontId="10" fillId="0" borderId="0" xfId="2" applyFont="1"/>
    <xf numFmtId="0" fontId="13" fillId="0" borderId="0" xfId="0" applyFont="1" applyAlignment="1">
      <alignment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8" fillId="4" borderId="9"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5" fillId="0" borderId="13" xfId="0" applyFont="1" applyBorder="1" applyAlignment="1">
      <alignment horizontal="center" vertical="center" wrapText="1"/>
    </xf>
    <xf numFmtId="0" fontId="18" fillId="5" borderId="14" xfId="0" applyFont="1" applyFill="1" applyBorder="1" applyAlignment="1">
      <alignment horizontal="center" vertical="center" wrapText="1"/>
    </xf>
    <xf numFmtId="0" fontId="16" fillId="0" borderId="15" xfId="0" applyFont="1" applyBorder="1" applyAlignment="1">
      <alignment horizontal="center" vertical="center" wrapText="1"/>
    </xf>
    <xf numFmtId="0" fontId="13" fillId="0" borderId="9" xfId="0" applyFont="1" applyBorder="1" applyAlignment="1">
      <alignment horizontal="center" vertical="center" wrapText="1"/>
    </xf>
    <xf numFmtId="0" fontId="2" fillId="0" borderId="0" xfId="0" applyFont="1" applyAlignment="1">
      <alignment vertical="center"/>
    </xf>
    <xf numFmtId="0" fontId="2" fillId="0" borderId="16" xfId="0" applyFont="1" applyBorder="1" applyAlignment="1">
      <alignment vertical="top"/>
    </xf>
    <xf numFmtId="0" fontId="2" fillId="0" borderId="17" xfId="0" applyFont="1" applyBorder="1" applyAlignment="1">
      <alignment horizontal="center" vertical="top"/>
    </xf>
    <xf numFmtId="164" fontId="2" fillId="0" borderId="16" xfId="5" applyNumberFormat="1" applyFont="1" applyFill="1" applyBorder="1" applyAlignment="1">
      <alignment horizontal="right" vertical="center"/>
    </xf>
    <xf numFmtId="164" fontId="15" fillId="0" borderId="17" xfId="5" applyNumberFormat="1" applyFont="1" applyFill="1" applyBorder="1" applyAlignment="1">
      <alignment vertical="top"/>
    </xf>
    <xf numFmtId="166" fontId="22" fillId="2" borderId="19" xfId="6" applyNumberFormat="1" applyFont="1" applyFill="1" applyBorder="1" applyAlignment="1">
      <alignment vertical="top"/>
    </xf>
    <xf numFmtId="164" fontId="2" fillId="0" borderId="7" xfId="5" applyNumberFormat="1" applyFont="1" applyFill="1" applyBorder="1" applyAlignment="1">
      <alignment vertical="top"/>
    </xf>
    <xf numFmtId="164" fontId="15" fillId="0" borderId="20" xfId="5" applyNumberFormat="1" applyFont="1" applyFill="1" applyBorder="1" applyAlignment="1">
      <alignment vertical="top"/>
    </xf>
    <xf numFmtId="164" fontId="23" fillId="0" borderId="21" xfId="5" applyNumberFormat="1" applyFont="1" applyFill="1" applyBorder="1" applyAlignment="1">
      <alignment horizontal="right" vertical="center"/>
    </xf>
    <xf numFmtId="165" fontId="13" fillId="0" borderId="17" xfId="1" applyNumberFormat="1" applyFont="1" applyBorder="1"/>
    <xf numFmtId="42" fontId="2" fillId="0" borderId="0" xfId="5" applyNumberFormat="1" applyFont="1"/>
    <xf numFmtId="0" fontId="2" fillId="0" borderId="22" xfId="0" applyFont="1" applyBorder="1" applyAlignment="1">
      <alignment vertical="top"/>
    </xf>
    <xf numFmtId="0" fontId="2" fillId="0" borderId="23" xfId="0" applyFont="1" applyBorder="1" applyAlignment="1">
      <alignment horizontal="center" vertical="top"/>
    </xf>
    <xf numFmtId="166" fontId="22" fillId="2" borderId="24" xfId="6" applyNumberFormat="1" applyFont="1" applyFill="1" applyBorder="1" applyAlignment="1">
      <alignment vertical="top"/>
    </xf>
    <xf numFmtId="165" fontId="13" fillId="0" borderId="23" xfId="1" applyNumberFormat="1" applyFont="1" applyBorder="1"/>
    <xf numFmtId="42" fontId="2" fillId="0" borderId="0" xfId="5" applyNumberFormat="1" applyFont="1" applyFill="1"/>
    <xf numFmtId="164" fontId="2" fillId="0" borderId="22" xfId="5" applyNumberFormat="1" applyFont="1" applyFill="1" applyBorder="1" applyAlignment="1">
      <alignment horizontal="right" vertical="center"/>
    </xf>
    <xf numFmtId="164" fontId="15" fillId="0" borderId="23" xfId="5" applyNumberFormat="1" applyFont="1" applyFill="1" applyBorder="1" applyAlignment="1">
      <alignment vertical="top"/>
    </xf>
    <xf numFmtId="164" fontId="2" fillId="0" borderId="27" xfId="5" applyNumberFormat="1" applyFont="1" applyFill="1" applyBorder="1" applyAlignment="1">
      <alignment vertical="top"/>
    </xf>
    <xf numFmtId="164" fontId="23" fillId="0" borderId="28" xfId="5" applyNumberFormat="1" applyFont="1" applyFill="1" applyBorder="1" applyAlignment="1">
      <alignment horizontal="right" vertical="center"/>
    </xf>
    <xf numFmtId="0" fontId="2" fillId="0" borderId="0" xfId="0" applyFont="1"/>
    <xf numFmtId="0" fontId="2" fillId="0" borderId="29" xfId="0" applyFont="1" applyBorder="1" applyAlignment="1">
      <alignment vertical="top"/>
    </xf>
    <xf numFmtId="0" fontId="2" fillId="0" borderId="30" xfId="0" applyFont="1" applyBorder="1" applyAlignment="1">
      <alignment horizontal="center" vertical="top"/>
    </xf>
    <xf numFmtId="164" fontId="2" fillId="0" borderId="31" xfId="5" applyNumberFormat="1" applyFont="1" applyFill="1" applyBorder="1" applyAlignment="1">
      <alignment horizontal="right" vertical="center"/>
    </xf>
    <xf numFmtId="164" fontId="15" fillId="0" borderId="30" xfId="5" applyNumberFormat="1" applyFont="1" applyFill="1" applyBorder="1" applyAlignment="1">
      <alignment vertical="top"/>
    </xf>
    <xf numFmtId="166" fontId="22" fillId="2" borderId="34" xfId="6" applyNumberFormat="1" applyFont="1" applyFill="1" applyBorder="1" applyAlignment="1">
      <alignment vertical="top"/>
    </xf>
    <xf numFmtId="164" fontId="2" fillId="0" borderId="35" xfId="5" applyNumberFormat="1" applyFont="1" applyFill="1" applyBorder="1" applyAlignment="1">
      <alignment vertical="top"/>
    </xf>
    <xf numFmtId="164" fontId="15" fillId="0" borderId="36" xfId="5" applyNumberFormat="1" applyFont="1" applyFill="1" applyBorder="1" applyAlignment="1">
      <alignment vertical="top"/>
    </xf>
    <xf numFmtId="164" fontId="23" fillId="0" borderId="37" xfId="5" applyNumberFormat="1" applyFont="1" applyFill="1" applyBorder="1" applyAlignment="1">
      <alignment horizontal="right" vertical="center"/>
    </xf>
    <xf numFmtId="165" fontId="13" fillId="0" borderId="30" xfId="1" applyNumberFormat="1" applyFont="1" applyBorder="1"/>
    <xf numFmtId="0" fontId="2" fillId="0" borderId="37" xfId="0" applyFont="1" applyBorder="1"/>
    <xf numFmtId="0" fontId="2" fillId="0" borderId="37" xfId="0" applyFont="1" applyBorder="1" applyAlignment="1">
      <alignment horizontal="center"/>
    </xf>
    <xf numFmtId="164" fontId="15" fillId="0" borderId="37" xfId="5" applyNumberFormat="1" applyFont="1" applyBorder="1"/>
    <xf numFmtId="164" fontId="2" fillId="0" borderId="37" xfId="5" applyNumberFormat="1" applyFont="1" applyBorder="1"/>
    <xf numFmtId="164" fontId="24" fillId="0" borderId="37" xfId="5" applyNumberFormat="1" applyFont="1" applyBorder="1"/>
    <xf numFmtId="164" fontId="25" fillId="0" borderId="37" xfId="5" applyNumberFormat="1" applyFont="1" applyFill="1" applyBorder="1"/>
    <xf numFmtId="164" fontId="15" fillId="0" borderId="14" xfId="5" applyNumberFormat="1" applyFont="1" applyBorder="1" applyAlignment="1">
      <alignment vertical="top"/>
    </xf>
    <xf numFmtId="164" fontId="18" fillId="4" borderId="8" xfId="5" applyNumberFormat="1" applyFont="1" applyFill="1" applyBorder="1" applyAlignment="1">
      <alignment vertical="top" wrapText="1"/>
    </xf>
    <xf numFmtId="166" fontId="19" fillId="2" borderId="14" xfId="1" applyNumberFormat="1" applyFont="1" applyFill="1" applyBorder="1" applyAlignment="1">
      <alignment vertical="top"/>
    </xf>
    <xf numFmtId="164" fontId="18" fillId="5" borderId="8" xfId="5" applyNumberFormat="1" applyFont="1" applyFill="1" applyBorder="1" applyAlignment="1">
      <alignment vertical="top" wrapText="1"/>
    </xf>
    <xf numFmtId="164" fontId="26" fillId="0" borderId="14" xfId="5" applyNumberFormat="1" applyFont="1" applyBorder="1" applyAlignment="1">
      <alignment vertical="top"/>
    </xf>
    <xf numFmtId="165" fontId="20" fillId="0" borderId="14" xfId="1" applyNumberFormat="1" applyFont="1" applyBorder="1" applyAlignment="1">
      <alignment vertical="top"/>
    </xf>
    <xf numFmtId="6" fontId="2" fillId="0" borderId="0" xfId="0" applyNumberFormat="1" applyFont="1"/>
    <xf numFmtId="167" fontId="2" fillId="0" borderId="0" xfId="0" applyNumberFormat="1" applyFont="1"/>
    <xf numFmtId="0" fontId="28" fillId="2" borderId="0" xfId="0" applyFont="1" applyFill="1" applyAlignment="1">
      <alignment horizontal="center"/>
    </xf>
    <xf numFmtId="168" fontId="27" fillId="0" borderId="0" xfId="4" applyNumberFormat="1" applyFont="1" applyAlignment="1">
      <alignment horizontal="center"/>
    </xf>
    <xf numFmtId="168" fontId="27" fillId="0" borderId="0" xfId="4" applyNumberFormat="1" applyFont="1"/>
    <xf numFmtId="43" fontId="2" fillId="0" borderId="0" xfId="4" applyFont="1"/>
    <xf numFmtId="169" fontId="2" fillId="0" borderId="0" xfId="4" applyNumberFormat="1" applyFont="1"/>
    <xf numFmtId="44" fontId="27" fillId="0" borderId="0" xfId="0" applyNumberFormat="1" applyFont="1"/>
    <xf numFmtId="164" fontId="27" fillId="0" borderId="0" xfId="0" applyNumberFormat="1" applyFont="1"/>
    <xf numFmtId="0" fontId="2" fillId="0" borderId="0" xfId="0" applyFont="1" applyAlignment="1">
      <alignment horizontal="right"/>
    </xf>
    <xf numFmtId="164" fontId="2" fillId="0" borderId="0" xfId="5" applyNumberFormat="1" applyFont="1" applyAlignment="1">
      <alignment horizontal="right" vertical="center"/>
    </xf>
    <xf numFmtId="10" fontId="2" fillId="0" borderId="0" xfId="1" applyNumberFormat="1" applyFont="1"/>
    <xf numFmtId="0" fontId="2" fillId="0" borderId="8" xfId="0" applyFont="1" applyBorder="1"/>
    <xf numFmtId="6" fontId="15" fillId="0" borderId="39" xfId="0" applyNumberFormat="1" applyFont="1" applyBorder="1" applyAlignment="1">
      <alignment horizontal="right" vertical="center"/>
    </xf>
    <xf numFmtId="164" fontId="15" fillId="0" borderId="14" xfId="5" applyNumberFormat="1" applyFont="1" applyBorder="1" applyAlignment="1">
      <alignment horizontal="center" vertical="center"/>
    </xf>
    <xf numFmtId="165" fontId="2" fillId="0" borderId="0" xfId="1" applyNumberFormat="1" applyFont="1"/>
    <xf numFmtId="0" fontId="15" fillId="0" borderId="14"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 fillId="0" borderId="40" xfId="0" applyFont="1" applyBorder="1" applyAlignment="1">
      <alignment vertical="top"/>
    </xf>
    <xf numFmtId="0" fontId="2" fillId="0" borderId="40" xfId="0" applyFont="1" applyBorder="1" applyAlignment="1">
      <alignment horizontal="center" vertical="top"/>
    </xf>
    <xf numFmtId="166" fontId="22" fillId="2" borderId="40" xfId="6" applyNumberFormat="1" applyFont="1" applyFill="1" applyBorder="1" applyAlignment="1">
      <alignment vertical="top"/>
    </xf>
    <xf numFmtId="166" fontId="22" fillId="2" borderId="27" xfId="6" applyNumberFormat="1" applyFont="1" applyFill="1" applyBorder="1" applyAlignment="1">
      <alignment vertical="top"/>
    </xf>
    <xf numFmtId="166" fontId="22" fillId="2" borderId="41" xfId="6" applyNumberFormat="1" applyFont="1" applyFill="1" applyBorder="1" applyAlignment="1">
      <alignment vertical="top"/>
    </xf>
    <xf numFmtId="0" fontId="2" fillId="0" borderId="20" xfId="0" applyFont="1" applyBorder="1" applyAlignment="1">
      <alignment vertical="top"/>
    </xf>
    <xf numFmtId="0" fontId="2" fillId="0" borderId="20" xfId="0" applyFont="1" applyBorder="1" applyAlignment="1">
      <alignment horizontal="center" vertical="top"/>
    </xf>
    <xf numFmtId="166" fontId="22" fillId="2" borderId="20" xfId="6" applyNumberFormat="1" applyFont="1" applyFill="1" applyBorder="1" applyAlignment="1">
      <alignment vertical="top"/>
    </xf>
    <xf numFmtId="166" fontId="22" fillId="2" borderId="7" xfId="6" applyNumberFormat="1" applyFont="1" applyFill="1" applyBorder="1" applyAlignment="1">
      <alignment vertical="top"/>
    </xf>
    <xf numFmtId="0" fontId="2" fillId="0" borderId="42" xfId="0" applyFont="1" applyBorder="1" applyAlignment="1">
      <alignment vertical="top"/>
    </xf>
    <xf numFmtId="0" fontId="2" fillId="0" borderId="42" xfId="0" applyFont="1" applyBorder="1" applyAlignment="1">
      <alignment horizontal="center" vertical="top"/>
    </xf>
    <xf numFmtId="166" fontId="22" fillId="2" borderId="42" xfId="6" applyNumberFormat="1" applyFont="1" applyFill="1" applyBorder="1" applyAlignment="1">
      <alignment vertical="top"/>
    </xf>
    <xf numFmtId="166" fontId="22" fillId="2" borderId="43" xfId="6" applyNumberFormat="1" applyFont="1" applyFill="1" applyBorder="1" applyAlignment="1">
      <alignment vertical="top"/>
    </xf>
    <xf numFmtId="0" fontId="23" fillId="0" borderId="0" xfId="0" applyFont="1"/>
    <xf numFmtId="170" fontId="23" fillId="0" borderId="0" xfId="0" applyNumberFormat="1" applyFont="1"/>
    <xf numFmtId="0" fontId="31" fillId="0" borderId="24" xfId="0" applyFont="1" applyBorder="1" applyAlignment="1">
      <alignment horizontal="center"/>
    </xf>
    <xf numFmtId="43" fontId="31" fillId="0" borderId="24" xfId="4" applyFont="1" applyBorder="1" applyAlignment="1">
      <alignment horizontal="center" wrapText="1"/>
    </xf>
    <xf numFmtId="0" fontId="31" fillId="0" borderId="24" xfId="0" applyFont="1" applyBorder="1" applyAlignment="1">
      <alignment horizontal="center" wrapText="1"/>
    </xf>
    <xf numFmtId="0" fontId="14" fillId="0" borderId="0" xfId="0" applyFont="1" applyAlignment="1">
      <alignment horizontal="center"/>
    </xf>
    <xf numFmtId="0" fontId="12" fillId="0" borderId="0" xfId="0" applyFont="1"/>
    <xf numFmtId="43" fontId="12" fillId="0" borderId="0" xfId="4" applyFont="1" applyFill="1"/>
    <xf numFmtId="10" fontId="32" fillId="0" borderId="0" xfId="1" applyNumberFormat="1" applyFont="1" applyFill="1"/>
    <xf numFmtId="43" fontId="12" fillId="0" borderId="0" xfId="0" applyNumberFormat="1" applyFont="1"/>
    <xf numFmtId="0" fontId="31" fillId="0" borderId="0" xfId="0" applyFont="1"/>
    <xf numFmtId="43" fontId="31" fillId="0" borderId="0" xfId="0" applyNumberFormat="1" applyFont="1"/>
    <xf numFmtId="0" fontId="14" fillId="0" borderId="0" xfId="0" applyFont="1"/>
    <xf numFmtId="43" fontId="12" fillId="3" borderId="0" xfId="4" applyFont="1" applyFill="1"/>
    <xf numFmtId="43" fontId="31" fillId="3" borderId="0" xfId="4" applyFont="1" applyFill="1"/>
    <xf numFmtId="2" fontId="31" fillId="0" borderId="0" xfId="4" applyNumberFormat="1" applyFont="1" applyFill="1"/>
    <xf numFmtId="4" fontId="12" fillId="0" borderId="0" xfId="0" applyNumberFormat="1" applyFont="1"/>
    <xf numFmtId="0" fontId="12" fillId="0" borderId="44" xfId="0" applyFont="1" applyBorder="1"/>
    <xf numFmtId="43" fontId="12" fillId="0" borderId="45" xfId="4" applyFont="1" applyFill="1" applyBorder="1"/>
    <xf numFmtId="43" fontId="12" fillId="0" borderId="46" xfId="4" applyFont="1" applyFill="1" applyBorder="1"/>
    <xf numFmtId="0" fontId="12" fillId="0" borderId="47" xfId="0" applyFont="1" applyBorder="1"/>
    <xf numFmtId="43" fontId="12" fillId="0" borderId="0" xfId="4" applyFont="1" applyFill="1" applyBorder="1"/>
    <xf numFmtId="43" fontId="12" fillId="0" borderId="48" xfId="4" applyFont="1" applyFill="1" applyBorder="1"/>
    <xf numFmtId="43" fontId="12" fillId="0" borderId="21" xfId="4" applyFont="1" applyFill="1" applyBorder="1"/>
    <xf numFmtId="43" fontId="12" fillId="0" borderId="49" xfId="4" applyFont="1" applyFill="1" applyBorder="1"/>
    <xf numFmtId="0" fontId="12" fillId="0" borderId="31" xfId="0" applyFont="1" applyBorder="1"/>
    <xf numFmtId="43" fontId="31" fillId="0" borderId="37" xfId="4" applyFont="1" applyFill="1" applyBorder="1"/>
    <xf numFmtId="43" fontId="31" fillId="0" borderId="50" xfId="4" applyFont="1" applyFill="1" applyBorder="1"/>
    <xf numFmtId="0" fontId="33" fillId="0" borderId="0" xfId="0" applyFont="1"/>
    <xf numFmtId="43" fontId="33" fillId="0" borderId="0" xfId="4" applyFont="1"/>
    <xf numFmtId="169" fontId="33" fillId="0" borderId="0" xfId="4" applyNumberFormat="1" applyFont="1"/>
    <xf numFmtId="0" fontId="34" fillId="0" borderId="0" xfId="0" applyFont="1"/>
    <xf numFmtId="43" fontId="0" fillId="0" borderId="0" xfId="4" applyFont="1"/>
    <xf numFmtId="0" fontId="36" fillId="0" borderId="0" xfId="2" applyFont="1"/>
    <xf numFmtId="164" fontId="36" fillId="0" borderId="0" xfId="3" applyNumberFormat="1" applyFont="1" applyFill="1"/>
    <xf numFmtId="164" fontId="39" fillId="0" borderId="0" xfId="3" applyNumberFormat="1" applyFont="1" applyFill="1"/>
    <xf numFmtId="0" fontId="40" fillId="6" borderId="0" xfId="2" applyFont="1" applyFill="1"/>
    <xf numFmtId="164" fontId="40" fillId="6" borderId="0" xfId="3" applyNumberFormat="1" applyFont="1" applyFill="1"/>
    <xf numFmtId="0" fontId="21" fillId="0" borderId="24" xfId="2" applyFont="1" applyBorder="1" applyAlignment="1">
      <alignment wrapText="1"/>
    </xf>
    <xf numFmtId="164" fontId="4" fillId="0" borderId="0" xfId="3" applyNumberFormat="1" applyFont="1" applyFill="1"/>
    <xf numFmtId="164" fontId="7" fillId="0" borderId="21" xfId="3" applyNumberFormat="1" applyFont="1" applyFill="1" applyBorder="1"/>
    <xf numFmtId="164" fontId="36" fillId="0" borderId="21" xfId="3" applyNumberFormat="1" applyFont="1" applyFill="1" applyBorder="1"/>
    <xf numFmtId="164" fontId="7" fillId="0" borderId="0" xfId="3" applyNumberFormat="1" applyFont="1" applyFill="1"/>
    <xf numFmtId="0" fontId="31" fillId="0" borderId="11" xfId="0" applyFont="1" applyBorder="1" applyAlignment="1">
      <alignment horizontal="center" vertical="center" wrapText="1"/>
    </xf>
    <xf numFmtId="0" fontId="41" fillId="0" borderId="12" xfId="0" applyFont="1" applyBorder="1" applyAlignment="1">
      <alignment horizontal="center" vertical="center" wrapText="1"/>
    </xf>
    <xf numFmtId="44" fontId="42" fillId="9" borderId="12" xfId="5" applyFont="1" applyFill="1" applyBorder="1" applyAlignment="1">
      <alignment horizontal="center" vertical="center" wrapText="1"/>
    </xf>
    <xf numFmtId="0" fontId="42" fillId="9" borderId="12" xfId="0" applyFont="1" applyFill="1" applyBorder="1" applyAlignment="1">
      <alignment horizontal="center" vertical="center" wrapText="1"/>
    </xf>
    <xf numFmtId="44" fontId="42" fillId="10" borderId="12" xfId="5" applyFont="1" applyFill="1" applyBorder="1" applyAlignment="1">
      <alignment horizontal="center" vertical="center" wrapText="1"/>
    </xf>
    <xf numFmtId="0" fontId="31" fillId="0" borderId="12"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0" xfId="0" applyFont="1" applyAlignment="1">
      <alignment horizontal="center" vertical="top" wrapText="1"/>
    </xf>
    <xf numFmtId="0" fontId="12" fillId="0" borderId="16" xfId="0" applyFont="1" applyBorder="1" applyAlignment="1">
      <alignment horizontal="left" vertical="center"/>
    </xf>
    <xf numFmtId="44" fontId="12" fillId="0" borderId="19" xfId="5" applyFont="1" applyFill="1" applyBorder="1" applyAlignment="1">
      <alignment vertical="top"/>
    </xf>
    <xf numFmtId="44" fontId="12" fillId="0" borderId="19" xfId="5" applyFont="1" applyFill="1" applyBorder="1" applyAlignment="1">
      <alignment vertical="center"/>
    </xf>
    <xf numFmtId="44" fontId="12" fillId="0" borderId="7" xfId="5" applyFont="1" applyFill="1" applyBorder="1" applyAlignment="1">
      <alignment vertical="center"/>
    </xf>
    <xf numFmtId="44" fontId="12" fillId="0" borderId="24" xfId="5" applyFont="1" applyFill="1" applyBorder="1" applyAlignment="1">
      <alignment vertical="center"/>
    </xf>
    <xf numFmtId="0" fontId="12" fillId="0" borderId="17" xfId="0" applyFont="1" applyBorder="1" applyAlignment="1">
      <alignment vertical="center"/>
    </xf>
    <xf numFmtId="0" fontId="12" fillId="0" borderId="0" xfId="0" applyFont="1" applyAlignment="1">
      <alignment vertical="top"/>
    </xf>
    <xf numFmtId="0" fontId="12" fillId="0" borderId="22" xfId="0" applyFont="1" applyBorder="1" applyAlignment="1">
      <alignment horizontal="left" vertical="center"/>
    </xf>
    <xf numFmtId="44" fontId="12" fillId="0" borderId="24" xfId="5" applyFont="1" applyFill="1" applyBorder="1" applyAlignment="1">
      <alignment vertical="top"/>
    </xf>
    <xf numFmtId="44" fontId="12" fillId="0" borderId="27" xfId="7" applyNumberFormat="1" applyFont="1" applyFill="1" applyBorder="1" applyAlignment="1">
      <alignment vertical="center"/>
    </xf>
    <xf numFmtId="0" fontId="12" fillId="0" borderId="23" xfId="0" applyFont="1" applyBorder="1" applyAlignment="1">
      <alignment vertical="center"/>
    </xf>
    <xf numFmtId="0" fontId="12" fillId="0" borderId="22" xfId="7" applyFont="1" applyFill="1" applyBorder="1" applyAlignment="1">
      <alignment horizontal="left" vertical="center"/>
    </xf>
    <xf numFmtId="44" fontId="12" fillId="0" borderId="24" xfId="7" applyNumberFormat="1" applyFont="1" applyFill="1" applyBorder="1" applyAlignment="1">
      <alignment vertical="top"/>
    </xf>
    <xf numFmtId="44" fontId="12" fillId="0" borderId="24" xfId="7" applyNumberFormat="1" applyFont="1" applyFill="1" applyBorder="1" applyAlignment="1">
      <alignment vertical="center"/>
    </xf>
    <xf numFmtId="0" fontId="12" fillId="0" borderId="23" xfId="7" applyFont="1" applyFill="1" applyBorder="1" applyAlignment="1">
      <alignment vertical="center"/>
    </xf>
    <xf numFmtId="0" fontId="32" fillId="11" borderId="22" xfId="0" applyFont="1" applyFill="1" applyBorder="1" applyAlignment="1">
      <alignment horizontal="left" vertical="center"/>
    </xf>
    <xf numFmtId="44" fontId="12" fillId="0" borderId="27" xfId="5" applyFont="1" applyFill="1" applyBorder="1" applyAlignment="1">
      <alignment vertical="center"/>
    </xf>
    <xf numFmtId="0" fontId="12" fillId="0" borderId="22" xfId="0" applyFont="1" applyBorder="1" applyAlignment="1">
      <alignment horizontal="left" vertical="top"/>
    </xf>
    <xf numFmtId="0" fontId="12" fillId="0" borderId="29" xfId="7" applyFont="1" applyFill="1" applyBorder="1" applyAlignment="1">
      <alignment horizontal="left" vertical="center"/>
    </xf>
    <xf numFmtId="44" fontId="12" fillId="0" borderId="34" xfId="7" applyNumberFormat="1" applyFont="1" applyFill="1" applyBorder="1" applyAlignment="1">
      <alignment vertical="top"/>
    </xf>
    <xf numFmtId="44" fontId="12" fillId="0" borderId="34" xfId="7" applyNumberFormat="1" applyFont="1" applyFill="1" applyBorder="1" applyAlignment="1">
      <alignment vertical="center"/>
    </xf>
    <xf numFmtId="44" fontId="12" fillId="0" borderId="34" xfId="5" applyFont="1" applyFill="1" applyBorder="1" applyAlignment="1">
      <alignment vertical="center"/>
    </xf>
    <xf numFmtId="0" fontId="12" fillId="0" borderId="30" xfId="7" applyFont="1" applyFill="1" applyBorder="1" applyAlignment="1">
      <alignment vertical="center"/>
    </xf>
    <xf numFmtId="0" fontId="12" fillId="0" borderId="0" xfId="0" applyFont="1" applyAlignment="1">
      <alignment horizontal="left" vertical="center"/>
    </xf>
    <xf numFmtId="44" fontId="12" fillId="0" borderId="0" xfId="5" applyFont="1" applyFill="1" applyBorder="1" applyAlignment="1">
      <alignment vertical="center"/>
    </xf>
    <xf numFmtId="0" fontId="12" fillId="0" borderId="0" xfId="0" applyFont="1" applyAlignment="1">
      <alignment vertical="center"/>
    </xf>
    <xf numFmtId="0" fontId="31" fillId="0" borderId="8" xfId="0" applyFont="1" applyBorder="1" applyAlignment="1">
      <alignment vertical="top"/>
    </xf>
    <xf numFmtId="44" fontId="31" fillId="0" borderId="14" xfId="5" applyFont="1" applyBorder="1" applyAlignment="1">
      <alignment vertical="top"/>
    </xf>
    <xf numFmtId="44" fontId="42" fillId="9" borderId="11" xfId="5" applyFont="1" applyFill="1" applyBorder="1" applyAlignment="1">
      <alignment horizontal="center" vertical="center" wrapText="1"/>
    </xf>
    <xf numFmtId="44" fontId="42" fillId="9" borderId="9" xfId="5" applyFont="1" applyFill="1" applyBorder="1" applyAlignment="1">
      <alignment horizontal="center" vertical="center" wrapText="1"/>
    </xf>
    <xf numFmtId="44" fontId="42" fillId="10" borderId="11" xfId="5" applyFont="1" applyFill="1" applyBorder="1" applyAlignment="1">
      <alignment horizontal="center" vertical="center" wrapText="1"/>
    </xf>
    <xf numFmtId="44" fontId="42" fillId="10" borderId="9" xfId="5" applyFont="1" applyFill="1" applyBorder="1" applyAlignment="1">
      <alignment horizontal="center" vertical="center" wrapText="1"/>
    </xf>
    <xf numFmtId="0" fontId="31" fillId="0" borderId="0" xfId="0" applyFont="1" applyAlignment="1">
      <alignment vertical="top"/>
    </xf>
    <xf numFmtId="44" fontId="12" fillId="0" borderId="0" xfId="0" applyNumberFormat="1" applyFont="1" applyAlignment="1">
      <alignment vertical="top"/>
    </xf>
    <xf numFmtId="168" fontId="33" fillId="0" borderId="0" xfId="4" applyNumberFormat="1" applyFont="1" applyFill="1" applyAlignment="1">
      <alignment vertical="top"/>
    </xf>
    <xf numFmtId="44" fontId="12" fillId="0" borderId="0" xfId="5" applyFont="1" applyAlignment="1">
      <alignment vertical="top"/>
    </xf>
    <xf numFmtId="165" fontId="33" fillId="0" borderId="0" xfId="1" applyNumberFormat="1" applyFont="1" applyAlignment="1">
      <alignment horizontal="right" vertical="top"/>
    </xf>
    <xf numFmtId="43" fontId="33" fillId="0" borderId="0" xfId="4" applyFont="1" applyAlignment="1">
      <alignment vertical="top"/>
    </xf>
    <xf numFmtId="0" fontId="12" fillId="0" borderId="0" xfId="0" applyFont="1" applyAlignment="1">
      <alignment horizontal="center" vertical="top"/>
    </xf>
    <xf numFmtId="0" fontId="33" fillId="0" borderId="0" xfId="0" applyFont="1" applyAlignment="1">
      <alignment horizontal="center" vertical="top"/>
    </xf>
    <xf numFmtId="49" fontId="12" fillId="0" borderId="0" xfId="0" applyNumberFormat="1" applyFont="1" applyAlignment="1">
      <alignment vertical="top"/>
    </xf>
    <xf numFmtId="44" fontId="12" fillId="0" borderId="0" xfId="5" applyFont="1" applyAlignment="1">
      <alignment horizontal="center" vertical="top"/>
    </xf>
    <xf numFmtId="44" fontId="31" fillId="12" borderId="14" xfId="8" applyNumberFormat="1" applyFont="1" applyFill="1" applyBorder="1" applyAlignment="1">
      <alignment horizontal="center" vertical="center" wrapText="1"/>
    </xf>
    <xf numFmtId="44" fontId="31" fillId="12" borderId="12" xfId="8" applyNumberFormat="1" applyFont="1" applyFill="1" applyBorder="1" applyAlignment="1">
      <alignment horizontal="center" vertical="center" wrapText="1"/>
    </xf>
    <xf numFmtId="164" fontId="4" fillId="0" borderId="0" xfId="2" applyNumberFormat="1" applyFont="1"/>
    <xf numFmtId="0" fontId="16" fillId="13" borderId="8" xfId="0" applyFont="1" applyFill="1" applyBorder="1" applyAlignment="1">
      <alignment horizontal="center" vertical="center" wrapText="1"/>
    </xf>
    <xf numFmtId="0" fontId="16" fillId="13" borderId="9"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5" fillId="14" borderId="13" xfId="0" applyFont="1" applyFill="1" applyBorder="1" applyAlignment="1">
      <alignment horizontal="center" vertical="center" wrapText="1"/>
    </xf>
    <xf numFmtId="10" fontId="15" fillId="0" borderId="8" xfId="1" applyNumberFormat="1" applyFont="1" applyFill="1" applyBorder="1" applyAlignment="1">
      <alignment horizontal="center" vertical="center" wrapText="1"/>
    </xf>
    <xf numFmtId="10" fontId="20" fillId="0" borderId="8" xfId="1" applyNumberFormat="1" applyFont="1" applyFill="1" applyBorder="1" applyAlignment="1">
      <alignment horizontal="center" vertical="center" wrapText="1"/>
    </xf>
    <xf numFmtId="0" fontId="16" fillId="15" borderId="14" xfId="0" applyFont="1" applyFill="1" applyBorder="1" applyAlignment="1">
      <alignment horizontal="center" vertical="center" wrapText="1"/>
    </xf>
    <xf numFmtId="0" fontId="44" fillId="15" borderId="14" xfId="0" applyFont="1" applyFill="1" applyBorder="1" applyAlignment="1">
      <alignment horizontal="center" vertical="center" wrapText="1"/>
    </xf>
    <xf numFmtId="164" fontId="15" fillId="0" borderId="20" xfId="5" applyNumberFormat="1" applyFont="1" applyBorder="1" applyAlignment="1">
      <alignment horizontal="right" vertical="center"/>
    </xf>
    <xf numFmtId="164" fontId="15" fillId="0" borderId="40" xfId="5" applyNumberFormat="1" applyFont="1" applyBorder="1" applyAlignment="1">
      <alignment horizontal="right" vertical="center"/>
    </xf>
    <xf numFmtId="10" fontId="13" fillId="0" borderId="20" xfId="1" applyNumberFormat="1" applyFont="1" applyFill="1" applyBorder="1" applyAlignment="1">
      <alignment horizontal="center" vertical="center"/>
    </xf>
    <xf numFmtId="164" fontId="15" fillId="0" borderId="40" xfId="5" applyNumberFormat="1" applyFont="1" applyFill="1" applyBorder="1" applyAlignment="1">
      <alignment horizontal="right" vertical="center"/>
    </xf>
    <xf numFmtId="164" fontId="15" fillId="0" borderId="42" xfId="5" applyNumberFormat="1" applyFont="1" applyBorder="1" applyAlignment="1">
      <alignment horizontal="right" vertical="center"/>
    </xf>
    <xf numFmtId="10" fontId="13" fillId="0" borderId="36" xfId="1" applyNumberFormat="1" applyFont="1" applyFill="1" applyBorder="1" applyAlignment="1">
      <alignment horizontal="center" vertical="center"/>
    </xf>
    <xf numFmtId="164" fontId="15" fillId="0" borderId="37" xfId="5" applyNumberFormat="1" applyFont="1" applyBorder="1" applyAlignment="1">
      <alignment horizontal="center" vertical="center"/>
    </xf>
    <xf numFmtId="43" fontId="15" fillId="0" borderId="37" xfId="4" applyFont="1" applyBorder="1" applyAlignment="1">
      <alignment horizontal="center" vertical="center"/>
    </xf>
    <xf numFmtId="6" fontId="2" fillId="0" borderId="37" xfId="5" applyNumberFormat="1" applyFont="1" applyBorder="1" applyAlignment="1">
      <alignment horizontal="center" vertical="center"/>
    </xf>
    <xf numFmtId="164" fontId="18" fillId="4" borderId="14" xfId="5" applyNumberFormat="1" applyFont="1" applyFill="1" applyBorder="1" applyAlignment="1">
      <alignment vertical="top" wrapText="1"/>
    </xf>
    <xf numFmtId="43" fontId="15" fillId="0" borderId="8" xfId="4" applyFont="1" applyBorder="1" applyAlignment="1">
      <alignment vertical="top"/>
    </xf>
    <xf numFmtId="164" fontId="16" fillId="15" borderId="8" xfId="5" applyNumberFormat="1" applyFont="1" applyFill="1" applyBorder="1" applyAlignment="1">
      <alignment vertical="top" wrapText="1"/>
    </xf>
    <xf numFmtId="10" fontId="19" fillId="15" borderId="14" xfId="1" applyNumberFormat="1" applyFont="1" applyFill="1" applyBorder="1" applyAlignment="1">
      <alignment horizontal="center" vertical="top" wrapText="1"/>
    </xf>
    <xf numFmtId="6" fontId="15" fillId="0" borderId="0" xfId="0" applyNumberFormat="1" applyFont="1" applyAlignment="1">
      <alignment horizontal="center" vertical="center"/>
    </xf>
    <xf numFmtId="10" fontId="19" fillId="0" borderId="0" xfId="1" applyNumberFormat="1" applyFont="1" applyAlignment="1">
      <alignment horizontal="center" vertical="center"/>
    </xf>
    <xf numFmtId="164" fontId="13" fillId="0" borderId="0" xfId="0" applyNumberFormat="1" applyFont="1"/>
    <xf numFmtId="8" fontId="13" fillId="0" borderId="0" xfId="0" applyNumberFormat="1" applyFont="1"/>
    <xf numFmtId="8" fontId="13" fillId="0" borderId="0" xfId="0" applyNumberFormat="1" applyFont="1" applyAlignment="1">
      <alignment horizontal="right"/>
    </xf>
    <xf numFmtId="164" fontId="20" fillId="14" borderId="14" xfId="5" applyNumberFormat="1" applyFont="1" applyFill="1" applyBorder="1" applyAlignment="1">
      <alignment vertical="top"/>
    </xf>
    <xf numFmtId="164" fontId="20" fillId="0" borderId="14" xfId="5" applyNumberFormat="1" applyFont="1" applyFill="1" applyBorder="1" applyAlignment="1">
      <alignment horizontal="center" vertical="center"/>
    </xf>
    <xf numFmtId="43" fontId="20" fillId="0" borderId="0" xfId="4" applyFont="1" applyAlignment="1">
      <alignment horizontal="center" vertical="center"/>
    </xf>
    <xf numFmtId="168" fontId="15" fillId="0" borderId="0" xfId="4" applyNumberFormat="1" applyFont="1" applyAlignment="1">
      <alignment horizontal="center" vertical="center"/>
    </xf>
    <xf numFmtId="0" fontId="13" fillId="0" borderId="0" xfId="0" applyFont="1" applyAlignment="1">
      <alignment horizontal="right"/>
    </xf>
    <xf numFmtId="10" fontId="22" fillId="0" borderId="0" xfId="1" applyNumberFormat="1" applyFont="1" applyFill="1" applyAlignment="1">
      <alignment horizontal="center" vertical="center"/>
    </xf>
    <xf numFmtId="164" fontId="0" fillId="0" borderId="0" xfId="0" applyNumberFormat="1"/>
    <xf numFmtId="164" fontId="2" fillId="0" borderId="0" xfId="5" applyNumberFormat="1" applyFont="1" applyFill="1" applyAlignment="1">
      <alignment horizontal="right" vertical="center"/>
    </xf>
    <xf numFmtId="10" fontId="19" fillId="0" borderId="0" xfId="1" applyNumberFormat="1" applyFont="1" applyFill="1" applyAlignment="1">
      <alignment horizontal="center" vertical="center"/>
    </xf>
    <xf numFmtId="164" fontId="23" fillId="0" borderId="0" xfId="0" applyNumberFormat="1" applyFont="1" applyAlignment="1">
      <alignment horizontal="center" vertical="center"/>
    </xf>
    <xf numFmtId="168" fontId="27" fillId="0" borderId="0" xfId="4" applyNumberFormat="1" applyFont="1" applyAlignment="1">
      <alignment horizontal="center" vertical="center"/>
    </xf>
    <xf numFmtId="0" fontId="12" fillId="0" borderId="24" xfId="0" applyFont="1" applyBorder="1"/>
    <xf numFmtId="164" fontId="2" fillId="13" borderId="16" xfId="5" applyNumberFormat="1" applyFont="1" applyFill="1" applyBorder="1" applyAlignment="1">
      <alignment horizontal="right" vertical="center"/>
    </xf>
    <xf numFmtId="164" fontId="2" fillId="13" borderId="22" xfId="5" applyNumberFormat="1" applyFont="1" applyFill="1" applyBorder="1" applyAlignment="1">
      <alignment horizontal="right" vertical="center"/>
    </xf>
    <xf numFmtId="164" fontId="2" fillId="13" borderId="31" xfId="5" applyNumberFormat="1" applyFont="1" applyFill="1" applyBorder="1" applyAlignment="1">
      <alignment horizontal="right" vertical="center"/>
    </xf>
    <xf numFmtId="164" fontId="16" fillId="13" borderId="8" xfId="5" applyNumberFormat="1" applyFont="1" applyFill="1" applyBorder="1" applyAlignment="1">
      <alignment vertical="top" wrapText="1"/>
    </xf>
    <xf numFmtId="164" fontId="15" fillId="13" borderId="20" xfId="5" applyNumberFormat="1" applyFont="1" applyFill="1" applyBorder="1" applyAlignment="1">
      <alignment horizontal="right" vertical="center"/>
    </xf>
    <xf numFmtId="164" fontId="15" fillId="13" borderId="40" xfId="5" applyNumberFormat="1" applyFont="1" applyFill="1" applyBorder="1" applyAlignment="1">
      <alignment horizontal="right" vertical="center"/>
    </xf>
    <xf numFmtId="164" fontId="15" fillId="13" borderId="36" xfId="5" applyNumberFormat="1" applyFont="1" applyFill="1" applyBorder="1" applyAlignment="1">
      <alignment horizontal="right" vertical="center"/>
    </xf>
    <xf numFmtId="164" fontId="12" fillId="0" borderId="0" xfId="5" applyNumberFormat="1" applyFont="1"/>
    <xf numFmtId="0" fontId="12" fillId="14" borderId="55" xfId="0" applyFont="1" applyFill="1" applyBorder="1"/>
    <xf numFmtId="164" fontId="12" fillId="14" borderId="55" xfId="5" applyNumberFormat="1" applyFont="1" applyFill="1" applyBorder="1"/>
    <xf numFmtId="0" fontId="12" fillId="14" borderId="34" xfId="0" applyFont="1" applyFill="1" applyBorder="1"/>
    <xf numFmtId="164" fontId="12" fillId="14" borderId="34" xfId="5" applyNumberFormat="1" applyFont="1" applyFill="1" applyBorder="1"/>
    <xf numFmtId="164" fontId="12" fillId="14" borderId="58" xfId="5" applyNumberFormat="1" applyFont="1" applyFill="1" applyBorder="1"/>
    <xf numFmtId="0" fontId="12" fillId="14" borderId="60" xfId="0" applyFont="1" applyFill="1" applyBorder="1"/>
    <xf numFmtId="164" fontId="12" fillId="14" borderId="25" xfId="5" applyNumberFormat="1" applyFont="1" applyFill="1" applyBorder="1"/>
    <xf numFmtId="164" fontId="31" fillId="2" borderId="14" xfId="5" applyNumberFormat="1" applyFont="1" applyFill="1" applyBorder="1"/>
    <xf numFmtId="0" fontId="12" fillId="3" borderId="0" xfId="0" applyFont="1" applyFill="1"/>
    <xf numFmtId="0" fontId="31" fillId="3" borderId="0" xfId="0" applyFont="1" applyFill="1"/>
    <xf numFmtId="43" fontId="31" fillId="0" borderId="0" xfId="4" applyFont="1" applyFill="1"/>
    <xf numFmtId="0" fontId="23" fillId="0" borderId="60" xfId="0" applyFont="1" applyBorder="1"/>
    <xf numFmtId="10" fontId="27" fillId="0" borderId="0" xfId="1" applyNumberFormat="1" applyFont="1" applyAlignment="1">
      <alignment horizontal="center"/>
    </xf>
    <xf numFmtId="10" fontId="27" fillId="0" borderId="0" xfId="1" applyNumberFormat="1" applyFont="1" applyAlignment="1">
      <alignment horizontal="center" vertical="center"/>
    </xf>
    <xf numFmtId="0" fontId="27" fillId="0" borderId="0" xfId="0" applyFont="1"/>
    <xf numFmtId="0" fontId="15" fillId="18" borderId="12" xfId="0" applyFont="1" applyFill="1" applyBorder="1" applyAlignment="1">
      <alignment horizontal="center" vertical="center" wrapText="1"/>
    </xf>
    <xf numFmtId="0" fontId="20" fillId="18" borderId="12" xfId="0" applyFont="1" applyFill="1" applyBorder="1" applyAlignment="1">
      <alignment horizontal="center" vertical="center" wrapText="1"/>
    </xf>
    <xf numFmtId="0" fontId="15" fillId="18" borderId="9" xfId="0" applyFont="1" applyFill="1" applyBorder="1" applyAlignment="1">
      <alignment horizontal="center" vertical="center" wrapText="1"/>
    </xf>
    <xf numFmtId="0" fontId="20" fillId="18" borderId="14" xfId="0" applyFont="1" applyFill="1" applyBorder="1" applyAlignment="1">
      <alignment horizontal="center" vertical="center" wrapText="1"/>
    </xf>
    <xf numFmtId="171" fontId="2" fillId="0" borderId="20" xfId="5" applyNumberFormat="1" applyFont="1" applyBorder="1"/>
    <xf numFmtId="164" fontId="15" fillId="18" borderId="16" xfId="5" applyNumberFormat="1" applyFont="1" applyFill="1" applyBorder="1" applyAlignment="1">
      <alignment horizontal="right" vertical="center"/>
    </xf>
    <xf numFmtId="10" fontId="22" fillId="18" borderId="20" xfId="1" applyNumberFormat="1" applyFont="1" applyFill="1" applyBorder="1" applyAlignment="1">
      <alignment horizontal="center" vertical="top"/>
    </xf>
    <xf numFmtId="164" fontId="47" fillId="18" borderId="16" xfId="5" applyNumberFormat="1" applyFont="1" applyFill="1" applyBorder="1" applyAlignment="1">
      <alignment horizontal="right" vertical="center"/>
    </xf>
    <xf numFmtId="171" fontId="2" fillId="0" borderId="40" xfId="5" applyNumberFormat="1" applyFont="1" applyBorder="1"/>
    <xf numFmtId="165" fontId="48" fillId="18" borderId="40" xfId="1" applyNumberFormat="1" applyFont="1" applyFill="1" applyBorder="1"/>
    <xf numFmtId="164" fontId="16" fillId="18" borderId="16" xfId="5" applyNumberFormat="1" applyFont="1" applyFill="1" applyBorder="1" applyAlignment="1">
      <alignment horizontal="right" vertical="center"/>
    </xf>
    <xf numFmtId="165" fontId="22" fillId="18" borderId="40" xfId="1" applyNumberFormat="1" applyFont="1" applyFill="1" applyBorder="1"/>
    <xf numFmtId="165" fontId="13" fillId="18" borderId="40" xfId="1" applyNumberFormat="1" applyFont="1" applyFill="1" applyBorder="1"/>
    <xf numFmtId="171" fontId="2" fillId="0" borderId="42" xfId="5" applyNumberFormat="1" applyFont="1" applyBorder="1"/>
    <xf numFmtId="164" fontId="15" fillId="18" borderId="31" xfId="5" applyNumberFormat="1" applyFont="1" applyFill="1" applyBorder="1" applyAlignment="1">
      <alignment horizontal="right" vertical="center"/>
    </xf>
    <xf numFmtId="10" fontId="22" fillId="18" borderId="36" xfId="1" applyNumberFormat="1" applyFont="1" applyFill="1" applyBorder="1" applyAlignment="1">
      <alignment horizontal="center" vertical="top"/>
    </xf>
    <xf numFmtId="6" fontId="15" fillId="0" borderId="37" xfId="5" applyNumberFormat="1" applyFont="1" applyFill="1" applyBorder="1"/>
    <xf numFmtId="167" fontId="24" fillId="0" borderId="37" xfId="0" applyNumberFormat="1" applyFont="1" applyBorder="1"/>
    <xf numFmtId="164" fontId="25" fillId="0" borderId="37" xfId="5" applyNumberFormat="1" applyFont="1" applyFill="1" applyBorder="1" applyAlignment="1">
      <alignment horizontal="center"/>
    </xf>
    <xf numFmtId="10" fontId="20" fillId="0" borderId="37" xfId="1" applyNumberFormat="1" applyFont="1" applyFill="1" applyBorder="1" applyAlignment="1">
      <alignment horizontal="center" vertical="center"/>
    </xf>
    <xf numFmtId="0" fontId="13" fillId="0" borderId="0" xfId="0" applyFont="1"/>
    <xf numFmtId="164" fontId="15" fillId="0" borderId="31" xfId="5" applyNumberFormat="1" applyFont="1" applyFill="1" applyBorder="1" applyAlignment="1">
      <alignment horizontal="right" vertical="center"/>
    </xf>
    <xf numFmtId="171" fontId="15" fillId="0" borderId="14" xfId="5" applyNumberFormat="1" applyFont="1" applyBorder="1"/>
    <xf numFmtId="10" fontId="19" fillId="18" borderId="14" xfId="1" applyNumberFormat="1" applyFont="1" applyFill="1" applyBorder="1" applyAlignment="1">
      <alignment horizontal="center" vertical="top"/>
    </xf>
    <xf numFmtId="164" fontId="15" fillId="18" borderId="14" xfId="5" applyNumberFormat="1" applyFont="1" applyFill="1" applyBorder="1" applyAlignment="1">
      <alignment horizontal="right" vertical="center"/>
    </xf>
    <xf numFmtId="0" fontId="28" fillId="0" borderId="0" xfId="0" applyFont="1" applyAlignment="1">
      <alignment horizontal="center"/>
    </xf>
    <xf numFmtId="0" fontId="13" fillId="0" borderId="0" xfId="0" applyFont="1" applyAlignment="1">
      <alignment horizontal="center"/>
    </xf>
    <xf numFmtId="10" fontId="20" fillId="0" borderId="0" xfId="1" applyNumberFormat="1" applyFont="1" applyAlignment="1">
      <alignment horizontal="center" vertical="center"/>
    </xf>
    <xf numFmtId="10" fontId="20" fillId="0" borderId="0" xfId="1" applyNumberFormat="1" applyFont="1" applyAlignment="1">
      <alignment horizontal="right" vertical="center"/>
    </xf>
    <xf numFmtId="168" fontId="19" fillId="0" borderId="0" xfId="4" applyNumberFormat="1" applyFont="1" applyAlignment="1">
      <alignment horizontal="center" vertical="center"/>
    </xf>
    <xf numFmtId="168" fontId="49" fillId="0" borderId="0" xfId="4" applyNumberFormat="1" applyFont="1" applyAlignment="1">
      <alignment horizontal="center" vertical="center"/>
    </xf>
    <xf numFmtId="2" fontId="2" fillId="0" borderId="0" xfId="0" applyNumberFormat="1" applyFont="1"/>
    <xf numFmtId="2" fontId="13" fillId="0" borderId="0" xfId="0" applyNumberFormat="1" applyFont="1"/>
    <xf numFmtId="2" fontId="13" fillId="0" borderId="0" xfId="0" applyNumberFormat="1" applyFont="1" applyAlignment="1">
      <alignment horizontal="center"/>
    </xf>
    <xf numFmtId="2" fontId="20" fillId="0" borderId="0" xfId="1" applyNumberFormat="1" applyFont="1" applyAlignment="1">
      <alignment horizontal="center" vertical="center"/>
    </xf>
    <xf numFmtId="0" fontId="31" fillId="0" borderId="24" xfId="0" applyFont="1" applyBorder="1" applyAlignment="1">
      <alignment horizontal="center" vertical="center" wrapText="1"/>
    </xf>
    <xf numFmtId="1" fontId="31" fillId="0" borderId="24" xfId="0" applyNumberFormat="1" applyFont="1" applyBorder="1" applyAlignment="1">
      <alignment horizontal="center" vertical="center" wrapText="1"/>
    </xf>
    <xf numFmtId="1" fontId="12" fillId="0" borderId="24" xfId="5" applyNumberFormat="1" applyFont="1" applyBorder="1" applyAlignment="1">
      <alignment horizontal="center" vertical="center" wrapText="1"/>
    </xf>
    <xf numFmtId="1" fontId="12" fillId="0" borderId="0" xfId="5" applyNumberFormat="1" applyFont="1" applyAlignment="1">
      <alignment horizontal="center" vertical="center" wrapText="1"/>
    </xf>
    <xf numFmtId="164" fontId="12" fillId="0" borderId="0" xfId="5" applyNumberFormat="1" applyFont="1" applyBorder="1" applyAlignment="1"/>
    <xf numFmtId="0" fontId="31" fillId="0" borderId="25" xfId="0" applyFont="1" applyBorder="1" applyAlignment="1">
      <alignment horizontal="center"/>
    </xf>
    <xf numFmtId="0" fontId="12" fillId="0" borderId="27" xfId="0" applyFont="1" applyBorder="1"/>
    <xf numFmtId="164" fontId="45" fillId="0" borderId="24" xfId="0" applyNumberFormat="1" applyFont="1" applyBorder="1"/>
    <xf numFmtId="0" fontId="31" fillId="0" borderId="0" xfId="0" applyFont="1" applyAlignment="1">
      <alignment horizontal="right"/>
    </xf>
    <xf numFmtId="164" fontId="33" fillId="0" borderId="0" xfId="0" applyNumberFormat="1" applyFont="1"/>
    <xf numFmtId="0" fontId="28" fillId="0" borderId="0" xfId="0" applyFont="1"/>
    <xf numFmtId="167" fontId="29" fillId="0" borderId="0" xfId="0" applyNumberFormat="1" applyFont="1"/>
    <xf numFmtId="43" fontId="29" fillId="0" borderId="0" xfId="4" applyFont="1" applyAlignment="1">
      <alignment horizontal="center"/>
    </xf>
    <xf numFmtId="0" fontId="15" fillId="0" borderId="15" xfId="0" applyFont="1" applyBorder="1" applyAlignment="1">
      <alignment horizontal="center" vertical="center" wrapText="1"/>
    </xf>
    <xf numFmtId="0" fontId="18" fillId="19" borderId="14" xfId="0" applyFont="1" applyFill="1" applyBorder="1" applyAlignment="1">
      <alignment horizontal="center" vertical="center" wrapText="1"/>
    </xf>
    <xf numFmtId="0" fontId="30" fillId="19" borderId="14" xfId="0" applyFont="1" applyFill="1" applyBorder="1" applyAlignment="1">
      <alignment horizontal="center" vertical="center" wrapText="1"/>
    </xf>
    <xf numFmtId="164" fontId="2" fillId="0" borderId="41" xfId="5" applyNumberFormat="1" applyFont="1" applyFill="1" applyBorder="1" applyAlignment="1">
      <alignment horizontal="right" vertical="center"/>
    </xf>
    <xf numFmtId="164" fontId="24" fillId="0" borderId="61" xfId="5" applyNumberFormat="1" applyFont="1" applyFill="1" applyBorder="1" applyAlignment="1">
      <alignment vertical="top"/>
    </xf>
    <xf numFmtId="164" fontId="15" fillId="0" borderId="53" xfId="5" applyNumberFormat="1" applyFont="1" applyBorder="1" applyAlignment="1">
      <alignment horizontal="right" vertical="center"/>
    </xf>
    <xf numFmtId="165" fontId="13" fillId="0" borderId="62" xfId="1" applyNumberFormat="1" applyFont="1" applyBorder="1" applyAlignment="1">
      <alignment horizontal="center"/>
    </xf>
    <xf numFmtId="164" fontId="2" fillId="0" borderId="20" xfId="5" applyNumberFormat="1" applyFont="1" applyFill="1" applyBorder="1" applyAlignment="1">
      <alignment horizontal="right" vertical="center"/>
    </xf>
    <xf numFmtId="164" fontId="24" fillId="0" borderId="28" xfId="5" applyNumberFormat="1" applyFont="1" applyFill="1" applyBorder="1" applyAlignment="1">
      <alignment vertical="top"/>
    </xf>
    <xf numFmtId="164" fontId="15" fillId="0" borderId="16" xfId="5" applyNumberFormat="1" applyFont="1" applyBorder="1" applyAlignment="1">
      <alignment horizontal="right" vertical="center"/>
    </xf>
    <xf numFmtId="165" fontId="13" fillId="0" borderId="17" xfId="1" applyNumberFormat="1" applyFont="1" applyBorder="1" applyAlignment="1">
      <alignment horizontal="center"/>
    </xf>
    <xf numFmtId="164" fontId="2" fillId="0" borderId="36" xfId="5" applyNumberFormat="1" applyFont="1" applyFill="1" applyBorder="1" applyAlignment="1">
      <alignment horizontal="right" vertical="center"/>
    </xf>
    <xf numFmtId="164" fontId="24" fillId="0" borderId="63" xfId="5" applyNumberFormat="1" applyFont="1" applyFill="1" applyBorder="1" applyAlignment="1">
      <alignment vertical="top"/>
    </xf>
    <xf numFmtId="164" fontId="15" fillId="0" borderId="31" xfId="5" applyNumberFormat="1" applyFont="1" applyBorder="1" applyAlignment="1">
      <alignment horizontal="right" vertical="center"/>
    </xf>
    <xf numFmtId="165" fontId="13" fillId="0" borderId="57" xfId="1" applyNumberFormat="1" applyFont="1" applyBorder="1" applyAlignment="1">
      <alignment horizontal="center"/>
    </xf>
    <xf numFmtId="164" fontId="43" fillId="0" borderId="37" xfId="5" applyNumberFormat="1" applyFont="1" applyBorder="1"/>
    <xf numFmtId="0" fontId="2" fillId="0" borderId="0" xfId="0" applyFont="1" applyAlignment="1">
      <alignment horizontal="center"/>
    </xf>
    <xf numFmtId="164" fontId="16" fillId="15" borderId="14" xfId="5" applyNumberFormat="1" applyFont="1" applyFill="1" applyBorder="1" applyAlignment="1">
      <alignment vertical="top" wrapText="1"/>
    </xf>
    <xf numFmtId="164" fontId="43" fillId="0" borderId="14" xfId="5" applyNumberFormat="1" applyFont="1" applyBorder="1" applyAlignment="1">
      <alignment vertical="top"/>
    </xf>
    <xf numFmtId="164" fontId="18" fillId="19" borderId="14" xfId="5" applyNumberFormat="1" applyFont="1" applyFill="1" applyBorder="1" applyAlignment="1">
      <alignment vertical="top" wrapText="1"/>
    </xf>
    <xf numFmtId="165" fontId="30" fillId="19" borderId="14" xfId="1" applyNumberFormat="1" applyFont="1" applyFill="1" applyBorder="1" applyAlignment="1">
      <alignment horizontal="center" vertical="top" wrapText="1"/>
    </xf>
    <xf numFmtId="164" fontId="23" fillId="0" borderId="0" xfId="0" applyNumberFormat="1" applyFont="1"/>
    <xf numFmtId="167" fontId="13" fillId="0" borderId="0" xfId="0" applyNumberFormat="1" applyFont="1" applyAlignment="1">
      <alignment horizontal="center"/>
    </xf>
    <xf numFmtId="0" fontId="2" fillId="0" borderId="0" xfId="9" applyFont="1"/>
    <xf numFmtId="0" fontId="15" fillId="0" borderId="11" xfId="9" applyFont="1" applyBorder="1" applyAlignment="1">
      <alignment horizontal="center" vertical="center" wrapText="1"/>
    </xf>
    <xf numFmtId="0" fontId="15" fillId="0" borderId="12" xfId="9" applyFont="1" applyBorder="1" applyAlignment="1">
      <alignment horizontal="center" vertical="center" wrapText="1"/>
    </xf>
    <xf numFmtId="164" fontId="15" fillId="0" borderId="12" xfId="5" applyNumberFormat="1" applyFont="1" applyFill="1" applyBorder="1" applyAlignment="1">
      <alignment horizontal="center" vertical="center" wrapText="1"/>
    </xf>
    <xf numFmtId="10" fontId="15" fillId="0" borderId="14" xfId="1" applyNumberFormat="1" applyFont="1" applyBorder="1" applyAlignment="1">
      <alignment horizontal="center" vertical="center" wrapText="1"/>
    </xf>
    <xf numFmtId="0" fontId="2" fillId="0" borderId="26" xfId="9" applyFont="1" applyBorder="1"/>
    <xf numFmtId="0" fontId="2" fillId="0" borderId="24" xfId="9" applyFont="1" applyBorder="1" applyAlignment="1">
      <alignment horizontal="center" vertical="center"/>
    </xf>
    <xf numFmtId="10" fontId="2" fillId="16" borderId="41" xfId="1" applyNumberFormat="1" applyFont="1" applyFill="1" applyBorder="1"/>
    <xf numFmtId="10" fontId="2" fillId="0" borderId="20" xfId="1" applyNumberFormat="1" applyFont="1" applyBorder="1"/>
    <xf numFmtId="0" fontId="2" fillId="0" borderId="64" xfId="9" applyFont="1" applyBorder="1"/>
    <xf numFmtId="0" fontId="2" fillId="0" borderId="60" xfId="9" applyFont="1" applyBorder="1" applyAlignment="1">
      <alignment horizontal="center" vertical="center"/>
    </xf>
    <xf numFmtId="10" fontId="2" fillId="16" borderId="65" xfId="1" applyNumberFormat="1" applyFont="1" applyFill="1" applyBorder="1"/>
    <xf numFmtId="164" fontId="15" fillId="0" borderId="14" xfId="5" applyNumberFormat="1" applyFont="1" applyFill="1" applyBorder="1" applyAlignment="1">
      <alignment horizontal="center" vertical="center"/>
    </xf>
    <xf numFmtId="10" fontId="2" fillId="0" borderId="14" xfId="1" applyNumberFormat="1" applyFont="1" applyBorder="1"/>
    <xf numFmtId="0" fontId="2" fillId="0" borderId="18" xfId="9" applyFont="1" applyBorder="1"/>
    <xf numFmtId="0" fontId="2" fillId="0" borderId="19" xfId="9" applyFont="1" applyBorder="1" applyAlignment="1">
      <alignment horizontal="center" vertical="center"/>
    </xf>
    <xf numFmtId="10" fontId="2" fillId="16" borderId="20" xfId="1" applyNumberFormat="1" applyFont="1" applyFill="1" applyBorder="1"/>
    <xf numFmtId="10" fontId="2" fillId="0" borderId="20" xfId="1" applyNumberFormat="1" applyFont="1" applyFill="1" applyBorder="1"/>
    <xf numFmtId="10" fontId="2" fillId="0" borderId="40" xfId="1" applyNumberFormat="1" applyFont="1" applyBorder="1"/>
    <xf numFmtId="10" fontId="2" fillId="0" borderId="40" xfId="1" applyNumberFormat="1" applyFont="1" applyFill="1" applyBorder="1"/>
    <xf numFmtId="10" fontId="2" fillId="16" borderId="66" xfId="1" applyNumberFormat="1" applyFont="1" applyFill="1" applyBorder="1"/>
    <xf numFmtId="10" fontId="2" fillId="16" borderId="40" xfId="1" applyNumberFormat="1" applyFont="1" applyFill="1" applyBorder="1"/>
    <xf numFmtId="10" fontId="2" fillId="0" borderId="66" xfId="1" applyNumberFormat="1" applyFont="1" applyBorder="1"/>
    <xf numFmtId="10" fontId="2" fillId="0" borderId="66" xfId="1" applyNumberFormat="1" applyFont="1" applyFill="1" applyBorder="1"/>
    <xf numFmtId="0" fontId="2" fillId="0" borderId="54" xfId="9" applyFont="1" applyBorder="1"/>
    <xf numFmtId="0" fontId="2" fillId="0" borderId="34" xfId="9" applyFont="1" applyBorder="1" applyAlignment="1">
      <alignment horizontal="center" vertical="center"/>
    </xf>
    <xf numFmtId="10" fontId="2" fillId="0" borderId="42" xfId="1" applyNumberFormat="1" applyFont="1" applyBorder="1"/>
    <xf numFmtId="10" fontId="2" fillId="0" borderId="39" xfId="1" applyNumberFormat="1" applyFont="1" applyBorder="1"/>
    <xf numFmtId="0" fontId="15" fillId="0" borderId="0" xfId="9" applyFont="1" applyAlignment="1">
      <alignment horizontal="center" vertical="center"/>
    </xf>
    <xf numFmtId="164" fontId="2" fillId="0" borderId="0" xfId="5" applyNumberFormat="1" applyFont="1" applyFill="1" applyBorder="1" applyAlignment="1">
      <alignment horizontal="center" vertical="center"/>
    </xf>
    <xf numFmtId="10" fontId="2" fillId="0" borderId="0" xfId="1" applyNumberFormat="1" applyFont="1" applyBorder="1"/>
    <xf numFmtId="0" fontId="15" fillId="0" borderId="0" xfId="9" applyFont="1" applyAlignment="1">
      <alignment horizontal="right" vertical="center"/>
    </xf>
    <xf numFmtId="164" fontId="15" fillId="0" borderId="11" xfId="5" applyNumberFormat="1" applyFont="1" applyFill="1" applyBorder="1" applyAlignment="1">
      <alignment horizontal="center" vertical="center"/>
    </xf>
    <xf numFmtId="168" fontId="15" fillId="16" borderId="14" xfId="4" applyNumberFormat="1" applyFont="1" applyFill="1" applyBorder="1" applyAlignment="1">
      <alignment horizontal="right"/>
    </xf>
    <xf numFmtId="168" fontId="23" fillId="0" borderId="0" xfId="4" applyNumberFormat="1" applyFont="1" applyBorder="1"/>
    <xf numFmtId="168" fontId="2" fillId="0" borderId="0" xfId="0" applyNumberFormat="1" applyFont="1"/>
    <xf numFmtId="164" fontId="2" fillId="14" borderId="7" xfId="5" applyNumberFormat="1" applyFont="1" applyFill="1" applyBorder="1" applyAlignment="1">
      <alignment vertical="top"/>
    </xf>
    <xf numFmtId="43" fontId="15" fillId="0" borderId="40" xfId="4" applyFont="1" applyFill="1" applyBorder="1" applyAlignment="1">
      <alignment horizontal="right" vertical="center"/>
    </xf>
    <xf numFmtId="164" fontId="12" fillId="0" borderId="24" xfId="5" applyNumberFormat="1" applyFont="1" applyFill="1" applyBorder="1" applyAlignment="1"/>
    <xf numFmtId="164" fontId="2" fillId="0" borderId="34" xfId="5" applyNumberFormat="1" applyFont="1" applyFill="1" applyBorder="1" applyAlignment="1">
      <alignment vertical="top"/>
    </xf>
    <xf numFmtId="43" fontId="15" fillId="0" borderId="42" xfId="4" applyFont="1" applyFill="1" applyBorder="1" applyAlignment="1">
      <alignment horizontal="right" vertical="center"/>
    </xf>
    <xf numFmtId="164" fontId="2" fillId="16" borderId="7" xfId="5" applyNumberFormat="1" applyFont="1" applyFill="1" applyBorder="1" applyAlignment="1">
      <alignment vertical="top"/>
    </xf>
    <xf numFmtId="164" fontId="15" fillId="0" borderId="20" xfId="5" applyNumberFormat="1" applyFont="1" applyFill="1" applyBorder="1" applyAlignment="1">
      <alignment horizontal="right" vertical="center"/>
    </xf>
    <xf numFmtId="43" fontId="15" fillId="0" borderId="20" xfId="4" applyFont="1" applyFill="1" applyBorder="1" applyAlignment="1">
      <alignment horizontal="right" vertical="center"/>
    </xf>
    <xf numFmtId="0" fontId="15" fillId="0" borderId="0" xfId="0" applyFont="1" applyAlignment="1">
      <alignment horizontal="center"/>
    </xf>
    <xf numFmtId="164" fontId="2" fillId="13" borderId="6" xfId="5" applyNumberFormat="1" applyFont="1" applyFill="1" applyBorder="1" applyAlignment="1">
      <alignment horizontal="right" vertical="center"/>
    </xf>
    <xf numFmtId="164" fontId="2" fillId="13" borderId="25" xfId="5" applyNumberFormat="1" applyFont="1" applyFill="1" applyBorder="1" applyAlignment="1">
      <alignment horizontal="right" vertical="center"/>
    </xf>
    <xf numFmtId="164" fontId="2" fillId="13" borderId="32" xfId="5" applyNumberFormat="1" applyFont="1" applyFill="1" applyBorder="1" applyAlignment="1">
      <alignment horizontal="right" vertical="center"/>
    </xf>
    <xf numFmtId="165" fontId="48" fillId="18" borderId="20" xfId="1" applyNumberFormat="1" applyFont="1" applyFill="1" applyBorder="1"/>
    <xf numFmtId="0" fontId="16" fillId="2" borderId="10" xfId="0" applyFont="1" applyFill="1" applyBorder="1" applyAlignment="1">
      <alignment horizontal="center" vertical="center" wrapText="1"/>
    </xf>
    <xf numFmtId="164" fontId="2" fillId="2" borderId="6" xfId="5" applyNumberFormat="1" applyFont="1" applyFill="1" applyBorder="1" applyAlignment="1">
      <alignment horizontal="right" vertical="center"/>
    </xf>
    <xf numFmtId="164" fontId="2" fillId="2" borderId="25" xfId="5" applyNumberFormat="1" applyFont="1" applyFill="1" applyBorder="1" applyAlignment="1">
      <alignment horizontal="right" vertical="center"/>
    </xf>
    <xf numFmtId="164" fontId="2" fillId="2" borderId="32" xfId="5" applyNumberFormat="1" applyFont="1" applyFill="1" applyBorder="1" applyAlignment="1">
      <alignment horizontal="right" vertical="center"/>
    </xf>
    <xf numFmtId="164" fontId="15" fillId="2" borderId="14" xfId="5" applyNumberFormat="1" applyFont="1" applyFill="1" applyBorder="1" applyAlignment="1">
      <alignment vertical="top"/>
    </xf>
    <xf numFmtId="0" fontId="16" fillId="2" borderId="8" xfId="0" applyFont="1" applyFill="1" applyBorder="1" applyAlignment="1">
      <alignment horizontal="center" vertical="center" wrapText="1"/>
    </xf>
    <xf numFmtId="164" fontId="2" fillId="2" borderId="16" xfId="5" applyNumberFormat="1" applyFont="1" applyFill="1" applyBorder="1" applyAlignment="1">
      <alignment horizontal="right" vertical="center"/>
    </xf>
    <xf numFmtId="164" fontId="2" fillId="2" borderId="22" xfId="5" applyNumberFormat="1" applyFont="1" applyFill="1" applyBorder="1" applyAlignment="1">
      <alignment horizontal="right" vertical="center"/>
    </xf>
    <xf numFmtId="164" fontId="2" fillId="2" borderId="31" xfId="5" applyNumberFormat="1" applyFont="1" applyFill="1" applyBorder="1" applyAlignment="1">
      <alignment horizontal="right" vertical="center"/>
    </xf>
    <xf numFmtId="0" fontId="23" fillId="0" borderId="0" xfId="5" applyNumberFormat="1" applyFont="1" applyFill="1" applyBorder="1" applyAlignment="1">
      <alignment vertical="center"/>
    </xf>
    <xf numFmtId="0" fontId="16" fillId="0" borderId="10" xfId="0" applyFont="1" applyBorder="1" applyAlignment="1">
      <alignment horizontal="center" vertical="center" wrapText="1"/>
    </xf>
    <xf numFmtId="164" fontId="2" fillId="0" borderId="6" xfId="5" applyNumberFormat="1" applyFont="1" applyFill="1" applyBorder="1" applyAlignment="1">
      <alignment horizontal="right" vertical="center"/>
    </xf>
    <xf numFmtId="164" fontId="2" fillId="0" borderId="32" xfId="5" applyNumberFormat="1" applyFont="1" applyFill="1" applyBorder="1" applyAlignment="1">
      <alignment horizontal="right" vertical="center"/>
    </xf>
    <xf numFmtId="164" fontId="2" fillId="0" borderId="37" xfId="5" applyNumberFormat="1" applyFont="1" applyFill="1" applyBorder="1"/>
    <xf numFmtId="164" fontId="15" fillId="0" borderId="14" xfId="5" applyNumberFormat="1" applyFont="1" applyFill="1" applyBorder="1" applyAlignment="1">
      <alignment vertical="top"/>
    </xf>
    <xf numFmtId="164" fontId="2" fillId="2" borderId="21" xfId="5" applyNumberFormat="1" applyFont="1" applyFill="1" applyBorder="1" applyAlignment="1">
      <alignment vertical="top"/>
    </xf>
    <xf numFmtId="164" fontId="2" fillId="2" borderId="37" xfId="5" applyNumberFormat="1" applyFont="1" applyFill="1" applyBorder="1" applyAlignment="1">
      <alignment vertical="top"/>
    </xf>
    <xf numFmtId="49" fontId="27" fillId="0" borderId="0" xfId="0" applyNumberFormat="1" applyFont="1" applyAlignment="1">
      <alignment horizontal="center"/>
    </xf>
    <xf numFmtId="164" fontId="47" fillId="18" borderId="31" xfId="5" applyNumberFormat="1" applyFont="1" applyFill="1" applyBorder="1" applyAlignment="1">
      <alignment horizontal="right" vertical="center"/>
    </xf>
    <xf numFmtId="165" fontId="48" fillId="18" borderId="42" xfId="1" applyNumberFormat="1" applyFont="1" applyFill="1" applyBorder="1"/>
    <xf numFmtId="164" fontId="2" fillId="0" borderId="55" xfId="5" applyNumberFormat="1" applyFont="1" applyFill="1" applyBorder="1" applyAlignment="1">
      <alignment vertical="top"/>
    </xf>
    <xf numFmtId="164" fontId="2" fillId="0" borderId="19" xfId="5" applyNumberFormat="1" applyFont="1" applyFill="1" applyBorder="1" applyAlignment="1">
      <alignment vertical="top"/>
    </xf>
    <xf numFmtId="164" fontId="2" fillId="0" borderId="24" xfId="5" applyNumberFormat="1" applyFont="1" applyFill="1" applyBorder="1" applyAlignment="1">
      <alignment vertical="top"/>
    </xf>
    <xf numFmtId="164" fontId="2" fillId="0" borderId="67" xfId="5" applyNumberFormat="1" applyFont="1" applyFill="1" applyBorder="1" applyAlignment="1">
      <alignment vertical="top"/>
    </xf>
    <xf numFmtId="164" fontId="31" fillId="0" borderId="0" xfId="5" applyNumberFormat="1" applyFont="1" applyFill="1"/>
    <xf numFmtId="0" fontId="29" fillId="0" borderId="0" xfId="0" applyFont="1" applyAlignment="1">
      <alignment horizontal="right"/>
    </xf>
    <xf numFmtId="164" fontId="24" fillId="0" borderId="0" xfId="5" applyNumberFormat="1" applyFont="1" applyFill="1" applyBorder="1"/>
    <xf numFmtId="168" fontId="27" fillId="0" borderId="0" xfId="4" applyNumberFormat="1" applyFont="1" applyBorder="1" applyAlignment="1">
      <alignment horizontal="center"/>
    </xf>
    <xf numFmtId="164" fontId="12" fillId="14" borderId="6" xfId="5" applyNumberFormat="1" applyFont="1" applyFill="1" applyBorder="1"/>
    <xf numFmtId="164" fontId="2" fillId="0" borderId="20" xfId="5" applyNumberFormat="1" applyFont="1" applyFill="1" applyBorder="1" applyAlignment="1">
      <alignment horizontal="center" vertical="center"/>
    </xf>
    <xf numFmtId="164" fontId="2" fillId="0" borderId="65" xfId="5" applyNumberFormat="1" applyFont="1" applyFill="1" applyBorder="1" applyAlignment="1">
      <alignment horizontal="center" vertical="center"/>
    </xf>
    <xf numFmtId="164" fontId="2" fillId="0" borderId="36" xfId="5" applyNumberFormat="1" applyFont="1" applyFill="1" applyBorder="1" applyAlignment="1">
      <alignment horizontal="center" vertical="center"/>
    </xf>
    <xf numFmtId="0" fontId="15" fillId="20" borderId="12" xfId="0" applyFont="1" applyFill="1" applyBorder="1" applyAlignment="1">
      <alignment horizontal="center" vertical="center" wrapText="1"/>
    </xf>
    <xf numFmtId="164" fontId="15" fillId="20" borderId="16" xfId="5" applyNumberFormat="1" applyFont="1" applyFill="1" applyBorder="1" applyAlignment="1">
      <alignment horizontal="right" vertical="center"/>
    </xf>
    <xf numFmtId="164" fontId="15" fillId="20" borderId="31" xfId="5" applyNumberFormat="1" applyFont="1" applyFill="1" applyBorder="1" applyAlignment="1">
      <alignment horizontal="right" vertical="center"/>
    </xf>
    <xf numFmtId="0" fontId="27" fillId="0" borderId="0" xfId="0" applyFont="1" applyAlignment="1">
      <alignment horizontal="center"/>
    </xf>
    <xf numFmtId="165" fontId="22" fillId="18" borderId="20" xfId="1" applyNumberFormat="1" applyFont="1" applyFill="1" applyBorder="1"/>
    <xf numFmtId="0" fontId="52" fillId="0" borderId="0" xfId="0" applyFont="1" applyAlignment="1">
      <alignment vertical="center"/>
    </xf>
    <xf numFmtId="0" fontId="51" fillId="0" borderId="0" xfId="0" applyFont="1" applyAlignment="1">
      <alignment vertical="center"/>
    </xf>
    <xf numFmtId="168" fontId="51" fillId="0" borderId="0" xfId="4" applyNumberFormat="1" applyFont="1" applyAlignment="1">
      <alignment vertical="center"/>
    </xf>
    <xf numFmtId="0" fontId="54" fillId="0" borderId="0" xfId="0" applyFont="1" applyAlignment="1">
      <alignment vertical="center"/>
    </xf>
    <xf numFmtId="164" fontId="54" fillId="3" borderId="0" xfId="5" applyNumberFormat="1" applyFont="1" applyFill="1" applyAlignment="1">
      <alignment vertical="center"/>
    </xf>
    <xf numFmtId="168" fontId="51" fillId="0" borderId="24" xfId="4" applyNumberFormat="1" applyFont="1" applyBorder="1" applyAlignment="1">
      <alignment horizontal="center" vertical="center"/>
    </xf>
    <xf numFmtId="0" fontId="51" fillId="0" borderId="0" xfId="0" applyFont="1"/>
    <xf numFmtId="172" fontId="51" fillId="0" borderId="24" xfId="4" applyNumberFormat="1" applyFont="1" applyBorder="1" applyAlignment="1">
      <alignment horizontal="center" vertical="center" wrapText="1"/>
    </xf>
    <xf numFmtId="168" fontId="51" fillId="0" borderId="24" xfId="4" applyNumberFormat="1" applyFont="1" applyBorder="1" applyAlignment="1">
      <alignment horizontal="center" vertical="center" wrapText="1"/>
    </xf>
    <xf numFmtId="168" fontId="51" fillId="0" borderId="0" xfId="4" applyNumberFormat="1" applyFont="1" applyBorder="1" applyAlignment="1">
      <alignment horizontal="center"/>
    </xf>
    <xf numFmtId="9" fontId="51" fillId="3" borderId="0" xfId="1" applyFont="1" applyFill="1"/>
    <xf numFmtId="164" fontId="51" fillId="0" borderId="0" xfId="5" applyNumberFormat="1" applyFont="1" applyAlignment="1">
      <alignment horizontal="center"/>
    </xf>
    <xf numFmtId="168" fontId="51" fillId="0" borderId="0" xfId="4" applyNumberFormat="1" applyFont="1"/>
    <xf numFmtId="0" fontId="51" fillId="3" borderId="0" xfId="0" applyFont="1" applyFill="1"/>
    <xf numFmtId="164" fontId="51" fillId="0" borderId="0" xfId="5" applyNumberFormat="1" applyFont="1"/>
    <xf numFmtId="0" fontId="54" fillId="0" borderId="8" xfId="0" applyFont="1" applyBorder="1" applyAlignment="1">
      <alignment horizontal="center" vertical="center" wrapText="1"/>
    </xf>
    <xf numFmtId="0" fontId="54" fillId="0" borderId="9" xfId="0" applyFont="1" applyBorder="1" applyAlignment="1">
      <alignment horizontal="center" vertical="center" wrapText="1"/>
    </xf>
    <xf numFmtId="0" fontId="55" fillId="4" borderId="8" xfId="0" applyFont="1" applyFill="1" applyBorder="1" applyAlignment="1">
      <alignment horizontal="center" vertical="center" wrapText="1"/>
    </xf>
    <xf numFmtId="168" fontId="54" fillId="2" borderId="12" xfId="4" applyNumberFormat="1" applyFont="1" applyFill="1" applyBorder="1" applyAlignment="1">
      <alignment horizontal="center" vertical="center" wrapText="1"/>
    </xf>
    <xf numFmtId="0" fontId="54" fillId="18" borderId="11" xfId="0" applyFont="1" applyFill="1" applyBorder="1" applyAlignment="1">
      <alignment horizontal="center" vertical="center" wrapText="1"/>
    </xf>
    <xf numFmtId="0" fontId="54" fillId="18" borderId="12" xfId="0" applyFont="1" applyFill="1" applyBorder="1" applyAlignment="1">
      <alignment horizontal="center" vertical="center" wrapText="1"/>
    </xf>
    <xf numFmtId="0" fontId="54" fillId="17" borderId="39" xfId="0" applyFont="1" applyFill="1" applyBorder="1" applyAlignment="1">
      <alignment horizontal="center" vertical="center" wrapText="1"/>
    </xf>
    <xf numFmtId="0" fontId="54" fillId="20" borderId="14" xfId="0" applyFont="1" applyFill="1" applyBorder="1" applyAlignment="1">
      <alignment horizontal="center" vertical="center" wrapText="1"/>
    </xf>
    <xf numFmtId="168" fontId="56" fillId="21" borderId="14" xfId="4" applyNumberFormat="1" applyFont="1" applyFill="1" applyBorder="1" applyAlignment="1">
      <alignment horizontal="center" vertical="center" wrapText="1"/>
    </xf>
    <xf numFmtId="0" fontId="51" fillId="0" borderId="16" xfId="0" applyFont="1" applyBorder="1" applyAlignment="1">
      <alignment vertical="top"/>
    </xf>
    <xf numFmtId="0" fontId="51" fillId="0" borderId="17" xfId="0" applyFont="1" applyBorder="1" applyAlignment="1">
      <alignment horizontal="center" vertical="top"/>
    </xf>
    <xf numFmtId="164" fontId="54" fillId="0" borderId="16" xfId="5" applyNumberFormat="1" applyFont="1" applyFill="1" applyBorder="1" applyAlignment="1">
      <alignment vertical="top"/>
    </xf>
    <xf numFmtId="166" fontId="57" fillId="2" borderId="19" xfId="4" applyNumberFormat="1" applyFont="1" applyFill="1" applyBorder="1" applyAlignment="1">
      <alignment vertical="top"/>
    </xf>
    <xf numFmtId="164" fontId="57" fillId="0" borderId="19" xfId="5" applyNumberFormat="1" applyFont="1" applyFill="1" applyBorder="1" applyAlignment="1">
      <alignment vertical="top"/>
    </xf>
    <xf numFmtId="42" fontId="51" fillId="0" borderId="0" xfId="5" applyNumberFormat="1" applyFont="1"/>
    <xf numFmtId="44" fontId="57" fillId="18" borderId="18" xfId="5" applyFont="1" applyFill="1" applyBorder="1" applyAlignment="1">
      <alignment vertical="top"/>
    </xf>
    <xf numFmtId="44" fontId="57" fillId="18" borderId="7" xfId="5" applyFont="1" applyFill="1" applyBorder="1" applyAlignment="1">
      <alignment vertical="top"/>
    </xf>
    <xf numFmtId="164" fontId="51" fillId="17" borderId="49" xfId="5" applyNumberFormat="1" applyFont="1" applyFill="1" applyBorder="1" applyAlignment="1">
      <alignment vertical="top"/>
    </xf>
    <xf numFmtId="43" fontId="57" fillId="18" borderId="18" xfId="4" applyFont="1" applyFill="1" applyBorder="1" applyAlignment="1">
      <alignment vertical="top"/>
    </xf>
    <xf numFmtId="43" fontId="57" fillId="18" borderId="7" xfId="4" applyFont="1" applyFill="1" applyBorder="1" applyAlignment="1">
      <alignment vertical="top"/>
    </xf>
    <xf numFmtId="164" fontId="54" fillId="20" borderId="20" xfId="5" applyNumberFormat="1" applyFont="1" applyFill="1" applyBorder="1" applyAlignment="1">
      <alignment vertical="top"/>
    </xf>
    <xf numFmtId="164" fontId="54" fillId="13" borderId="20" xfId="5" applyNumberFormat="1" applyFont="1" applyFill="1" applyBorder="1" applyAlignment="1">
      <alignment vertical="top"/>
    </xf>
    <xf numFmtId="0" fontId="51" fillId="0" borderId="22" xfId="0" applyFont="1" applyBorder="1" applyAlignment="1">
      <alignment vertical="top"/>
    </xf>
    <xf numFmtId="0" fontId="51" fillId="0" borderId="23" xfId="0" applyFont="1" applyBorder="1" applyAlignment="1">
      <alignment horizontal="center" vertical="top"/>
    </xf>
    <xf numFmtId="166" fontId="57" fillId="2" borderId="24" xfId="4" applyNumberFormat="1" applyFont="1" applyFill="1" applyBorder="1" applyAlignment="1">
      <alignment vertical="top"/>
    </xf>
    <xf numFmtId="164" fontId="57" fillId="0" borderId="24" xfId="5" applyNumberFormat="1" applyFont="1" applyFill="1" applyBorder="1" applyAlignment="1">
      <alignment vertical="top"/>
    </xf>
    <xf numFmtId="164" fontId="54" fillId="20" borderId="40" xfId="5" applyNumberFormat="1" applyFont="1" applyFill="1" applyBorder="1" applyAlignment="1">
      <alignment vertical="top"/>
    </xf>
    <xf numFmtId="164" fontId="54" fillId="13" borderId="40" xfId="5" applyNumberFormat="1" applyFont="1" applyFill="1" applyBorder="1" applyAlignment="1">
      <alignment vertical="top"/>
    </xf>
    <xf numFmtId="42" fontId="51" fillId="0" borderId="0" xfId="5" applyNumberFormat="1" applyFont="1" applyFill="1"/>
    <xf numFmtId="0" fontId="51" fillId="0" borderId="29" xfId="0" applyFont="1" applyBorder="1" applyAlignment="1">
      <alignment vertical="top"/>
    </xf>
    <xf numFmtId="0" fontId="51" fillId="0" borderId="30" xfId="0" applyFont="1" applyBorder="1" applyAlignment="1">
      <alignment horizontal="center" vertical="top"/>
    </xf>
    <xf numFmtId="44" fontId="57" fillId="18" borderId="33" xfId="5" applyFont="1" applyFill="1" applyBorder="1" applyAlignment="1">
      <alignment vertical="top"/>
    </xf>
    <xf numFmtId="44" fontId="57" fillId="18" borderId="35" xfId="5" applyFont="1" applyFill="1" applyBorder="1" applyAlignment="1">
      <alignment vertical="top"/>
    </xf>
    <xf numFmtId="164" fontId="51" fillId="17" borderId="50" xfId="5" applyNumberFormat="1" applyFont="1" applyFill="1" applyBorder="1" applyAlignment="1">
      <alignment vertical="top"/>
    </xf>
    <xf numFmtId="43" fontId="57" fillId="18" borderId="33" xfId="4" applyFont="1" applyFill="1" applyBorder="1" applyAlignment="1">
      <alignment vertical="top"/>
    </xf>
    <xf numFmtId="43" fontId="57" fillId="18" borderId="35" xfId="4" applyFont="1" applyFill="1" applyBorder="1" applyAlignment="1">
      <alignment vertical="top"/>
    </xf>
    <xf numFmtId="164" fontId="54" fillId="20" borderId="42" xfId="5" applyNumberFormat="1" applyFont="1" applyFill="1" applyBorder="1" applyAlignment="1">
      <alignment vertical="top"/>
    </xf>
    <xf numFmtId="164" fontId="54" fillId="13" borderId="42" xfId="5" applyNumberFormat="1" applyFont="1" applyFill="1" applyBorder="1" applyAlignment="1">
      <alignment vertical="top"/>
    </xf>
    <xf numFmtId="0" fontId="51" fillId="0" borderId="37" xfId="0" applyFont="1" applyBorder="1"/>
    <xf numFmtId="0" fontId="51" fillId="0" borderId="37" xfId="0" applyFont="1" applyBorder="1" applyAlignment="1">
      <alignment horizontal="center"/>
    </xf>
    <xf numFmtId="164" fontId="59" fillId="0" borderId="37" xfId="5" applyNumberFormat="1" applyFont="1" applyBorder="1"/>
    <xf numFmtId="166" fontId="59" fillId="0" borderId="37" xfId="4" applyNumberFormat="1" applyFont="1" applyFill="1" applyBorder="1"/>
    <xf numFmtId="168" fontId="59" fillId="0" borderId="0" xfId="4" applyNumberFormat="1" applyFont="1" applyFill="1" applyBorder="1"/>
    <xf numFmtId="168" fontId="59" fillId="0" borderId="37" xfId="4" applyNumberFormat="1" applyFont="1" applyFill="1" applyBorder="1"/>
    <xf numFmtId="164" fontId="59" fillId="0" borderId="0" xfId="5" applyNumberFormat="1" applyFont="1" applyBorder="1"/>
    <xf numFmtId="164" fontId="55" fillId="4" borderId="8" xfId="5" applyNumberFormat="1" applyFont="1" applyFill="1" applyBorder="1" applyAlignment="1">
      <alignment vertical="top" wrapText="1"/>
    </xf>
    <xf numFmtId="166" fontId="58" fillId="2" borderId="14" xfId="4" applyNumberFormat="1" applyFont="1" applyFill="1" applyBorder="1" applyAlignment="1">
      <alignment vertical="top"/>
    </xf>
    <xf numFmtId="164" fontId="58" fillId="0" borderId="14" xfId="5" applyNumberFormat="1" applyFont="1" applyFill="1" applyBorder="1" applyAlignment="1">
      <alignment vertical="top"/>
    </xf>
    <xf numFmtId="42" fontId="54" fillId="0" borderId="0" xfId="5" applyNumberFormat="1" applyFont="1"/>
    <xf numFmtId="44" fontId="58" fillId="18" borderId="14" xfId="5" applyFont="1" applyFill="1" applyBorder="1" applyAlignment="1">
      <alignment vertical="top"/>
    </xf>
    <xf numFmtId="164" fontId="58" fillId="17" borderId="14" xfId="5" applyNumberFormat="1" applyFont="1" applyFill="1" applyBorder="1" applyAlignment="1">
      <alignment vertical="top"/>
    </xf>
    <xf numFmtId="43" fontId="58" fillId="18" borderId="14" xfId="4" applyFont="1" applyFill="1" applyBorder="1" applyAlignment="1">
      <alignment vertical="top"/>
    </xf>
    <xf numFmtId="164" fontId="58" fillId="17" borderId="8" xfId="5" applyNumberFormat="1" applyFont="1" applyFill="1" applyBorder="1" applyAlignment="1">
      <alignment vertical="top"/>
    </xf>
    <xf numFmtId="164" fontId="58" fillId="20" borderId="8" xfId="5" applyNumberFormat="1" applyFont="1" applyFill="1" applyBorder="1" applyAlignment="1">
      <alignment vertical="top"/>
    </xf>
    <xf numFmtId="164" fontId="55" fillId="4" borderId="14" xfId="5" applyNumberFormat="1" applyFont="1" applyFill="1" applyBorder="1" applyAlignment="1">
      <alignment vertical="top" wrapText="1"/>
    </xf>
    <xf numFmtId="6" fontId="51" fillId="0" borderId="0" xfId="0" applyNumberFormat="1" applyFont="1"/>
    <xf numFmtId="168" fontId="60" fillId="0" borderId="0" xfId="4" applyNumberFormat="1" applyFont="1"/>
    <xf numFmtId="165" fontId="51" fillId="0" borderId="0" xfId="1" applyNumberFormat="1" applyFont="1"/>
    <xf numFmtId="0" fontId="61" fillId="0" borderId="0" xfId="0" applyFont="1"/>
    <xf numFmtId="164" fontId="60" fillId="0" borderId="0" xfId="0" applyNumberFormat="1" applyFont="1"/>
    <xf numFmtId="8" fontId="51" fillId="0" borderId="0" xfId="0" applyNumberFormat="1" applyFont="1"/>
    <xf numFmtId="168" fontId="54" fillId="0" borderId="9" xfId="4" applyNumberFormat="1" applyFont="1" applyFill="1" applyBorder="1" applyAlignment="1">
      <alignment horizontal="center" vertical="center" wrapText="1"/>
    </xf>
    <xf numFmtId="0" fontId="12" fillId="0" borderId="25" xfId="0" applyFont="1" applyBorder="1" applyAlignment="1">
      <alignment horizontal="left" vertical="center" wrapText="1"/>
    </xf>
    <xf numFmtId="0" fontId="12" fillId="0" borderId="28" xfId="0" applyFont="1" applyBorder="1" applyAlignment="1">
      <alignment horizontal="left" vertical="center" wrapText="1"/>
    </xf>
    <xf numFmtId="0" fontId="12" fillId="0" borderId="27" xfId="0" applyFont="1" applyBorder="1" applyAlignment="1">
      <alignment horizontal="left" vertical="center" wrapText="1"/>
    </xf>
    <xf numFmtId="0" fontId="3" fillId="0" borderId="0" xfId="2" applyFont="1" applyAlignment="1">
      <alignment horizont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31" fillId="2" borderId="8" xfId="0" applyFont="1" applyFill="1" applyBorder="1" applyAlignment="1">
      <alignment horizontal="center"/>
    </xf>
    <xf numFmtId="0" fontId="31" fillId="2" borderId="39" xfId="0" applyFont="1" applyFill="1" applyBorder="1" applyAlignment="1">
      <alignment horizontal="center"/>
    </xf>
    <xf numFmtId="0" fontId="46" fillId="0" borderId="0" xfId="2" applyFont="1" applyAlignment="1">
      <alignment horizontal="center" vertical="center"/>
    </xf>
    <xf numFmtId="0" fontId="42" fillId="4" borderId="51" xfId="0" applyFont="1" applyFill="1" applyBorder="1" applyAlignment="1">
      <alignment horizontal="center" vertical="center" wrapText="1"/>
    </xf>
    <xf numFmtId="0" fontId="42" fillId="4" borderId="33" xfId="0" applyFont="1" applyFill="1" applyBorder="1" applyAlignment="1">
      <alignment horizontal="center" vertical="center" wrapText="1"/>
    </xf>
    <xf numFmtId="164" fontId="42" fillId="4" borderId="56" xfId="5" applyNumberFormat="1" applyFont="1" applyFill="1" applyBorder="1" applyAlignment="1">
      <alignment horizontal="center" vertical="center"/>
    </xf>
    <xf numFmtId="164" fontId="42" fillId="4" borderId="57" xfId="5" applyNumberFormat="1" applyFont="1" applyFill="1" applyBorder="1" applyAlignment="1">
      <alignment horizontal="center" vertical="center"/>
    </xf>
    <xf numFmtId="0" fontId="42" fillId="5" borderId="51" xfId="0" applyFont="1" applyFill="1" applyBorder="1" applyAlignment="1">
      <alignment horizontal="center" vertical="center" wrapText="1"/>
    </xf>
    <xf numFmtId="0" fontId="42" fillId="5" borderId="59" xfId="0" applyFont="1" applyFill="1" applyBorder="1" applyAlignment="1">
      <alignment horizontal="center" vertical="center" wrapText="1"/>
    </xf>
    <xf numFmtId="164" fontId="42" fillId="5" borderId="52" xfId="0" applyNumberFormat="1" applyFont="1" applyFill="1" applyBorder="1" applyAlignment="1">
      <alignment horizontal="center" vertical="center"/>
    </xf>
    <xf numFmtId="164" fontId="42" fillId="5" borderId="65" xfId="0" applyNumberFormat="1" applyFont="1" applyFill="1" applyBorder="1" applyAlignment="1">
      <alignment horizontal="center" vertical="center"/>
    </xf>
    <xf numFmtId="0" fontId="42" fillId="5" borderId="36" xfId="0" applyFont="1" applyFill="1" applyBorder="1" applyAlignment="1">
      <alignment horizontal="center" vertical="center"/>
    </xf>
    <xf numFmtId="0" fontId="15" fillId="0" borderId="14" xfId="0" applyFont="1" applyBorder="1" applyAlignment="1">
      <alignment horizontal="center" vertical="top"/>
    </xf>
    <xf numFmtId="0" fontId="2" fillId="0" borderId="2" xfId="0" applyFont="1" applyBorder="1" applyAlignment="1">
      <alignment horizontal="left" wrapText="1"/>
    </xf>
    <xf numFmtId="0" fontId="2" fillId="0" borderId="38" xfId="0" applyFont="1" applyBorder="1" applyAlignment="1">
      <alignment horizontal="left" wrapText="1"/>
    </xf>
    <xf numFmtId="0" fontId="2" fillId="0" borderId="3" xfId="0" applyFont="1" applyBorder="1" applyAlignment="1">
      <alignment horizontal="left" wrapText="1"/>
    </xf>
    <xf numFmtId="0" fontId="2" fillId="0" borderId="6" xfId="0" applyFont="1" applyBorder="1" applyAlignment="1">
      <alignment horizontal="left" wrapText="1"/>
    </xf>
    <xf numFmtId="0" fontId="2" fillId="0" borderId="21" xfId="0" applyFont="1" applyBorder="1" applyAlignment="1">
      <alignment horizontal="left" wrapText="1"/>
    </xf>
    <xf numFmtId="0" fontId="2" fillId="0" borderId="7" xfId="0" applyFont="1" applyBorder="1" applyAlignment="1">
      <alignment horizontal="left" wrapText="1"/>
    </xf>
    <xf numFmtId="0" fontId="13" fillId="0" borderId="2" xfId="0" applyFont="1" applyBorder="1" applyAlignment="1">
      <alignment horizontal="left" vertical="center" wrapText="1"/>
    </xf>
    <xf numFmtId="0" fontId="13" fillId="0" borderId="38"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21" xfId="0" applyFont="1" applyBorder="1" applyAlignment="1">
      <alignment horizontal="left" vertical="center" wrapText="1"/>
    </xf>
    <xf numFmtId="0" fontId="13" fillId="0" borderId="7" xfId="0" applyFont="1" applyBorder="1" applyAlignment="1">
      <alignment horizontal="left" vertical="center" wrapText="1"/>
    </xf>
    <xf numFmtId="172" fontId="53" fillId="18" borderId="24" xfId="4" applyNumberFormat="1" applyFont="1" applyFill="1" applyBorder="1" applyAlignment="1">
      <alignment horizontal="center" vertical="center" wrapText="1"/>
    </xf>
    <xf numFmtId="0" fontId="54" fillId="0" borderId="14" xfId="0" applyFont="1" applyBorder="1" applyAlignment="1">
      <alignment horizontal="center" vertical="top"/>
    </xf>
    <xf numFmtId="0" fontId="35" fillId="0" borderId="0" xfId="2" applyFont="1" applyAlignment="1">
      <alignment horizontal="center"/>
    </xf>
    <xf numFmtId="0" fontId="15" fillId="0" borderId="14" xfId="0" applyFont="1" applyBorder="1" applyAlignment="1">
      <alignment horizontal="right" vertical="top"/>
    </xf>
    <xf numFmtId="0" fontId="29" fillId="0" borderId="25" xfId="0" applyFont="1" applyBorder="1" applyAlignment="1">
      <alignment horizontal="left" wrapText="1"/>
    </xf>
    <xf numFmtId="0" fontId="29" fillId="0" borderId="28" xfId="0" applyFont="1" applyBorder="1" applyAlignment="1">
      <alignment horizontal="left" wrapText="1"/>
    </xf>
    <xf numFmtId="0" fontId="29" fillId="0" borderId="27" xfId="0" applyFont="1" applyBorder="1" applyAlignment="1">
      <alignment horizontal="left" wrapText="1"/>
    </xf>
    <xf numFmtId="0" fontId="15" fillId="0" borderId="8" xfId="9" applyFont="1" applyBorder="1" applyAlignment="1">
      <alignment horizontal="center" vertical="center"/>
    </xf>
    <xf numFmtId="0" fontId="15" fillId="0" borderId="39" xfId="9" applyFont="1" applyBorder="1" applyAlignment="1">
      <alignment horizontal="center" vertical="center"/>
    </xf>
    <xf numFmtId="0" fontId="12" fillId="0" borderId="8" xfId="9" applyFont="1" applyBorder="1" applyAlignment="1">
      <alignment horizontal="center" vertical="top" wrapText="1"/>
    </xf>
    <xf numFmtId="0" fontId="12" fillId="0" borderId="15" xfId="9" applyFont="1" applyBorder="1" applyAlignment="1">
      <alignment horizontal="center" vertical="top" wrapText="1"/>
    </xf>
    <xf numFmtId="0" fontId="12" fillId="0" borderId="39" xfId="9" applyFont="1" applyBorder="1" applyAlignment="1">
      <alignment horizontal="center" vertical="top" wrapText="1"/>
    </xf>
    <xf numFmtId="0" fontId="45" fillId="0" borderId="8" xfId="9" applyFont="1" applyBorder="1" applyAlignment="1">
      <alignment horizontal="center" vertical="center" wrapText="1"/>
    </xf>
    <xf numFmtId="0" fontId="45" fillId="0" borderId="15" xfId="9" applyFont="1" applyBorder="1" applyAlignment="1">
      <alignment horizontal="center" vertical="center" wrapText="1"/>
    </xf>
    <xf numFmtId="0" fontId="45" fillId="0" borderId="39" xfId="9" applyFont="1" applyBorder="1" applyAlignment="1">
      <alignment horizontal="center" vertical="center" wrapText="1"/>
    </xf>
  </cellXfs>
  <cellStyles count="10">
    <cellStyle name="20% - Accent2" xfId="7" builtinId="34"/>
    <cellStyle name="60% - Accent3" xfId="8" builtinId="40"/>
    <cellStyle name="Comma" xfId="4" builtinId="3"/>
    <cellStyle name="Comma 2 2" xfId="6" xr:uid="{9B07EA2C-F22D-4910-9CED-DC2087C696C5}"/>
    <cellStyle name="Currency" xfId="5" builtinId="4"/>
    <cellStyle name="Currency 4" xfId="3" xr:uid="{9F504685-4D6D-464C-B032-CC54AD9ABCF4}"/>
    <cellStyle name="Normal" xfId="0" builtinId="0"/>
    <cellStyle name="Normal 3 2 3" xfId="9" xr:uid="{F2BB69EB-F9D5-4F32-A05B-72CE8BFB7BA2}"/>
    <cellStyle name="Normal 4" xfId="2" xr:uid="{57474884-CA6E-411A-9924-F71156EEA9E3}"/>
    <cellStyle name="Percent" xfId="1" builtinId="5"/>
  </cellStyles>
  <dxfs count="1">
    <dxf>
      <font>
        <color theme="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161925</xdr:colOff>
      <xdr:row>70</xdr:row>
      <xdr:rowOff>66673</xdr:rowOff>
    </xdr:from>
    <xdr:to>
      <xdr:col>9</xdr:col>
      <xdr:colOff>1248039</xdr:colOff>
      <xdr:row>75</xdr:row>
      <xdr:rowOff>200022</xdr:rowOff>
    </xdr:to>
    <xdr:grpSp>
      <xdr:nvGrpSpPr>
        <xdr:cNvPr id="2" name="Group 1">
          <a:extLst>
            <a:ext uri="{FF2B5EF4-FFF2-40B4-BE49-F238E27FC236}">
              <a16:creationId xmlns:a16="http://schemas.microsoft.com/office/drawing/2014/main" id="{E85F101D-79EC-4672-8AA0-190C9D126B3F}"/>
            </a:ext>
          </a:extLst>
        </xdr:cNvPr>
        <xdr:cNvGrpSpPr/>
      </xdr:nvGrpSpPr>
      <xdr:grpSpPr>
        <a:xfrm>
          <a:off x="12715875" y="14906623"/>
          <a:ext cx="1086114" cy="1133474"/>
          <a:chOff x="10496550" y="4019550"/>
          <a:chExt cx="1086114" cy="1118849"/>
        </a:xfrm>
      </xdr:grpSpPr>
      <xdr:sp macro="" textlink="">
        <xdr:nvSpPr>
          <xdr:cNvPr id="3" name="TextBox 2">
            <a:extLst>
              <a:ext uri="{FF2B5EF4-FFF2-40B4-BE49-F238E27FC236}">
                <a16:creationId xmlns:a16="http://schemas.microsoft.com/office/drawing/2014/main" id="{0BEA165F-ABF4-9E8C-4E17-772E5EF95023}"/>
              </a:ext>
            </a:extLst>
          </xdr:cNvPr>
          <xdr:cNvSpPr txBox="1"/>
        </xdr:nvSpPr>
        <xdr:spPr>
          <a:xfrm>
            <a:off x="10496550" y="4342343"/>
            <a:ext cx="1086114" cy="796056"/>
          </a:xfrm>
          <a:prstGeom prst="rect">
            <a:avLst/>
          </a:prstGeom>
          <a:solidFill>
            <a:schemeClr val="accent1">
              <a:lumMod val="20000"/>
              <a:lumOff val="80000"/>
            </a:schemeClr>
          </a:solidFill>
          <a:ln w="2857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accent1">
                    <a:lumMod val="75000"/>
                  </a:schemeClr>
                </a:solidFill>
              </a:rPr>
              <a:t>Unspent Budgeted Funds </a:t>
            </a:r>
          </a:p>
          <a:p>
            <a:pPr algn="ctr"/>
            <a:r>
              <a:rPr lang="en-US" sz="1100" b="1">
                <a:solidFill>
                  <a:schemeClr val="accent1">
                    <a:lumMod val="75000"/>
                  </a:schemeClr>
                </a:solidFill>
              </a:rPr>
              <a:t>(CFY 2024-25)</a:t>
            </a:r>
          </a:p>
        </xdr:txBody>
      </xdr:sp>
      <xdr:cxnSp macro="">
        <xdr:nvCxnSpPr>
          <xdr:cNvPr id="4" name="Straight Arrow Connector 3">
            <a:extLst>
              <a:ext uri="{FF2B5EF4-FFF2-40B4-BE49-F238E27FC236}">
                <a16:creationId xmlns:a16="http://schemas.microsoft.com/office/drawing/2014/main" id="{00A14403-DD4E-A90C-7E96-A85E019003D1}"/>
              </a:ext>
            </a:extLst>
          </xdr:cNvPr>
          <xdr:cNvCxnSpPr/>
        </xdr:nvCxnSpPr>
        <xdr:spPr>
          <a:xfrm flipV="1">
            <a:off x="11056427" y="4019550"/>
            <a:ext cx="0" cy="317499"/>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347663</xdr:colOff>
      <xdr:row>8</xdr:row>
      <xdr:rowOff>95250</xdr:rowOff>
    </xdr:from>
    <xdr:to>
      <xdr:col>1</xdr:col>
      <xdr:colOff>1433777</xdr:colOff>
      <xdr:row>12</xdr:row>
      <xdr:rowOff>0</xdr:rowOff>
    </xdr:to>
    <xdr:grpSp>
      <xdr:nvGrpSpPr>
        <xdr:cNvPr id="2" name="Group 1">
          <a:extLst>
            <a:ext uri="{FF2B5EF4-FFF2-40B4-BE49-F238E27FC236}">
              <a16:creationId xmlns:a16="http://schemas.microsoft.com/office/drawing/2014/main" id="{06073123-DCAC-4FC7-9BBF-968AB7B1AAA0}"/>
            </a:ext>
          </a:extLst>
        </xdr:cNvPr>
        <xdr:cNvGrpSpPr/>
      </xdr:nvGrpSpPr>
      <xdr:grpSpPr>
        <a:xfrm>
          <a:off x="6475413" y="2492375"/>
          <a:ext cx="1086114" cy="984250"/>
          <a:chOff x="10496550" y="4019550"/>
          <a:chExt cx="1086114" cy="971550"/>
        </a:xfrm>
      </xdr:grpSpPr>
      <xdr:sp macro="" textlink="">
        <xdr:nvSpPr>
          <xdr:cNvPr id="3" name="TextBox 2">
            <a:extLst>
              <a:ext uri="{FF2B5EF4-FFF2-40B4-BE49-F238E27FC236}">
                <a16:creationId xmlns:a16="http://schemas.microsoft.com/office/drawing/2014/main" id="{41EBEA1D-EC79-D595-ACC3-35E0CB402915}"/>
              </a:ext>
            </a:extLst>
          </xdr:cNvPr>
          <xdr:cNvSpPr txBox="1"/>
        </xdr:nvSpPr>
        <xdr:spPr>
          <a:xfrm>
            <a:off x="10496550" y="4342343"/>
            <a:ext cx="1086114" cy="648757"/>
          </a:xfrm>
          <a:prstGeom prst="rect">
            <a:avLst/>
          </a:prstGeom>
          <a:solidFill>
            <a:schemeClr val="accent1">
              <a:lumMod val="20000"/>
              <a:lumOff val="80000"/>
            </a:schemeClr>
          </a:solidFill>
          <a:ln w="2857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accent1">
                    <a:lumMod val="75000"/>
                  </a:schemeClr>
                </a:solidFill>
              </a:rPr>
              <a:t>Cumulative Excess </a:t>
            </a:r>
          </a:p>
          <a:p>
            <a:pPr algn="ctr"/>
            <a:r>
              <a:rPr lang="en-US" sz="1100" b="1">
                <a:solidFill>
                  <a:schemeClr val="accent1">
                    <a:lumMod val="75000"/>
                  </a:schemeClr>
                </a:solidFill>
              </a:rPr>
              <a:t>(CFY 2024-25)</a:t>
            </a:r>
          </a:p>
        </xdr:txBody>
      </xdr:sp>
      <xdr:cxnSp macro="">
        <xdr:nvCxnSpPr>
          <xdr:cNvPr id="4" name="Straight Arrow Connector 3">
            <a:extLst>
              <a:ext uri="{FF2B5EF4-FFF2-40B4-BE49-F238E27FC236}">
                <a16:creationId xmlns:a16="http://schemas.microsoft.com/office/drawing/2014/main" id="{C711EE5B-E8A0-3DB0-6872-C55FF5683FAC}"/>
              </a:ext>
            </a:extLst>
          </xdr:cNvPr>
          <xdr:cNvCxnSpPr/>
        </xdr:nvCxnSpPr>
        <xdr:spPr>
          <a:xfrm flipV="1">
            <a:off x="11056427" y="4019550"/>
            <a:ext cx="0" cy="317499"/>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FY1920\Jury%20Mgmt%20Costs%20Analysis\Estimate\Quarter%20Submissions\Q1_Jul-Aug-Sep%20(Q1_SFY1920_Q4_CFY1819)\Jury_Detail_Jul-Aug-Sep_SFY1920_Q1_CFY1819_Q4_v2_asof_06-03-2019_JW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FY1920/Jury%20Mgmt%20Costs%20Analysis/Estimate/Quarter%20Submissions/Q1_Jul-Aug-Sep%20(Q1_SFY1920_Q4_CFY1819)/Jury_Detail_Jul-Aug-Sep_SFY1920_Q1_CFY1819_Q4_v2_asof_06-03-2019_JWD.xlsx" TargetMode="External"/><Relationship Id="rId1" Type="http://schemas.openxmlformats.org/officeDocument/2006/relationships/externalLinkPath" Target="/!CFY1920/Jury%20Mgmt%20Costs%20Analysis/Estimate/Quarter%20Submissions/Q1_Jul-Aug-Sep%20(Q1_SFY1920_Q4_CFY1819)/Jury_Detail_Jul-Aug-Sep_SFY1920_Q1_CFY1819_Q4_v2_asof_06-03-2019_JW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FY1718\Jury%20Mgmt%20Costs%20Analysis\Qtr%203%20(Apr-May-Jun)\Approved%20JAC%20Disbursement%20Figures\FINAL%20-%20Jury%20Management%20Estimate%20Endorsed%20Amounts%20042418%20v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CFY1718/Jury%20Mgmt%20Costs%20Analysis/Qtr%203%20(Apr-May-Jun)/Approved%20JAC%20Disbursement%20Figures/FINAL%20-%20Jury%20Management%20Estimate%20Endorsed%20Amounts%20042418%20v2.xlsx" TargetMode="External"/><Relationship Id="rId1" Type="http://schemas.openxmlformats.org/officeDocument/2006/relationships/externalLinkPath" Target="/!CFY1718/Jury%20Mgmt%20Costs%20Analysis/Qtr%203%20(Apr-May-Jun)/Approved%20JAC%20Disbursement%20Figures/FINAL%20-%20Jury%20Management%20Estimate%20Endorsed%20Amounts%20042418%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mailProcessing\Incoming\Jury%20Estimate\Alachua%20County%20FY1718%20Jury%20Mgmt%20Estimate%20Qtr%20ver3%20110917%20~ecs_alachuaclerk-org~112017.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EmailProcessing/Incoming/Jury%20Estimate/Alachua%20County%20FY1718%20Jury%20Mgmt%20Estimate%20Qtr%20ver3%20110917%20~ecs_alachuaclerk-org~112017.xlsx" TargetMode="External"/><Relationship Id="rId1" Type="http://schemas.openxmlformats.org/officeDocument/2006/relationships/externalLinkPath" Target="/EmailProcessing/Incoming/Jury%20Estimate/Alachua%20County%20FY1718%20Jury%20Mgmt%20Estimate%20Qtr%20ver3%20110917%20~ecs_alachuaclerk-org~112017.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gkolchakian.FLCCOC\Desktop\Allocation%20Options.xlsx" TargetMode="External"/><Relationship Id="rId1" Type="http://schemas.openxmlformats.org/officeDocument/2006/relationships/externalLinkPath" Target="file:///C:\Users\gkolchakian.FLCCOC\Desktop\Allocation%20Options.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flccoc-my.sharepoint.com/personal/gkolchakian_flccoc_org/Documents/Desktop/Allocation%20Options.xlsx" TargetMode="External"/><Relationship Id="rId1" Type="http://schemas.openxmlformats.org/officeDocument/2006/relationships/externalLinkPath" Target="Allocation%20Options.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flccoc-my.sharepoint.com/personal/gkolchakian_flccoc_org/Documents/Desktop/WORKGROUPS/Additional%20Budget%20Components%20Workgroup/1%20-%20COST-OF-LIVING/Addt%20budget%20components%206-30-26%20(GSK).xlsx" TargetMode="External"/><Relationship Id="rId1" Type="http://schemas.openxmlformats.org/officeDocument/2006/relationships/externalLinkPath" Target="WORKGROUPS/Additional%20Budget%20Components%20Workgroup/1%20-%20COST-OF-LIVING/Addt%20budget%20components%206-30-26%20(G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C_template_donotdelete"/>
      <sheetName val="SFY1920_JuryEstimateDetail"/>
      <sheetName val="Estimate v Avg Actu Perf Ana"/>
      <sheetName val="Request v Avg Actu Perf Var Ana"/>
      <sheetName val="Sheet1"/>
      <sheetName val="Adj Endorsement Amts"/>
      <sheetName val="CCOC Pro-Rata"/>
      <sheetName val="Estimat v Avg Actu Perf Var "/>
      <sheetName val="Request v Avg Actu Perf Var-All"/>
    </sheetNames>
    <sheetDataSet>
      <sheetData sheetId="0" refreshError="1"/>
      <sheetData sheetId="1" refreshError="1">
        <row r="4">
          <cell r="A4" t="str">
            <v>ü</v>
          </cell>
          <cell r="B4" t="str">
            <v>ü</v>
          </cell>
          <cell r="F4" t="str">
            <v>Alachua</v>
          </cell>
          <cell r="G4">
            <v>1920</v>
          </cell>
          <cell r="H4" t="str">
            <v>Q1</v>
          </cell>
          <cell r="I4" t="str">
            <v>Jul-Aug-Sep</v>
          </cell>
          <cell r="J4">
            <v>49098.611661266674</v>
          </cell>
          <cell r="K4">
            <v>10448.458338733324</v>
          </cell>
          <cell r="L4">
            <v>58800</v>
          </cell>
          <cell r="M4">
            <v>59547.07</v>
          </cell>
          <cell r="N4">
            <v>-747.07</v>
          </cell>
          <cell r="O4" t="str">
            <v>Insufficient</v>
          </cell>
          <cell r="P4">
            <v>58800</v>
          </cell>
          <cell r="Q4">
            <v>35000</v>
          </cell>
          <cell r="R4">
            <v>2400</v>
          </cell>
          <cell r="S4">
            <v>400</v>
          </cell>
          <cell r="T4">
            <v>1000</v>
          </cell>
          <cell r="U4">
            <v>0</v>
          </cell>
          <cell r="V4">
            <v>3800</v>
          </cell>
          <cell r="W4">
            <v>12000</v>
          </cell>
          <cell r="X4">
            <v>2000</v>
          </cell>
          <cell r="Y4">
            <v>0</v>
          </cell>
          <cell r="Z4">
            <v>14000</v>
          </cell>
          <cell r="AA4">
            <v>0</v>
          </cell>
          <cell r="AB4">
            <v>0</v>
          </cell>
          <cell r="AC4">
            <v>0</v>
          </cell>
          <cell r="AD4">
            <v>0</v>
          </cell>
          <cell r="AE4">
            <v>0</v>
          </cell>
          <cell r="AF4">
            <v>6000</v>
          </cell>
          <cell r="AG4">
            <v>0</v>
          </cell>
          <cell r="AH4">
            <v>0</v>
          </cell>
          <cell r="AI4">
            <v>6000</v>
          </cell>
          <cell r="AJ4">
            <v>0</v>
          </cell>
          <cell r="AK4">
            <v>20000</v>
          </cell>
        </row>
        <row r="5">
          <cell r="A5" t="str">
            <v>ü</v>
          </cell>
          <cell r="B5" t="str">
            <v>ü</v>
          </cell>
          <cell r="F5" t="str">
            <v>Baker</v>
          </cell>
          <cell r="G5">
            <v>1920</v>
          </cell>
          <cell r="H5" t="str">
            <v>Q1</v>
          </cell>
          <cell r="I5" t="str">
            <v>Jul-Aug-Sep</v>
          </cell>
          <cell r="J5">
            <v>17014.021379166759</v>
          </cell>
          <cell r="K5">
            <v>3620.6786208332423</v>
          </cell>
          <cell r="L5">
            <v>8253</v>
          </cell>
          <cell r="M5">
            <v>20634.7</v>
          </cell>
          <cell r="N5">
            <v>-12381.7</v>
          </cell>
          <cell r="O5" t="str">
            <v>Insufficient</v>
          </cell>
          <cell r="P5">
            <v>8253</v>
          </cell>
          <cell r="Q5">
            <v>6753</v>
          </cell>
          <cell r="R5">
            <v>325</v>
          </cell>
          <cell r="S5">
            <v>100</v>
          </cell>
          <cell r="T5">
            <v>0</v>
          </cell>
          <cell r="U5">
            <v>0</v>
          </cell>
          <cell r="V5">
            <v>425</v>
          </cell>
          <cell r="W5">
            <v>825</v>
          </cell>
          <cell r="X5">
            <v>0</v>
          </cell>
          <cell r="Y5">
            <v>0</v>
          </cell>
          <cell r="Z5">
            <v>825</v>
          </cell>
          <cell r="AA5">
            <v>0</v>
          </cell>
          <cell r="AB5">
            <v>0</v>
          </cell>
          <cell r="AC5">
            <v>0</v>
          </cell>
          <cell r="AD5">
            <v>0</v>
          </cell>
          <cell r="AE5">
            <v>0</v>
          </cell>
          <cell r="AF5">
            <v>250</v>
          </cell>
          <cell r="AG5">
            <v>0</v>
          </cell>
          <cell r="AH5">
            <v>0</v>
          </cell>
          <cell r="AI5">
            <v>250</v>
          </cell>
          <cell r="AJ5">
            <v>0</v>
          </cell>
          <cell r="AK5">
            <v>1075</v>
          </cell>
        </row>
        <row r="6">
          <cell r="A6" t="str">
            <v>ü</v>
          </cell>
          <cell r="B6" t="str">
            <v>ü</v>
          </cell>
          <cell r="F6" t="str">
            <v>Bay</v>
          </cell>
          <cell r="G6">
            <v>1920</v>
          </cell>
          <cell r="H6" t="str">
            <v>Q1</v>
          </cell>
          <cell r="I6" t="str">
            <v>Jul-Aug-Sep</v>
          </cell>
          <cell r="J6">
            <v>49688.030125450663</v>
          </cell>
          <cell r="K6">
            <v>10573.889874549335</v>
          </cell>
          <cell r="L6">
            <v>39086</v>
          </cell>
          <cell r="M6">
            <v>60261.919999999998</v>
          </cell>
          <cell r="N6">
            <v>-21175.919999999998</v>
          </cell>
          <cell r="O6" t="str">
            <v>Insufficient</v>
          </cell>
          <cell r="P6">
            <v>39086</v>
          </cell>
          <cell r="Q6">
            <v>22079</v>
          </cell>
          <cell r="R6">
            <v>2397</v>
          </cell>
          <cell r="S6">
            <v>0</v>
          </cell>
          <cell r="T6">
            <v>0</v>
          </cell>
          <cell r="U6">
            <v>0</v>
          </cell>
          <cell r="V6">
            <v>2397</v>
          </cell>
          <cell r="W6">
            <v>14295</v>
          </cell>
          <cell r="X6">
            <v>0</v>
          </cell>
          <cell r="Y6">
            <v>0</v>
          </cell>
          <cell r="Z6">
            <v>14295</v>
          </cell>
          <cell r="AA6">
            <v>0</v>
          </cell>
          <cell r="AB6">
            <v>0</v>
          </cell>
          <cell r="AC6">
            <v>0</v>
          </cell>
          <cell r="AD6">
            <v>0</v>
          </cell>
          <cell r="AE6">
            <v>0</v>
          </cell>
          <cell r="AF6">
            <v>0</v>
          </cell>
          <cell r="AG6">
            <v>315</v>
          </cell>
          <cell r="AH6">
            <v>0</v>
          </cell>
          <cell r="AI6">
            <v>315</v>
          </cell>
          <cell r="AJ6">
            <v>0</v>
          </cell>
          <cell r="AK6">
            <v>14610</v>
          </cell>
        </row>
        <row r="7">
          <cell r="A7" t="str">
            <v>ü</v>
          </cell>
          <cell r="B7" t="str">
            <v>ü</v>
          </cell>
          <cell r="F7" t="str">
            <v>Bradford</v>
          </cell>
          <cell r="G7">
            <v>1920</v>
          </cell>
          <cell r="H7" t="str">
            <v>Q1</v>
          </cell>
          <cell r="I7" t="str">
            <v>Jul-Aug-Sep</v>
          </cell>
          <cell r="J7">
            <v>12489.38848805724</v>
          </cell>
          <cell r="K7">
            <v>2657.8115119427607</v>
          </cell>
          <cell r="L7">
            <v>8515</v>
          </cell>
          <cell r="M7">
            <v>15147.2</v>
          </cell>
          <cell r="N7">
            <v>-6632.2</v>
          </cell>
          <cell r="O7" t="str">
            <v>Insufficient</v>
          </cell>
          <cell r="P7">
            <v>8515</v>
          </cell>
          <cell r="Q7">
            <v>2430</v>
          </cell>
          <cell r="R7">
            <v>550</v>
          </cell>
          <cell r="S7">
            <v>0</v>
          </cell>
          <cell r="T7">
            <v>0</v>
          </cell>
          <cell r="U7">
            <v>0</v>
          </cell>
          <cell r="V7">
            <v>550</v>
          </cell>
          <cell r="W7">
            <v>4500</v>
          </cell>
          <cell r="X7">
            <v>0</v>
          </cell>
          <cell r="Y7">
            <v>0</v>
          </cell>
          <cell r="Z7">
            <v>4500</v>
          </cell>
          <cell r="AA7">
            <v>0</v>
          </cell>
          <cell r="AB7">
            <v>0</v>
          </cell>
          <cell r="AC7">
            <v>0</v>
          </cell>
          <cell r="AD7">
            <v>0</v>
          </cell>
          <cell r="AE7">
            <v>0</v>
          </cell>
          <cell r="AF7">
            <v>1000</v>
          </cell>
          <cell r="AG7">
            <v>0</v>
          </cell>
          <cell r="AH7">
            <v>35</v>
          </cell>
          <cell r="AI7">
            <v>1035</v>
          </cell>
          <cell r="AJ7">
            <v>0</v>
          </cell>
          <cell r="AK7">
            <v>5535</v>
          </cell>
        </row>
        <row r="8">
          <cell r="A8" t="str">
            <v>ü</v>
          </cell>
          <cell r="B8" t="str">
            <v>ü</v>
          </cell>
          <cell r="F8" t="str">
            <v>Brevard</v>
          </cell>
          <cell r="G8">
            <v>1920</v>
          </cell>
          <cell r="H8" t="str">
            <v>Q1</v>
          </cell>
          <cell r="I8" t="str">
            <v>Jul-Aug-Sep</v>
          </cell>
          <cell r="J8">
            <v>91384.795870819362</v>
          </cell>
          <cell r="K8">
            <v>19447.194129180636</v>
          </cell>
          <cell r="L8">
            <v>111405</v>
          </cell>
          <cell r="M8">
            <v>110831.99</v>
          </cell>
          <cell r="N8">
            <v>573.01</v>
          </cell>
          <cell r="O8" t="str">
            <v>Unexpended</v>
          </cell>
          <cell r="P8">
            <v>111405</v>
          </cell>
          <cell r="Q8">
            <v>43500</v>
          </cell>
          <cell r="R8">
            <v>6655</v>
          </cell>
          <cell r="S8">
            <v>0</v>
          </cell>
          <cell r="T8">
            <v>0</v>
          </cell>
          <cell r="U8">
            <v>0</v>
          </cell>
          <cell r="V8">
            <v>6655</v>
          </cell>
          <cell r="W8">
            <v>46500</v>
          </cell>
          <cell r="X8">
            <v>13000</v>
          </cell>
          <cell r="Y8">
            <v>0</v>
          </cell>
          <cell r="Z8">
            <v>59500</v>
          </cell>
          <cell r="AA8">
            <v>0</v>
          </cell>
          <cell r="AB8">
            <v>0</v>
          </cell>
          <cell r="AC8">
            <v>0</v>
          </cell>
          <cell r="AD8">
            <v>0</v>
          </cell>
          <cell r="AE8">
            <v>0</v>
          </cell>
          <cell r="AF8">
            <v>1000</v>
          </cell>
          <cell r="AG8">
            <v>0</v>
          </cell>
          <cell r="AH8">
            <v>750</v>
          </cell>
          <cell r="AI8">
            <v>1750</v>
          </cell>
          <cell r="AJ8">
            <v>0</v>
          </cell>
          <cell r="AK8">
            <v>61250</v>
          </cell>
        </row>
        <row r="9">
          <cell r="A9" t="str">
            <v>ü</v>
          </cell>
          <cell r="B9" t="str">
            <v>ü</v>
          </cell>
          <cell r="F9" t="str">
            <v>Broward</v>
          </cell>
          <cell r="G9">
            <v>1920</v>
          </cell>
          <cell r="H9" t="str">
            <v>Q1</v>
          </cell>
          <cell r="I9" t="str">
            <v>Jul-Aug-Sep</v>
          </cell>
          <cell r="J9">
            <v>264340.93504029664</v>
          </cell>
          <cell r="K9">
            <v>56253.224959703402</v>
          </cell>
          <cell r="L9">
            <v>217210</v>
          </cell>
          <cell r="M9">
            <v>320594.16000000003</v>
          </cell>
          <cell r="N9">
            <v>-103384.16</v>
          </cell>
          <cell r="O9" t="str">
            <v>Insufficient</v>
          </cell>
          <cell r="P9">
            <v>217210</v>
          </cell>
          <cell r="Q9">
            <v>67710</v>
          </cell>
          <cell r="R9">
            <v>22950</v>
          </cell>
          <cell r="S9">
            <v>14640</v>
          </cell>
          <cell r="T9">
            <v>1620</v>
          </cell>
          <cell r="U9">
            <v>420</v>
          </cell>
          <cell r="V9">
            <v>39630</v>
          </cell>
          <cell r="W9">
            <v>51200</v>
          </cell>
          <cell r="X9">
            <v>48660</v>
          </cell>
          <cell r="Y9">
            <v>0</v>
          </cell>
          <cell r="Z9">
            <v>99860</v>
          </cell>
          <cell r="AA9">
            <v>220</v>
          </cell>
          <cell r="AB9">
            <v>2640</v>
          </cell>
          <cell r="AC9">
            <v>0</v>
          </cell>
          <cell r="AD9">
            <v>2860</v>
          </cell>
          <cell r="AE9">
            <v>0</v>
          </cell>
          <cell r="AF9">
            <v>0</v>
          </cell>
          <cell r="AG9">
            <v>1320</v>
          </cell>
          <cell r="AH9">
            <v>0</v>
          </cell>
          <cell r="AI9">
            <v>1320</v>
          </cell>
          <cell r="AJ9">
            <v>5830</v>
          </cell>
          <cell r="AK9">
            <v>109870</v>
          </cell>
        </row>
        <row r="10">
          <cell r="A10" t="str">
            <v>ü</v>
          </cell>
          <cell r="B10" t="str">
            <v>ü</v>
          </cell>
          <cell r="F10" t="str">
            <v>Calhoun</v>
          </cell>
          <cell r="G10">
            <v>1920</v>
          </cell>
          <cell r="H10" t="str">
            <v>Q1</v>
          </cell>
          <cell r="I10" t="str">
            <v>Jul-Aug-Sep</v>
          </cell>
          <cell r="J10">
            <v>1961.5345171086835</v>
          </cell>
          <cell r="K10">
            <v>417.42548289131656</v>
          </cell>
          <cell r="L10">
            <v>3135</v>
          </cell>
          <cell r="M10">
            <v>2378.96</v>
          </cell>
          <cell r="N10">
            <v>756.04</v>
          </cell>
          <cell r="O10" t="str">
            <v>Unexpended</v>
          </cell>
          <cell r="P10">
            <v>3135</v>
          </cell>
          <cell r="Q10">
            <v>1590</v>
          </cell>
          <cell r="R10">
            <v>210</v>
          </cell>
          <cell r="S10">
            <v>500</v>
          </cell>
          <cell r="T10">
            <v>0</v>
          </cell>
          <cell r="U10">
            <v>0</v>
          </cell>
          <cell r="V10">
            <v>710</v>
          </cell>
          <cell r="W10">
            <v>400</v>
          </cell>
          <cell r="X10">
            <v>0</v>
          </cell>
          <cell r="Y10">
            <v>0</v>
          </cell>
          <cell r="Z10">
            <v>400</v>
          </cell>
          <cell r="AA10">
            <v>435</v>
          </cell>
          <cell r="AB10">
            <v>0</v>
          </cell>
          <cell r="AC10">
            <v>0</v>
          </cell>
          <cell r="AD10">
            <v>435</v>
          </cell>
          <cell r="AE10">
            <v>0</v>
          </cell>
          <cell r="AF10">
            <v>0</v>
          </cell>
          <cell r="AG10">
            <v>0</v>
          </cell>
          <cell r="AH10">
            <v>0</v>
          </cell>
          <cell r="AI10">
            <v>0</v>
          </cell>
          <cell r="AJ10">
            <v>0</v>
          </cell>
          <cell r="AK10">
            <v>835</v>
          </cell>
        </row>
        <row r="11">
          <cell r="A11" t="str">
            <v>ü</v>
          </cell>
          <cell r="B11" t="str">
            <v>ü</v>
          </cell>
          <cell r="F11" t="str">
            <v>Charlotte</v>
          </cell>
          <cell r="G11">
            <v>1920</v>
          </cell>
          <cell r="H11" t="str">
            <v>Q1</v>
          </cell>
          <cell r="I11" t="str">
            <v>Jul-Aug-Sep</v>
          </cell>
          <cell r="J11">
            <v>34344.828900796252</v>
          </cell>
          <cell r="K11">
            <v>7308.7710992037455</v>
          </cell>
          <cell r="L11">
            <v>38510</v>
          </cell>
          <cell r="M11">
            <v>41653.599999999999</v>
          </cell>
          <cell r="N11">
            <v>-3143.6</v>
          </cell>
          <cell r="O11" t="str">
            <v>Insufficient</v>
          </cell>
          <cell r="P11">
            <v>38510</v>
          </cell>
          <cell r="Q11">
            <v>24770</v>
          </cell>
          <cell r="R11">
            <v>3600</v>
          </cell>
          <cell r="S11">
            <v>0</v>
          </cell>
          <cell r="T11">
            <v>0</v>
          </cell>
          <cell r="U11">
            <v>0</v>
          </cell>
          <cell r="V11">
            <v>3600</v>
          </cell>
          <cell r="W11">
            <v>9900</v>
          </cell>
          <cell r="X11">
            <v>0</v>
          </cell>
          <cell r="Y11">
            <v>0</v>
          </cell>
          <cell r="Z11">
            <v>9900</v>
          </cell>
          <cell r="AA11">
            <v>0</v>
          </cell>
          <cell r="AB11">
            <v>0</v>
          </cell>
          <cell r="AC11">
            <v>0</v>
          </cell>
          <cell r="AD11">
            <v>0</v>
          </cell>
          <cell r="AE11">
            <v>0</v>
          </cell>
          <cell r="AF11">
            <v>240</v>
          </cell>
          <cell r="AG11">
            <v>0</v>
          </cell>
          <cell r="AH11">
            <v>0</v>
          </cell>
          <cell r="AI11">
            <v>240</v>
          </cell>
          <cell r="AJ11">
            <v>0</v>
          </cell>
          <cell r="AK11">
            <v>10140</v>
          </cell>
        </row>
        <row r="12">
          <cell r="A12" t="str">
            <v>ü</v>
          </cell>
          <cell r="B12" t="str">
            <v>ü</v>
          </cell>
          <cell r="F12" t="str">
            <v>Citrus</v>
          </cell>
          <cell r="G12">
            <v>1920</v>
          </cell>
          <cell r="H12" t="str">
            <v>Q1</v>
          </cell>
          <cell r="I12" t="str">
            <v>Jul-Aug-Sep</v>
          </cell>
          <cell r="J12">
            <v>18708.794259963703</v>
          </cell>
          <cell r="K12">
            <v>3981.3357400362966</v>
          </cell>
          <cell r="L12">
            <v>21375</v>
          </cell>
          <cell r="M12">
            <v>22690.13</v>
          </cell>
          <cell r="N12">
            <v>-1315.13</v>
          </cell>
          <cell r="O12" t="str">
            <v>Insufficient</v>
          </cell>
          <cell r="P12">
            <v>21375</v>
          </cell>
          <cell r="Q12">
            <v>8400</v>
          </cell>
          <cell r="R12">
            <v>1400</v>
          </cell>
          <cell r="S12">
            <v>250</v>
          </cell>
          <cell r="T12">
            <v>250</v>
          </cell>
          <cell r="U12">
            <v>0</v>
          </cell>
          <cell r="V12">
            <v>1900</v>
          </cell>
          <cell r="W12">
            <v>7200</v>
          </cell>
          <cell r="X12">
            <v>2100</v>
          </cell>
          <cell r="Y12">
            <v>0</v>
          </cell>
          <cell r="Z12">
            <v>9300</v>
          </cell>
          <cell r="AA12">
            <v>600</v>
          </cell>
          <cell r="AB12">
            <v>0</v>
          </cell>
          <cell r="AC12">
            <v>0</v>
          </cell>
          <cell r="AD12">
            <v>600</v>
          </cell>
          <cell r="AE12">
            <v>0</v>
          </cell>
          <cell r="AF12">
            <v>925</v>
          </cell>
          <cell r="AG12">
            <v>250</v>
          </cell>
          <cell r="AH12">
            <v>0</v>
          </cell>
          <cell r="AI12">
            <v>1175</v>
          </cell>
          <cell r="AJ12">
            <v>0</v>
          </cell>
          <cell r="AK12">
            <v>11075</v>
          </cell>
        </row>
        <row r="13">
          <cell r="A13" t="str">
            <v>ü</v>
          </cell>
          <cell r="B13" t="str">
            <v>ü</v>
          </cell>
          <cell r="F13" t="str">
            <v>Clay</v>
          </cell>
          <cell r="G13">
            <v>1920</v>
          </cell>
          <cell r="H13" t="str">
            <v>Q1</v>
          </cell>
          <cell r="I13" t="str">
            <v>Jul-Aug-Sep</v>
          </cell>
          <cell r="J13">
            <v>23987.051654485356</v>
          </cell>
          <cell r="K13">
            <v>5104.5783455146411</v>
          </cell>
          <cell r="L13">
            <v>16613</v>
          </cell>
          <cell r="M13">
            <v>29091.629999999997</v>
          </cell>
          <cell r="N13">
            <v>-12478.63</v>
          </cell>
          <cell r="O13" t="str">
            <v>Insufficient</v>
          </cell>
          <cell r="P13">
            <v>16613</v>
          </cell>
          <cell r="Q13">
            <v>10200</v>
          </cell>
          <cell r="R13">
            <v>1600</v>
          </cell>
          <cell r="S13">
            <v>0</v>
          </cell>
          <cell r="T13">
            <v>100</v>
          </cell>
          <cell r="U13">
            <v>2213</v>
          </cell>
          <cell r="V13">
            <v>3913</v>
          </cell>
          <cell r="W13">
            <v>2000</v>
          </cell>
          <cell r="X13">
            <v>0</v>
          </cell>
          <cell r="Y13">
            <v>0</v>
          </cell>
          <cell r="Z13">
            <v>2000</v>
          </cell>
          <cell r="AA13">
            <v>0</v>
          </cell>
          <cell r="AB13">
            <v>0</v>
          </cell>
          <cell r="AC13">
            <v>0</v>
          </cell>
          <cell r="AD13">
            <v>0</v>
          </cell>
          <cell r="AE13">
            <v>0</v>
          </cell>
          <cell r="AF13">
            <v>0</v>
          </cell>
          <cell r="AG13">
            <v>0</v>
          </cell>
          <cell r="AH13">
            <v>500</v>
          </cell>
          <cell r="AI13">
            <v>500</v>
          </cell>
          <cell r="AJ13">
            <v>0</v>
          </cell>
          <cell r="AK13">
            <v>2500</v>
          </cell>
        </row>
        <row r="14">
          <cell r="A14" t="str">
            <v>ü</v>
          </cell>
          <cell r="B14" t="str">
            <v>ü</v>
          </cell>
          <cell r="F14" t="str">
            <v>Collier</v>
          </cell>
          <cell r="G14">
            <v>1920</v>
          </cell>
          <cell r="H14" t="str">
            <v>Q1</v>
          </cell>
          <cell r="I14" t="str">
            <v>Jul-Aug-Sep</v>
          </cell>
          <cell r="J14">
            <v>55686.246281071195</v>
          </cell>
          <cell r="K14">
            <v>11850.3437189288</v>
          </cell>
          <cell r="L14">
            <v>58001</v>
          </cell>
          <cell r="M14">
            <v>67536.59</v>
          </cell>
          <cell r="N14">
            <v>-9535.59</v>
          </cell>
          <cell r="O14" t="str">
            <v>Insufficient</v>
          </cell>
          <cell r="P14">
            <v>58001</v>
          </cell>
          <cell r="Q14">
            <v>33137</v>
          </cell>
          <cell r="R14">
            <v>4675</v>
          </cell>
          <cell r="S14">
            <v>1389</v>
          </cell>
          <cell r="T14">
            <v>300</v>
          </cell>
          <cell r="U14">
            <v>0</v>
          </cell>
          <cell r="V14">
            <v>6364</v>
          </cell>
          <cell r="W14">
            <v>17500</v>
          </cell>
          <cell r="X14">
            <v>0</v>
          </cell>
          <cell r="Y14">
            <v>0</v>
          </cell>
          <cell r="Z14">
            <v>17500</v>
          </cell>
          <cell r="AA14">
            <v>0</v>
          </cell>
          <cell r="AB14">
            <v>0</v>
          </cell>
          <cell r="AC14">
            <v>0</v>
          </cell>
          <cell r="AD14">
            <v>0</v>
          </cell>
          <cell r="AE14">
            <v>0</v>
          </cell>
          <cell r="AF14">
            <v>1000</v>
          </cell>
          <cell r="AG14">
            <v>0</v>
          </cell>
          <cell r="AH14">
            <v>0</v>
          </cell>
          <cell r="AI14">
            <v>1000</v>
          </cell>
          <cell r="AJ14">
            <v>0</v>
          </cell>
          <cell r="AK14">
            <v>18500</v>
          </cell>
        </row>
        <row r="15">
          <cell r="A15" t="str">
            <v>ü</v>
          </cell>
          <cell r="B15" t="str">
            <v>ü</v>
          </cell>
          <cell r="F15" t="str">
            <v>Columbia</v>
          </cell>
          <cell r="G15">
            <v>1920</v>
          </cell>
          <cell r="H15" t="str">
            <v>Q1</v>
          </cell>
          <cell r="I15" t="str">
            <v>Jul-Aug-Sep</v>
          </cell>
          <cell r="J15">
            <v>15030.463546427725</v>
          </cell>
          <cell r="K15">
            <v>3198.5664535722735</v>
          </cell>
          <cell r="L15">
            <v>15120</v>
          </cell>
          <cell r="M15">
            <v>18229.03</v>
          </cell>
          <cell r="N15">
            <v>-3109.03</v>
          </cell>
          <cell r="O15" t="str">
            <v>Insufficient</v>
          </cell>
          <cell r="P15">
            <v>15120</v>
          </cell>
          <cell r="Q15">
            <v>11000</v>
          </cell>
          <cell r="R15">
            <v>900</v>
          </cell>
          <cell r="S15">
            <v>20</v>
          </cell>
          <cell r="T15">
            <v>100</v>
          </cell>
          <cell r="U15">
            <v>0</v>
          </cell>
          <cell r="V15">
            <v>1020</v>
          </cell>
          <cell r="W15">
            <v>3000</v>
          </cell>
          <cell r="X15">
            <v>0</v>
          </cell>
          <cell r="Y15">
            <v>0</v>
          </cell>
          <cell r="Z15">
            <v>3000</v>
          </cell>
          <cell r="AA15">
            <v>0</v>
          </cell>
          <cell r="AB15">
            <v>0</v>
          </cell>
          <cell r="AC15">
            <v>0</v>
          </cell>
          <cell r="AD15">
            <v>0</v>
          </cell>
          <cell r="AE15">
            <v>0</v>
          </cell>
          <cell r="AF15">
            <v>100</v>
          </cell>
          <cell r="AG15">
            <v>0</v>
          </cell>
          <cell r="AH15">
            <v>0</v>
          </cell>
          <cell r="AI15">
            <v>100</v>
          </cell>
          <cell r="AJ15">
            <v>0</v>
          </cell>
          <cell r="AK15">
            <v>3100</v>
          </cell>
        </row>
        <row r="16">
          <cell r="A16" t="str">
            <v>ü</v>
          </cell>
          <cell r="B16" t="str">
            <v>ü</v>
          </cell>
          <cell r="F16" t="str">
            <v>DeSoto</v>
          </cell>
          <cell r="G16">
            <v>1920</v>
          </cell>
          <cell r="H16" t="str">
            <v>Q1</v>
          </cell>
          <cell r="I16" t="str">
            <v>Jul-Aug-Sep</v>
          </cell>
          <cell r="J16">
            <v>8369.808154170054</v>
          </cell>
          <cell r="K16">
            <v>1781.1418458299468</v>
          </cell>
          <cell r="L16">
            <v>12445</v>
          </cell>
          <cell r="M16">
            <v>10150.950000000001</v>
          </cell>
          <cell r="N16">
            <v>2294.0500000000002</v>
          </cell>
          <cell r="O16" t="str">
            <v>Unexpended</v>
          </cell>
          <cell r="P16">
            <v>12445</v>
          </cell>
          <cell r="Q16">
            <v>4500</v>
          </cell>
          <cell r="R16">
            <v>1125</v>
          </cell>
          <cell r="S16">
            <v>1015</v>
          </cell>
          <cell r="T16">
            <v>250</v>
          </cell>
          <cell r="U16">
            <v>0</v>
          </cell>
          <cell r="V16">
            <v>2390</v>
          </cell>
          <cell r="W16">
            <v>3300</v>
          </cell>
          <cell r="X16">
            <v>1350</v>
          </cell>
          <cell r="Y16">
            <v>300</v>
          </cell>
          <cell r="Z16">
            <v>4950</v>
          </cell>
          <cell r="AA16">
            <v>330</v>
          </cell>
          <cell r="AB16">
            <v>0</v>
          </cell>
          <cell r="AC16">
            <v>0</v>
          </cell>
          <cell r="AD16">
            <v>330</v>
          </cell>
          <cell r="AE16">
            <v>50</v>
          </cell>
          <cell r="AF16">
            <v>75</v>
          </cell>
          <cell r="AG16">
            <v>150</v>
          </cell>
          <cell r="AH16">
            <v>0</v>
          </cell>
          <cell r="AI16">
            <v>275</v>
          </cell>
          <cell r="AJ16">
            <v>0</v>
          </cell>
          <cell r="AK16">
            <v>5555</v>
          </cell>
        </row>
        <row r="17">
          <cell r="A17" t="str">
            <v>ü</v>
          </cell>
          <cell r="B17" t="str">
            <v>ü</v>
          </cell>
          <cell r="F17" t="str">
            <v>Dixie</v>
          </cell>
          <cell r="G17">
            <v>1920</v>
          </cell>
          <cell r="H17" t="str">
            <v>Q1</v>
          </cell>
          <cell r="I17" t="str">
            <v>Jul-Aug-Sep</v>
          </cell>
          <cell r="J17">
            <v>3786.8559401651955</v>
          </cell>
          <cell r="K17">
            <v>805.86405983480483</v>
          </cell>
          <cell r="L17">
            <v>2610</v>
          </cell>
          <cell r="M17">
            <v>4592.72</v>
          </cell>
          <cell r="N17">
            <v>-1982.72</v>
          </cell>
          <cell r="O17" t="str">
            <v>Insufficient</v>
          </cell>
          <cell r="P17">
            <v>2610</v>
          </cell>
          <cell r="Q17">
            <v>1500</v>
          </cell>
          <cell r="R17">
            <v>150</v>
          </cell>
          <cell r="S17">
            <v>0</v>
          </cell>
          <cell r="T17">
            <v>10</v>
          </cell>
          <cell r="U17">
            <v>0</v>
          </cell>
          <cell r="V17">
            <v>160</v>
          </cell>
          <cell r="W17">
            <v>950</v>
          </cell>
          <cell r="X17">
            <v>0</v>
          </cell>
          <cell r="Y17">
            <v>0</v>
          </cell>
          <cell r="Z17">
            <v>950</v>
          </cell>
          <cell r="AA17">
            <v>0</v>
          </cell>
          <cell r="AB17">
            <v>0</v>
          </cell>
          <cell r="AC17">
            <v>0</v>
          </cell>
          <cell r="AD17">
            <v>0</v>
          </cell>
          <cell r="AE17">
            <v>0</v>
          </cell>
          <cell r="AF17">
            <v>0</v>
          </cell>
          <cell r="AG17">
            <v>0</v>
          </cell>
          <cell r="AH17">
            <v>0</v>
          </cell>
          <cell r="AI17">
            <v>0</v>
          </cell>
          <cell r="AJ17">
            <v>0</v>
          </cell>
          <cell r="AK17">
            <v>950</v>
          </cell>
        </row>
        <row r="18">
          <cell r="A18" t="str">
            <v>ü</v>
          </cell>
          <cell r="B18" t="str">
            <v>ü</v>
          </cell>
          <cell r="F18" t="str">
            <v>Duval</v>
          </cell>
          <cell r="G18">
            <v>1920</v>
          </cell>
          <cell r="H18" t="str">
            <v>Q1</v>
          </cell>
          <cell r="I18" t="str">
            <v>Jul-Aug-Sep</v>
          </cell>
          <cell r="J18">
            <v>82537.615241271313</v>
          </cell>
          <cell r="K18">
            <v>17564.464758728689</v>
          </cell>
          <cell r="L18">
            <v>110044</v>
          </cell>
          <cell r="M18">
            <v>100102.08</v>
          </cell>
          <cell r="N18">
            <v>9941.92</v>
          </cell>
          <cell r="O18" t="str">
            <v>Unexpended</v>
          </cell>
          <cell r="P18">
            <v>110044</v>
          </cell>
          <cell r="Q18">
            <v>66140</v>
          </cell>
          <cell r="R18">
            <v>8459</v>
          </cell>
          <cell r="S18">
            <v>0</v>
          </cell>
          <cell r="T18">
            <v>1285</v>
          </cell>
          <cell r="U18">
            <v>0</v>
          </cell>
          <cell r="V18">
            <v>9744</v>
          </cell>
          <cell r="W18">
            <v>33660</v>
          </cell>
          <cell r="X18">
            <v>0</v>
          </cell>
          <cell r="Y18">
            <v>0</v>
          </cell>
          <cell r="Z18">
            <v>33660</v>
          </cell>
          <cell r="AA18">
            <v>0</v>
          </cell>
          <cell r="AB18">
            <v>0</v>
          </cell>
          <cell r="AC18">
            <v>0</v>
          </cell>
          <cell r="AD18">
            <v>0</v>
          </cell>
          <cell r="AE18">
            <v>0</v>
          </cell>
          <cell r="AF18">
            <v>200</v>
          </cell>
          <cell r="AG18">
            <v>300</v>
          </cell>
          <cell r="AH18">
            <v>0</v>
          </cell>
          <cell r="AI18">
            <v>500</v>
          </cell>
          <cell r="AJ18">
            <v>0</v>
          </cell>
          <cell r="AK18">
            <v>34160</v>
          </cell>
        </row>
        <row r="19">
          <cell r="A19" t="str">
            <v>ü</v>
          </cell>
          <cell r="B19" t="str">
            <v>ü</v>
          </cell>
          <cell r="F19" t="str">
            <v>Escambia</v>
          </cell>
          <cell r="G19">
            <v>1920</v>
          </cell>
          <cell r="H19" t="str">
            <v>Q1</v>
          </cell>
          <cell r="I19" t="str">
            <v>Jul-Aug-Sep</v>
          </cell>
          <cell r="J19">
            <v>62577.416774443678</v>
          </cell>
          <cell r="K19">
            <v>13316.823225556325</v>
          </cell>
          <cell r="L19">
            <v>83352</v>
          </cell>
          <cell r="M19">
            <v>75894.240000000005</v>
          </cell>
          <cell r="N19">
            <v>7457.76</v>
          </cell>
          <cell r="O19" t="str">
            <v>Unexpended</v>
          </cell>
          <cell r="P19">
            <v>83352</v>
          </cell>
          <cell r="Q19">
            <v>29516</v>
          </cell>
          <cell r="R19">
            <v>6134</v>
          </cell>
          <cell r="S19">
            <v>1351</v>
          </cell>
          <cell r="T19">
            <v>2210</v>
          </cell>
          <cell r="U19">
            <v>6015</v>
          </cell>
          <cell r="V19">
            <v>15710</v>
          </cell>
          <cell r="W19">
            <v>26505</v>
          </cell>
          <cell r="X19">
            <v>5910</v>
          </cell>
          <cell r="Y19">
            <v>0</v>
          </cell>
          <cell r="Z19">
            <v>32415</v>
          </cell>
          <cell r="AA19">
            <v>0</v>
          </cell>
          <cell r="AB19">
            <v>1485</v>
          </cell>
          <cell r="AC19">
            <v>0</v>
          </cell>
          <cell r="AD19">
            <v>1485</v>
          </cell>
          <cell r="AE19">
            <v>0</v>
          </cell>
          <cell r="AF19">
            <v>3921</v>
          </cell>
          <cell r="AG19">
            <v>305</v>
          </cell>
          <cell r="AH19">
            <v>0</v>
          </cell>
          <cell r="AI19">
            <v>4226</v>
          </cell>
          <cell r="AJ19">
            <v>0</v>
          </cell>
          <cell r="AK19">
            <v>38126</v>
          </cell>
        </row>
        <row r="20">
          <cell r="A20" t="str">
            <v>ü</v>
          </cell>
          <cell r="B20" t="str">
            <v>ü</v>
          </cell>
          <cell r="F20" t="str">
            <v>Flagler</v>
          </cell>
          <cell r="G20">
            <v>1920</v>
          </cell>
          <cell r="H20" t="str">
            <v>Q1</v>
          </cell>
          <cell r="I20" t="str">
            <v>Jul-Aug-Sep</v>
          </cell>
          <cell r="J20">
            <v>14863.223220358708</v>
          </cell>
          <cell r="K20">
            <v>3162.976779641293</v>
          </cell>
          <cell r="L20">
            <v>15600</v>
          </cell>
          <cell r="M20">
            <v>18026.2</v>
          </cell>
          <cell r="N20">
            <v>-2426.1999999999998</v>
          </cell>
          <cell r="O20" t="str">
            <v>Insufficient</v>
          </cell>
          <cell r="P20">
            <v>15600</v>
          </cell>
          <cell r="Q20">
            <v>10000</v>
          </cell>
          <cell r="R20">
            <v>500</v>
          </cell>
          <cell r="S20">
            <v>0</v>
          </cell>
          <cell r="T20">
            <v>0</v>
          </cell>
          <cell r="U20">
            <v>0</v>
          </cell>
          <cell r="V20">
            <v>500</v>
          </cell>
          <cell r="W20">
            <v>2300</v>
          </cell>
          <cell r="X20">
            <v>600</v>
          </cell>
          <cell r="Y20">
            <v>1400</v>
          </cell>
          <cell r="Z20">
            <v>4300</v>
          </cell>
          <cell r="AA20">
            <v>300</v>
          </cell>
          <cell r="AB20">
            <v>0</v>
          </cell>
          <cell r="AC20">
            <v>0</v>
          </cell>
          <cell r="AD20">
            <v>300</v>
          </cell>
          <cell r="AE20">
            <v>0</v>
          </cell>
          <cell r="AF20">
            <v>150</v>
          </cell>
          <cell r="AG20">
            <v>350</v>
          </cell>
          <cell r="AH20">
            <v>0</v>
          </cell>
          <cell r="AI20">
            <v>500</v>
          </cell>
          <cell r="AJ20">
            <v>0</v>
          </cell>
          <cell r="AK20">
            <v>5100</v>
          </cell>
        </row>
        <row r="21">
          <cell r="A21" t="str">
            <v>ü</v>
          </cell>
          <cell r="B21" t="str">
            <v>ü</v>
          </cell>
          <cell r="F21" t="str">
            <v>Franklin</v>
          </cell>
          <cell r="G21">
            <v>1920</v>
          </cell>
          <cell r="H21" t="str">
            <v>Q1</v>
          </cell>
          <cell r="I21" t="str">
            <v>Jul-Aug-Sep</v>
          </cell>
          <cell r="J21">
            <v>5447.7899264106809</v>
          </cell>
          <cell r="K21">
            <v>1159.320073589319</v>
          </cell>
          <cell r="L21">
            <v>4906</v>
          </cell>
          <cell r="M21">
            <v>6607.11</v>
          </cell>
          <cell r="N21">
            <v>-1701.11</v>
          </cell>
          <cell r="O21" t="str">
            <v>Insufficient</v>
          </cell>
          <cell r="P21">
            <v>4906</v>
          </cell>
          <cell r="Q21">
            <v>2506</v>
          </cell>
          <cell r="R21">
            <v>600</v>
          </cell>
          <cell r="S21">
            <v>0</v>
          </cell>
          <cell r="T21">
            <v>0</v>
          </cell>
          <cell r="U21">
            <v>0</v>
          </cell>
          <cell r="V21">
            <v>600</v>
          </cell>
          <cell r="W21">
            <v>1800</v>
          </cell>
          <cell r="X21">
            <v>0</v>
          </cell>
          <cell r="Y21">
            <v>0</v>
          </cell>
          <cell r="Z21">
            <v>1800</v>
          </cell>
          <cell r="AA21">
            <v>0</v>
          </cell>
          <cell r="AB21">
            <v>0</v>
          </cell>
          <cell r="AC21">
            <v>0</v>
          </cell>
          <cell r="AD21">
            <v>0</v>
          </cell>
          <cell r="AE21">
            <v>0</v>
          </cell>
          <cell r="AF21">
            <v>0</v>
          </cell>
          <cell r="AG21">
            <v>0</v>
          </cell>
          <cell r="AH21">
            <v>0</v>
          </cell>
          <cell r="AI21">
            <v>0</v>
          </cell>
          <cell r="AJ21">
            <v>0</v>
          </cell>
          <cell r="AK21">
            <v>1800</v>
          </cell>
        </row>
        <row r="22">
          <cell r="A22" t="str">
            <v>ü</v>
          </cell>
          <cell r="B22" t="str">
            <v>ü</v>
          </cell>
          <cell r="F22" t="str">
            <v>Gadsden</v>
          </cell>
          <cell r="G22">
            <v>1920</v>
          </cell>
          <cell r="H22" t="str">
            <v>Q1</v>
          </cell>
          <cell r="I22" t="str">
            <v>Jul-Aug-Sep</v>
          </cell>
          <cell r="J22">
            <v>19948.053074119474</v>
          </cell>
          <cell r="K22">
            <v>4245.0569258805272</v>
          </cell>
          <cell r="L22">
            <v>14286</v>
          </cell>
          <cell r="M22">
            <v>24193.11</v>
          </cell>
          <cell r="N22">
            <v>-9907.11</v>
          </cell>
          <cell r="O22" t="str">
            <v>Insufficient</v>
          </cell>
          <cell r="P22">
            <v>14286</v>
          </cell>
          <cell r="Q22">
            <v>9962</v>
          </cell>
          <cell r="R22">
            <v>979</v>
          </cell>
          <cell r="S22">
            <v>0</v>
          </cell>
          <cell r="T22">
            <v>532</v>
          </cell>
          <cell r="U22">
            <v>68</v>
          </cell>
          <cell r="V22">
            <v>1579</v>
          </cell>
          <cell r="W22">
            <v>2565</v>
          </cell>
          <cell r="X22">
            <v>180</v>
          </cell>
          <cell r="Y22">
            <v>0</v>
          </cell>
          <cell r="Z22">
            <v>2745</v>
          </cell>
          <cell r="AA22">
            <v>0</v>
          </cell>
          <cell r="AB22">
            <v>0</v>
          </cell>
          <cell r="AC22">
            <v>0</v>
          </cell>
          <cell r="AD22">
            <v>0</v>
          </cell>
          <cell r="AE22">
            <v>0</v>
          </cell>
          <cell r="AF22">
            <v>0</v>
          </cell>
          <cell r="AG22">
            <v>0</v>
          </cell>
          <cell r="AH22">
            <v>0</v>
          </cell>
          <cell r="AI22">
            <v>0</v>
          </cell>
          <cell r="AJ22">
            <v>0</v>
          </cell>
          <cell r="AK22">
            <v>2745</v>
          </cell>
        </row>
        <row r="23">
          <cell r="A23" t="str">
            <v>ü</v>
          </cell>
          <cell r="B23" t="str">
            <v>ü</v>
          </cell>
          <cell r="F23" t="str">
            <v>Gilchrist</v>
          </cell>
          <cell r="G23">
            <v>1920</v>
          </cell>
          <cell r="H23" t="str">
            <v>Q1</v>
          </cell>
          <cell r="I23" t="str">
            <v>Jul-Aug-Sep</v>
          </cell>
          <cell r="J23">
            <v>0</v>
          </cell>
          <cell r="K23">
            <v>0</v>
          </cell>
          <cell r="L23">
            <v>2490</v>
          </cell>
          <cell r="M23">
            <v>0</v>
          </cell>
          <cell r="N23">
            <v>4105.29</v>
          </cell>
          <cell r="O23" t="str">
            <v>Unexpended</v>
          </cell>
          <cell r="P23">
            <v>2490</v>
          </cell>
          <cell r="Q23">
            <v>600</v>
          </cell>
          <cell r="R23">
            <v>175</v>
          </cell>
          <cell r="S23">
            <v>0</v>
          </cell>
          <cell r="T23">
            <v>50</v>
          </cell>
          <cell r="U23">
            <v>10</v>
          </cell>
          <cell r="V23">
            <v>235</v>
          </cell>
          <cell r="W23">
            <v>1020</v>
          </cell>
          <cell r="X23">
            <v>0</v>
          </cell>
          <cell r="Y23">
            <v>0</v>
          </cell>
          <cell r="Z23">
            <v>1020</v>
          </cell>
          <cell r="AA23">
            <v>315</v>
          </cell>
          <cell r="AB23">
            <v>0</v>
          </cell>
          <cell r="AC23">
            <v>0</v>
          </cell>
          <cell r="AD23">
            <v>315</v>
          </cell>
          <cell r="AE23">
            <v>0</v>
          </cell>
          <cell r="AF23">
            <v>270</v>
          </cell>
          <cell r="AG23">
            <v>0</v>
          </cell>
          <cell r="AH23">
            <v>50</v>
          </cell>
          <cell r="AI23">
            <v>320</v>
          </cell>
          <cell r="AJ23">
            <v>0</v>
          </cell>
          <cell r="AK23">
            <v>1655</v>
          </cell>
        </row>
        <row r="24">
          <cell r="A24" t="str">
            <v>ü</v>
          </cell>
          <cell r="B24" t="str">
            <v>ü</v>
          </cell>
          <cell r="F24" t="str">
            <v>Glades</v>
          </cell>
          <cell r="G24">
            <v>1920</v>
          </cell>
          <cell r="H24" t="str">
            <v>Q1</v>
          </cell>
          <cell r="I24" t="str">
            <v>Jul-Aug-Sep</v>
          </cell>
          <cell r="J24">
            <v>5674.6440944892165</v>
          </cell>
          <cell r="K24">
            <v>1207.5959055107837</v>
          </cell>
          <cell r="L24">
            <v>5200</v>
          </cell>
          <cell r="M24">
            <v>6882.24</v>
          </cell>
          <cell r="N24">
            <v>-1682.24</v>
          </cell>
          <cell r="O24" t="str">
            <v>Insufficient</v>
          </cell>
          <cell r="P24">
            <v>5200</v>
          </cell>
          <cell r="Q24">
            <v>3950</v>
          </cell>
          <cell r="R24">
            <v>650</v>
          </cell>
          <cell r="S24">
            <v>0</v>
          </cell>
          <cell r="T24">
            <v>0</v>
          </cell>
          <cell r="U24">
            <v>0</v>
          </cell>
          <cell r="V24">
            <v>650</v>
          </cell>
          <cell r="W24">
            <v>600</v>
          </cell>
          <cell r="X24">
            <v>0</v>
          </cell>
          <cell r="Y24">
            <v>0</v>
          </cell>
          <cell r="Z24">
            <v>600</v>
          </cell>
          <cell r="AA24">
            <v>0</v>
          </cell>
          <cell r="AB24">
            <v>0</v>
          </cell>
          <cell r="AC24">
            <v>0</v>
          </cell>
          <cell r="AD24">
            <v>0</v>
          </cell>
          <cell r="AE24">
            <v>0</v>
          </cell>
          <cell r="AF24">
            <v>0</v>
          </cell>
          <cell r="AG24">
            <v>0</v>
          </cell>
          <cell r="AH24">
            <v>0</v>
          </cell>
          <cell r="AI24">
            <v>0</v>
          </cell>
          <cell r="AJ24">
            <v>0</v>
          </cell>
          <cell r="AK24">
            <v>600</v>
          </cell>
        </row>
        <row r="25">
          <cell r="A25" t="str">
            <v>ü</v>
          </cell>
          <cell r="B25" t="str">
            <v>ü</v>
          </cell>
          <cell r="F25" t="str">
            <v>Gulf</v>
          </cell>
          <cell r="G25">
            <v>1920</v>
          </cell>
          <cell r="H25" t="str">
            <v>Q1</v>
          </cell>
          <cell r="I25" t="str">
            <v>Jul-Aug-Sep</v>
          </cell>
          <cell r="J25">
            <v>4694.4540100622144</v>
          </cell>
          <cell r="K25">
            <v>999.0059899377859</v>
          </cell>
          <cell r="L25">
            <v>4860</v>
          </cell>
          <cell r="M25">
            <v>5693.46</v>
          </cell>
          <cell r="N25">
            <v>-833.46</v>
          </cell>
          <cell r="O25" t="str">
            <v>Insufficient</v>
          </cell>
          <cell r="P25">
            <v>4860</v>
          </cell>
          <cell r="Q25">
            <v>3210</v>
          </cell>
          <cell r="R25">
            <v>200</v>
          </cell>
          <cell r="S25">
            <v>0</v>
          </cell>
          <cell r="T25">
            <v>100</v>
          </cell>
          <cell r="U25">
            <v>1350</v>
          </cell>
          <cell r="V25">
            <v>1650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row>
        <row r="26">
          <cell r="A26" t="str">
            <v>ü</v>
          </cell>
          <cell r="B26" t="str">
            <v>ü</v>
          </cell>
          <cell r="F26" t="str">
            <v>Hamilton</v>
          </cell>
          <cell r="G26">
            <v>1920</v>
          </cell>
          <cell r="H26" t="str">
            <v>Q1</v>
          </cell>
          <cell r="I26" t="str">
            <v>Jul-Aug-Sep</v>
          </cell>
          <cell r="J26">
            <v>2009.1431372695331</v>
          </cell>
          <cell r="K26">
            <v>427.55686273046666</v>
          </cell>
          <cell r="L26">
            <v>2877</v>
          </cell>
          <cell r="M26">
            <v>2436.6999999999998</v>
          </cell>
          <cell r="N26">
            <v>440.3</v>
          </cell>
          <cell r="O26" t="str">
            <v>Unexpended</v>
          </cell>
          <cell r="P26">
            <v>2877</v>
          </cell>
          <cell r="Q26">
            <v>922</v>
          </cell>
          <cell r="R26">
            <v>375</v>
          </cell>
          <cell r="S26">
            <v>750</v>
          </cell>
          <cell r="T26">
            <v>30</v>
          </cell>
          <cell r="U26">
            <v>0</v>
          </cell>
          <cell r="V26">
            <v>1155</v>
          </cell>
          <cell r="W26">
            <v>0</v>
          </cell>
          <cell r="X26">
            <v>0</v>
          </cell>
          <cell r="Y26">
            <v>0</v>
          </cell>
          <cell r="Z26">
            <v>0</v>
          </cell>
          <cell r="AA26">
            <v>800</v>
          </cell>
          <cell r="AB26">
            <v>0</v>
          </cell>
          <cell r="AC26">
            <v>0</v>
          </cell>
          <cell r="AD26">
            <v>800</v>
          </cell>
          <cell r="AE26">
            <v>0</v>
          </cell>
          <cell r="AF26">
            <v>0</v>
          </cell>
          <cell r="AG26">
            <v>0</v>
          </cell>
          <cell r="AH26">
            <v>0</v>
          </cell>
          <cell r="AI26">
            <v>0</v>
          </cell>
          <cell r="AJ26">
            <v>0</v>
          </cell>
          <cell r="AK26">
            <v>800</v>
          </cell>
        </row>
        <row r="27">
          <cell r="A27" t="str">
            <v>ü</v>
          </cell>
          <cell r="B27" t="str">
            <v>ü</v>
          </cell>
          <cell r="F27" t="str">
            <v>Hardee</v>
          </cell>
          <cell r="G27">
            <v>1920</v>
          </cell>
          <cell r="H27" t="str">
            <v>Q1</v>
          </cell>
          <cell r="I27" t="str">
            <v>Jul-Aug-Sep</v>
          </cell>
          <cell r="J27">
            <v>7965.0524293560666</v>
          </cell>
          <cell r="K27">
            <v>1695.0075706439331</v>
          </cell>
          <cell r="L27">
            <v>9780</v>
          </cell>
          <cell r="M27">
            <v>9660.06</v>
          </cell>
          <cell r="N27">
            <v>119.94</v>
          </cell>
          <cell r="O27" t="str">
            <v>Unexpended</v>
          </cell>
          <cell r="P27">
            <v>9780</v>
          </cell>
          <cell r="Q27">
            <v>7425</v>
          </cell>
          <cell r="R27">
            <v>565</v>
          </cell>
          <cell r="S27">
            <v>125</v>
          </cell>
          <cell r="T27">
            <v>360</v>
          </cell>
          <cell r="U27">
            <v>0</v>
          </cell>
          <cell r="V27">
            <v>1050</v>
          </cell>
          <cell r="W27">
            <v>585</v>
          </cell>
          <cell r="X27">
            <v>0</v>
          </cell>
          <cell r="Y27">
            <v>0</v>
          </cell>
          <cell r="Z27">
            <v>585</v>
          </cell>
          <cell r="AA27">
            <v>720</v>
          </cell>
          <cell r="AB27">
            <v>0</v>
          </cell>
          <cell r="AC27">
            <v>0</v>
          </cell>
          <cell r="AD27">
            <v>720</v>
          </cell>
          <cell r="AE27">
            <v>0</v>
          </cell>
          <cell r="AF27">
            <v>0</v>
          </cell>
          <cell r="AG27">
            <v>0</v>
          </cell>
          <cell r="AH27">
            <v>0</v>
          </cell>
          <cell r="AI27">
            <v>0</v>
          </cell>
          <cell r="AJ27">
            <v>0</v>
          </cell>
          <cell r="AK27">
            <v>1305</v>
          </cell>
        </row>
        <row r="28">
          <cell r="A28" t="str">
            <v>ü</v>
          </cell>
          <cell r="B28" t="str">
            <v>ü</v>
          </cell>
          <cell r="F28" t="str">
            <v>Hendry</v>
          </cell>
          <cell r="G28">
            <v>1920</v>
          </cell>
          <cell r="H28" t="str">
            <v>Q1</v>
          </cell>
          <cell r="I28" t="str">
            <v>Jul-Aug-Sep</v>
          </cell>
          <cell r="J28">
            <v>13350.614739494851</v>
          </cell>
          <cell r="K28">
            <v>2841.0852605051496</v>
          </cell>
          <cell r="L28">
            <v>14460</v>
          </cell>
          <cell r="M28">
            <v>16191.7</v>
          </cell>
          <cell r="N28">
            <v>-1731.7</v>
          </cell>
          <cell r="O28" t="str">
            <v>Insufficient</v>
          </cell>
          <cell r="P28">
            <v>14460</v>
          </cell>
          <cell r="Q28">
            <v>8500</v>
          </cell>
          <cell r="R28">
            <v>2225</v>
          </cell>
          <cell r="S28">
            <v>85</v>
          </cell>
          <cell r="T28">
            <v>100</v>
          </cell>
          <cell r="U28">
            <v>0</v>
          </cell>
          <cell r="V28">
            <v>2410</v>
          </cell>
          <cell r="W28">
            <v>3500</v>
          </cell>
          <cell r="X28">
            <v>0</v>
          </cell>
          <cell r="Y28">
            <v>0</v>
          </cell>
          <cell r="Z28">
            <v>3500</v>
          </cell>
          <cell r="AA28">
            <v>0</v>
          </cell>
          <cell r="AB28">
            <v>0</v>
          </cell>
          <cell r="AC28">
            <v>0</v>
          </cell>
          <cell r="AD28">
            <v>0</v>
          </cell>
          <cell r="AE28">
            <v>50</v>
          </cell>
          <cell r="AF28">
            <v>0</v>
          </cell>
          <cell r="AG28">
            <v>0</v>
          </cell>
          <cell r="AH28">
            <v>0</v>
          </cell>
          <cell r="AI28">
            <v>50</v>
          </cell>
          <cell r="AJ28">
            <v>0</v>
          </cell>
          <cell r="AK28">
            <v>3550</v>
          </cell>
        </row>
        <row r="29">
          <cell r="A29" t="str">
            <v>ü</v>
          </cell>
          <cell r="B29" t="str">
            <v>ü</v>
          </cell>
          <cell r="F29" t="str">
            <v>Hernando</v>
          </cell>
          <cell r="G29">
            <v>1920</v>
          </cell>
          <cell r="H29" t="str">
            <v>Q1</v>
          </cell>
          <cell r="I29" t="str">
            <v>Jul-Aug-Sep</v>
          </cell>
          <cell r="J29">
            <v>37835.726439150996</v>
          </cell>
          <cell r="K29">
            <v>8051.6535608490012</v>
          </cell>
          <cell r="L29">
            <v>47630</v>
          </cell>
          <cell r="M29">
            <v>45887.38</v>
          </cell>
          <cell r="N29">
            <v>1742.62</v>
          </cell>
          <cell r="O29" t="str">
            <v>Unexpended</v>
          </cell>
          <cell r="P29">
            <v>47630</v>
          </cell>
          <cell r="Q29">
            <v>28100</v>
          </cell>
          <cell r="R29">
            <v>8000</v>
          </cell>
          <cell r="S29">
            <v>730</v>
          </cell>
          <cell r="T29">
            <v>440</v>
          </cell>
          <cell r="U29">
            <v>0</v>
          </cell>
          <cell r="V29">
            <v>9170</v>
          </cell>
          <cell r="W29">
            <v>9420</v>
          </cell>
          <cell r="X29">
            <v>0</v>
          </cell>
          <cell r="Y29">
            <v>0</v>
          </cell>
          <cell r="Z29">
            <v>9420</v>
          </cell>
          <cell r="AA29">
            <v>0</v>
          </cell>
          <cell r="AB29">
            <v>0</v>
          </cell>
          <cell r="AC29">
            <v>0</v>
          </cell>
          <cell r="AD29">
            <v>0</v>
          </cell>
          <cell r="AE29">
            <v>0</v>
          </cell>
          <cell r="AF29">
            <v>940</v>
          </cell>
          <cell r="AG29">
            <v>0</v>
          </cell>
          <cell r="AH29">
            <v>0</v>
          </cell>
          <cell r="AI29">
            <v>940</v>
          </cell>
          <cell r="AJ29">
            <v>0</v>
          </cell>
          <cell r="AK29">
            <v>10360</v>
          </cell>
        </row>
        <row r="30">
          <cell r="A30" t="str">
            <v>ü</v>
          </cell>
          <cell r="B30" t="str">
            <v>ü</v>
          </cell>
          <cell r="F30" t="str">
            <v>Highlands</v>
          </cell>
          <cell r="G30">
            <v>1920</v>
          </cell>
          <cell r="H30" t="str">
            <v>Q1</v>
          </cell>
          <cell r="I30" t="str">
            <v>Jul-Aug-Sep</v>
          </cell>
          <cell r="J30">
            <v>17479.660729070409</v>
          </cell>
          <cell r="K30">
            <v>3719.769270929592</v>
          </cell>
          <cell r="L30">
            <v>22400</v>
          </cell>
          <cell r="M30">
            <v>21199.43</v>
          </cell>
          <cell r="N30">
            <v>1200.57</v>
          </cell>
          <cell r="O30" t="str">
            <v>Unexpended</v>
          </cell>
          <cell r="P30">
            <v>22400</v>
          </cell>
          <cell r="Q30">
            <v>15550</v>
          </cell>
          <cell r="R30">
            <v>1500</v>
          </cell>
          <cell r="S30">
            <v>400</v>
          </cell>
          <cell r="T30">
            <v>75</v>
          </cell>
          <cell r="U30">
            <v>225</v>
          </cell>
          <cell r="V30">
            <v>2200</v>
          </cell>
          <cell r="W30">
            <v>3000</v>
          </cell>
          <cell r="X30">
            <v>500</v>
          </cell>
          <cell r="Y30">
            <v>0</v>
          </cell>
          <cell r="Z30">
            <v>3500</v>
          </cell>
          <cell r="AA30">
            <v>650</v>
          </cell>
          <cell r="AB30">
            <v>0</v>
          </cell>
          <cell r="AC30">
            <v>0</v>
          </cell>
          <cell r="AD30">
            <v>650</v>
          </cell>
          <cell r="AE30">
            <v>0</v>
          </cell>
          <cell r="AF30">
            <v>0</v>
          </cell>
          <cell r="AG30">
            <v>0</v>
          </cell>
          <cell r="AH30">
            <v>500</v>
          </cell>
          <cell r="AI30">
            <v>500</v>
          </cell>
          <cell r="AK30">
            <v>4650</v>
          </cell>
        </row>
        <row r="31">
          <cell r="A31" t="str">
            <v>ü</v>
          </cell>
          <cell r="B31" t="str">
            <v>ü</v>
          </cell>
          <cell r="F31" t="str">
            <v>Hillsborough</v>
          </cell>
          <cell r="G31">
            <v>1920</v>
          </cell>
          <cell r="H31" t="str">
            <v>Q1</v>
          </cell>
          <cell r="I31" t="str">
            <v>Jul-Aug-Sep</v>
          </cell>
          <cell r="J31">
            <v>106694.76011108368</v>
          </cell>
          <cell r="K31">
            <v>22705.239888916316</v>
          </cell>
          <cell r="L31">
            <v>129400</v>
          </cell>
          <cell r="M31">
            <v>129400</v>
          </cell>
          <cell r="N31">
            <v>0</v>
          </cell>
          <cell r="O31" t="str">
            <v>Insufficient</v>
          </cell>
          <cell r="P31">
            <v>129400</v>
          </cell>
          <cell r="Q31">
            <v>50000</v>
          </cell>
          <cell r="R31">
            <v>11000</v>
          </cell>
          <cell r="S31">
            <v>5100</v>
          </cell>
          <cell r="T31">
            <v>1900</v>
          </cell>
          <cell r="U31">
            <v>0</v>
          </cell>
          <cell r="V31">
            <v>18000</v>
          </cell>
          <cell r="W31">
            <v>48300</v>
          </cell>
          <cell r="X31">
            <v>8400</v>
          </cell>
          <cell r="Y31">
            <v>0</v>
          </cell>
          <cell r="Z31">
            <v>56700</v>
          </cell>
          <cell r="AA31">
            <v>1500</v>
          </cell>
          <cell r="AB31">
            <v>1800</v>
          </cell>
          <cell r="AC31">
            <v>0</v>
          </cell>
          <cell r="AD31">
            <v>3300</v>
          </cell>
          <cell r="AE31">
            <v>0</v>
          </cell>
          <cell r="AF31">
            <v>1400</v>
          </cell>
          <cell r="AG31">
            <v>0</v>
          </cell>
          <cell r="AH31">
            <v>0</v>
          </cell>
          <cell r="AI31">
            <v>1400</v>
          </cell>
          <cell r="AJ31">
            <v>0</v>
          </cell>
          <cell r="AK31">
            <v>61400</v>
          </cell>
        </row>
        <row r="32">
          <cell r="A32" t="str">
            <v>ü</v>
          </cell>
          <cell r="B32" t="str">
            <v>ü</v>
          </cell>
          <cell r="F32" t="str">
            <v>Holmes</v>
          </cell>
          <cell r="G32">
            <v>1920</v>
          </cell>
          <cell r="H32" t="str">
            <v>Q1</v>
          </cell>
          <cell r="I32" t="str">
            <v>Jul-Aug-Sep</v>
          </cell>
          <cell r="J32">
            <v>4775.4150494386231</v>
          </cell>
          <cell r="K32">
            <v>1016.234950561377</v>
          </cell>
          <cell r="L32">
            <v>5536</v>
          </cell>
          <cell r="M32">
            <v>5791.65</v>
          </cell>
          <cell r="N32">
            <v>-255.65</v>
          </cell>
          <cell r="O32" t="str">
            <v>Insufficient</v>
          </cell>
          <cell r="P32">
            <v>5536</v>
          </cell>
          <cell r="Q32">
            <v>3510</v>
          </cell>
          <cell r="R32">
            <v>188</v>
          </cell>
          <cell r="S32">
            <v>0</v>
          </cell>
          <cell r="T32">
            <v>0</v>
          </cell>
          <cell r="U32">
            <v>0</v>
          </cell>
          <cell r="V32">
            <v>188</v>
          </cell>
          <cell r="W32">
            <v>938</v>
          </cell>
          <cell r="X32">
            <v>0</v>
          </cell>
          <cell r="Y32">
            <v>0</v>
          </cell>
          <cell r="Z32">
            <v>938</v>
          </cell>
          <cell r="AA32">
            <v>900</v>
          </cell>
          <cell r="AB32">
            <v>0</v>
          </cell>
          <cell r="AC32">
            <v>0</v>
          </cell>
          <cell r="AD32">
            <v>900</v>
          </cell>
          <cell r="AE32">
            <v>0</v>
          </cell>
          <cell r="AF32">
            <v>0</v>
          </cell>
          <cell r="AG32">
            <v>0</v>
          </cell>
          <cell r="AH32">
            <v>0</v>
          </cell>
          <cell r="AI32">
            <v>0</v>
          </cell>
          <cell r="AJ32">
            <v>0</v>
          </cell>
          <cell r="AK32">
            <v>1838</v>
          </cell>
        </row>
        <row r="33">
          <cell r="A33" t="str">
            <v>ü</v>
          </cell>
          <cell r="B33" t="str">
            <v>ü</v>
          </cell>
          <cell r="F33" t="str">
            <v>Indian River</v>
          </cell>
          <cell r="G33">
            <v>1920</v>
          </cell>
          <cell r="H33" t="str">
            <v>Q1</v>
          </cell>
          <cell r="I33" t="str">
            <v>Jul-Aug-Sep</v>
          </cell>
          <cell r="J33">
            <v>57013.449941544182</v>
          </cell>
          <cell r="K33">
            <v>12132.780058455812</v>
          </cell>
          <cell r="L33">
            <v>44841</v>
          </cell>
          <cell r="M33">
            <v>69146.23</v>
          </cell>
          <cell r="N33">
            <v>-24305.23</v>
          </cell>
          <cell r="O33" t="str">
            <v>Insufficient</v>
          </cell>
          <cell r="P33">
            <v>44841</v>
          </cell>
          <cell r="Q33">
            <v>25059</v>
          </cell>
          <cell r="R33">
            <v>3000</v>
          </cell>
          <cell r="S33">
            <v>2000</v>
          </cell>
          <cell r="T33">
            <v>291</v>
          </cell>
          <cell r="U33">
            <v>591</v>
          </cell>
          <cell r="V33">
            <v>5882</v>
          </cell>
          <cell r="W33">
            <v>10800</v>
          </cell>
          <cell r="X33">
            <v>3000</v>
          </cell>
          <cell r="Y33">
            <v>0</v>
          </cell>
          <cell r="Z33">
            <v>13800</v>
          </cell>
          <cell r="AA33">
            <v>0</v>
          </cell>
          <cell r="AB33">
            <v>0</v>
          </cell>
          <cell r="AC33">
            <v>0</v>
          </cell>
          <cell r="AD33">
            <v>0</v>
          </cell>
          <cell r="AE33">
            <v>0</v>
          </cell>
          <cell r="AF33">
            <v>100</v>
          </cell>
          <cell r="AG33">
            <v>0</v>
          </cell>
          <cell r="AH33">
            <v>0</v>
          </cell>
          <cell r="AI33">
            <v>100</v>
          </cell>
          <cell r="AJ33">
            <v>0</v>
          </cell>
          <cell r="AK33">
            <v>13900</v>
          </cell>
        </row>
        <row r="34">
          <cell r="A34" t="str">
            <v>ü</v>
          </cell>
          <cell r="B34" t="str">
            <v>ü</v>
          </cell>
          <cell r="F34" t="str">
            <v>Jackson</v>
          </cell>
          <cell r="G34">
            <v>1920</v>
          </cell>
          <cell r="H34" t="str">
            <v>Q1</v>
          </cell>
          <cell r="I34" t="str">
            <v>Jul-Aug-Sep</v>
          </cell>
          <cell r="J34">
            <v>11353.056311495493</v>
          </cell>
          <cell r="K34">
            <v>2415.9936885045067</v>
          </cell>
          <cell r="L34">
            <v>12160</v>
          </cell>
          <cell r="M34">
            <v>13769.05</v>
          </cell>
          <cell r="N34">
            <v>-1609.05</v>
          </cell>
          <cell r="O34" t="str">
            <v>Insufficient</v>
          </cell>
          <cell r="P34">
            <v>12160</v>
          </cell>
          <cell r="Q34">
            <v>5430</v>
          </cell>
          <cell r="R34">
            <v>700</v>
          </cell>
          <cell r="S34">
            <v>0</v>
          </cell>
          <cell r="T34">
            <v>1200</v>
          </cell>
          <cell r="U34">
            <v>0</v>
          </cell>
          <cell r="V34">
            <v>1900</v>
          </cell>
          <cell r="W34">
            <v>4050</v>
          </cell>
          <cell r="X34">
            <v>450</v>
          </cell>
          <cell r="Y34">
            <v>0</v>
          </cell>
          <cell r="Z34">
            <v>4500</v>
          </cell>
          <cell r="AA34">
            <v>330</v>
          </cell>
          <cell r="AB34">
            <v>0</v>
          </cell>
          <cell r="AC34">
            <v>0</v>
          </cell>
          <cell r="AD34">
            <v>330</v>
          </cell>
          <cell r="AE34">
            <v>0</v>
          </cell>
          <cell r="AF34">
            <v>0</v>
          </cell>
          <cell r="AG34">
            <v>0</v>
          </cell>
          <cell r="AH34">
            <v>0</v>
          </cell>
          <cell r="AI34">
            <v>0</v>
          </cell>
          <cell r="AJ34">
            <v>0</v>
          </cell>
          <cell r="AK34">
            <v>4830</v>
          </cell>
        </row>
        <row r="35">
          <cell r="A35" t="str">
            <v>ü</v>
          </cell>
          <cell r="B35" t="str">
            <v>ü</v>
          </cell>
          <cell r="F35" t="str">
            <v>Jefferson</v>
          </cell>
          <cell r="G35">
            <v>1920</v>
          </cell>
          <cell r="H35" t="str">
            <v>Q1</v>
          </cell>
          <cell r="I35" t="str">
            <v>Jul-Aug-Sep</v>
          </cell>
          <cell r="J35">
            <v>9622.877920658595</v>
          </cell>
          <cell r="K35">
            <v>2047.8020793414055</v>
          </cell>
          <cell r="L35">
            <v>12587</v>
          </cell>
          <cell r="M35">
            <v>11670.68</v>
          </cell>
          <cell r="N35">
            <v>916.32</v>
          </cell>
          <cell r="O35" t="str">
            <v>Unexpended</v>
          </cell>
          <cell r="P35">
            <v>12587</v>
          </cell>
          <cell r="Q35">
            <v>6837</v>
          </cell>
          <cell r="R35">
            <v>250</v>
          </cell>
          <cell r="S35">
            <v>0</v>
          </cell>
          <cell r="T35">
            <v>0</v>
          </cell>
          <cell r="U35">
            <v>0</v>
          </cell>
          <cell r="V35">
            <v>250</v>
          </cell>
          <cell r="W35">
            <v>4500</v>
          </cell>
          <cell r="X35">
            <v>0</v>
          </cell>
          <cell r="Y35">
            <v>0</v>
          </cell>
          <cell r="Z35">
            <v>4500</v>
          </cell>
          <cell r="AA35">
            <v>0</v>
          </cell>
          <cell r="AB35">
            <v>0</v>
          </cell>
          <cell r="AC35">
            <v>0</v>
          </cell>
          <cell r="AD35">
            <v>0</v>
          </cell>
          <cell r="AE35">
            <v>0</v>
          </cell>
          <cell r="AF35">
            <v>0</v>
          </cell>
          <cell r="AG35">
            <v>1000</v>
          </cell>
          <cell r="AH35">
            <v>0</v>
          </cell>
          <cell r="AI35">
            <v>1000</v>
          </cell>
          <cell r="AJ35">
            <v>0</v>
          </cell>
          <cell r="AK35">
            <v>5500</v>
          </cell>
        </row>
        <row r="36">
          <cell r="A36" t="str">
            <v>ü</v>
          </cell>
          <cell r="B36" t="str">
            <v>ü</v>
          </cell>
          <cell r="F36" t="str">
            <v>Lafayette</v>
          </cell>
          <cell r="G36">
            <v>1920</v>
          </cell>
          <cell r="H36" t="str">
            <v>Q1</v>
          </cell>
          <cell r="I36" t="str">
            <v>Jul-Aug-Sep</v>
          </cell>
          <cell r="J36">
            <v>0</v>
          </cell>
          <cell r="K36">
            <v>0</v>
          </cell>
          <cell r="L36">
            <v>1503</v>
          </cell>
          <cell r="M36">
            <v>0</v>
          </cell>
          <cell r="N36">
            <v>2134.91</v>
          </cell>
          <cell r="O36" t="str">
            <v>Unexpended</v>
          </cell>
          <cell r="P36">
            <v>1503</v>
          </cell>
          <cell r="Q36">
            <v>1200</v>
          </cell>
          <cell r="R36">
            <v>75</v>
          </cell>
          <cell r="S36">
            <v>39</v>
          </cell>
          <cell r="T36">
            <v>9</v>
          </cell>
          <cell r="U36">
            <v>0</v>
          </cell>
          <cell r="V36">
            <v>123</v>
          </cell>
          <cell r="W36">
            <v>0</v>
          </cell>
          <cell r="X36">
            <v>0</v>
          </cell>
          <cell r="Y36">
            <v>0</v>
          </cell>
          <cell r="Z36">
            <v>0</v>
          </cell>
          <cell r="AA36">
            <v>180</v>
          </cell>
          <cell r="AB36">
            <v>0</v>
          </cell>
          <cell r="AC36">
            <v>0</v>
          </cell>
          <cell r="AD36">
            <v>180</v>
          </cell>
          <cell r="AE36">
            <v>0</v>
          </cell>
          <cell r="AF36">
            <v>0</v>
          </cell>
          <cell r="AG36">
            <v>0</v>
          </cell>
          <cell r="AH36">
            <v>0</v>
          </cell>
          <cell r="AI36">
            <v>0</v>
          </cell>
          <cell r="AJ36">
            <v>0</v>
          </cell>
          <cell r="AK36">
            <v>180</v>
          </cell>
        </row>
        <row r="37">
          <cell r="A37" t="str">
            <v>ü</v>
          </cell>
          <cell r="B37" t="str">
            <v>ü</v>
          </cell>
          <cell r="F37" t="str">
            <v>Lake</v>
          </cell>
          <cell r="G37">
            <v>1920</v>
          </cell>
          <cell r="H37" t="str">
            <v>Q1</v>
          </cell>
          <cell r="I37" t="str">
            <v>Jul-Aug-Sep</v>
          </cell>
          <cell r="J37">
            <v>45233.29302116199</v>
          </cell>
          <cell r="K37">
            <v>9625.8969788380145</v>
          </cell>
          <cell r="L37">
            <v>62024</v>
          </cell>
          <cell r="M37">
            <v>54859.19</v>
          </cell>
          <cell r="N37">
            <v>7164.81</v>
          </cell>
          <cell r="O37" t="str">
            <v>Unexpended</v>
          </cell>
          <cell r="P37">
            <v>62024</v>
          </cell>
          <cell r="Q37">
            <v>40929</v>
          </cell>
          <cell r="R37">
            <v>5750</v>
          </cell>
          <cell r="S37">
            <v>0</v>
          </cell>
          <cell r="T37">
            <v>1863</v>
          </cell>
          <cell r="U37">
            <v>357</v>
          </cell>
          <cell r="V37">
            <v>7970</v>
          </cell>
          <cell r="W37">
            <v>0</v>
          </cell>
          <cell r="X37">
            <v>0</v>
          </cell>
          <cell r="Y37">
            <v>12000</v>
          </cell>
          <cell r="Z37">
            <v>12000</v>
          </cell>
          <cell r="AA37">
            <v>0</v>
          </cell>
          <cell r="AB37">
            <v>0</v>
          </cell>
          <cell r="AC37">
            <v>0</v>
          </cell>
          <cell r="AD37">
            <v>0</v>
          </cell>
          <cell r="AE37">
            <v>0</v>
          </cell>
          <cell r="AF37">
            <v>1125</v>
          </cell>
          <cell r="AG37">
            <v>0</v>
          </cell>
          <cell r="AH37">
            <v>0</v>
          </cell>
          <cell r="AI37">
            <v>1125</v>
          </cell>
          <cell r="AJ37">
            <v>0</v>
          </cell>
          <cell r="AK37">
            <v>13125</v>
          </cell>
        </row>
        <row r="38">
          <cell r="A38" t="str">
            <v>ü</v>
          </cell>
          <cell r="B38" t="str">
            <v>ü</v>
          </cell>
          <cell r="F38" t="str">
            <v>Lee</v>
          </cell>
          <cell r="G38">
            <v>1920</v>
          </cell>
          <cell r="H38" t="str">
            <v>Q1</v>
          </cell>
          <cell r="I38" t="str">
            <v>Jul-Aug-Sep</v>
          </cell>
          <cell r="J38">
            <v>54504.474009998463</v>
          </cell>
          <cell r="K38">
            <v>11598.855990001535</v>
          </cell>
          <cell r="L38">
            <v>70697</v>
          </cell>
          <cell r="M38">
            <v>66103.33</v>
          </cell>
          <cell r="N38">
            <v>4593.67</v>
          </cell>
          <cell r="O38" t="str">
            <v>Unexpended</v>
          </cell>
          <cell r="P38">
            <v>70697</v>
          </cell>
          <cell r="Q38">
            <v>36182</v>
          </cell>
          <cell r="R38">
            <v>15250</v>
          </cell>
          <cell r="S38">
            <v>9200</v>
          </cell>
          <cell r="T38">
            <v>250</v>
          </cell>
          <cell r="U38">
            <v>0</v>
          </cell>
          <cell r="V38">
            <v>24700</v>
          </cell>
          <cell r="W38">
            <v>4365</v>
          </cell>
          <cell r="X38">
            <v>3360</v>
          </cell>
          <cell r="Y38">
            <v>0</v>
          </cell>
          <cell r="Z38">
            <v>7725</v>
          </cell>
          <cell r="AA38">
            <v>1110</v>
          </cell>
          <cell r="AB38">
            <v>0</v>
          </cell>
          <cell r="AC38">
            <v>0</v>
          </cell>
          <cell r="AD38">
            <v>1110</v>
          </cell>
          <cell r="AE38">
            <v>0</v>
          </cell>
          <cell r="AF38">
            <v>980</v>
          </cell>
          <cell r="AG38">
            <v>0</v>
          </cell>
          <cell r="AH38">
            <v>0</v>
          </cell>
          <cell r="AI38">
            <v>980</v>
          </cell>
          <cell r="AJ38">
            <v>0</v>
          </cell>
          <cell r="AK38">
            <v>9815</v>
          </cell>
        </row>
        <row r="39">
          <cell r="A39" t="str">
            <v>ü</v>
          </cell>
          <cell r="B39" t="str">
            <v>ü</v>
          </cell>
          <cell r="F39" t="str">
            <v>Leon</v>
          </cell>
          <cell r="G39">
            <v>1920</v>
          </cell>
          <cell r="H39" t="str">
            <v>Q1</v>
          </cell>
          <cell r="I39" t="str">
            <v>Jul-Aug-Sep</v>
          </cell>
          <cell r="J39">
            <v>71344.048631849131</v>
          </cell>
          <cell r="K39">
            <v>15182.411368150864</v>
          </cell>
          <cell r="L39">
            <v>63897</v>
          </cell>
          <cell r="M39">
            <v>86526.459999999992</v>
          </cell>
          <cell r="N39">
            <v>-22629.46</v>
          </cell>
          <cell r="O39" t="str">
            <v>Insufficient</v>
          </cell>
          <cell r="P39">
            <v>63897</v>
          </cell>
          <cell r="Q39">
            <v>43667</v>
          </cell>
          <cell r="R39">
            <v>0</v>
          </cell>
          <cell r="S39">
            <v>0</v>
          </cell>
          <cell r="T39">
            <v>0</v>
          </cell>
          <cell r="U39">
            <v>0</v>
          </cell>
          <cell r="V39">
            <v>0</v>
          </cell>
          <cell r="W39">
            <v>14850</v>
          </cell>
          <cell r="X39">
            <v>4980</v>
          </cell>
          <cell r="Y39">
            <v>0</v>
          </cell>
          <cell r="Z39">
            <v>19830</v>
          </cell>
          <cell r="AA39">
            <v>0</v>
          </cell>
          <cell r="AB39">
            <v>0</v>
          </cell>
          <cell r="AC39">
            <v>0</v>
          </cell>
          <cell r="AD39">
            <v>0</v>
          </cell>
          <cell r="AE39">
            <v>0</v>
          </cell>
          <cell r="AF39">
            <v>400</v>
          </cell>
          <cell r="AG39">
            <v>0</v>
          </cell>
          <cell r="AH39">
            <v>0</v>
          </cell>
          <cell r="AI39">
            <v>400</v>
          </cell>
          <cell r="AJ39">
            <v>0</v>
          </cell>
          <cell r="AK39">
            <v>20230</v>
          </cell>
        </row>
        <row r="40">
          <cell r="A40" t="str">
            <v>ü</v>
          </cell>
          <cell r="B40" t="str">
            <v>ü</v>
          </cell>
          <cell r="F40" t="str">
            <v>Levy</v>
          </cell>
          <cell r="G40">
            <v>1920</v>
          </cell>
          <cell r="H40" t="str">
            <v>Q1</v>
          </cell>
          <cell r="I40" t="str">
            <v>Jul-Aug-Sep</v>
          </cell>
          <cell r="J40">
            <v>19713.200921704942</v>
          </cell>
          <cell r="K40">
            <v>4195.0790782950553</v>
          </cell>
          <cell r="L40">
            <v>17135</v>
          </cell>
          <cell r="M40">
            <v>23908.28</v>
          </cell>
          <cell r="N40">
            <v>-6773.28</v>
          </cell>
          <cell r="O40" t="str">
            <v>Insufficient</v>
          </cell>
          <cell r="P40">
            <v>17135</v>
          </cell>
          <cell r="Q40">
            <v>13000</v>
          </cell>
          <cell r="R40">
            <v>800</v>
          </cell>
          <cell r="S40">
            <v>65</v>
          </cell>
          <cell r="T40">
            <v>150</v>
          </cell>
          <cell r="U40">
            <v>0</v>
          </cell>
          <cell r="V40">
            <v>1015</v>
          </cell>
          <cell r="W40">
            <v>2460</v>
          </cell>
          <cell r="X40">
            <v>360</v>
          </cell>
          <cell r="Y40">
            <v>0</v>
          </cell>
          <cell r="Z40">
            <v>2820</v>
          </cell>
          <cell r="AA40">
            <v>0</v>
          </cell>
          <cell r="AB40">
            <v>0</v>
          </cell>
          <cell r="AC40">
            <v>0</v>
          </cell>
          <cell r="AD40">
            <v>0</v>
          </cell>
          <cell r="AE40">
            <v>0</v>
          </cell>
          <cell r="AF40">
            <v>300</v>
          </cell>
          <cell r="AG40">
            <v>0</v>
          </cell>
          <cell r="AH40">
            <v>0</v>
          </cell>
          <cell r="AI40">
            <v>300</v>
          </cell>
          <cell r="AJ40">
            <v>0</v>
          </cell>
          <cell r="AK40">
            <v>3120</v>
          </cell>
        </row>
        <row r="41">
          <cell r="A41" t="str">
            <v>ü</v>
          </cell>
          <cell r="B41" t="str">
            <v>ü</v>
          </cell>
          <cell r="F41" t="str">
            <v>Liberty</v>
          </cell>
          <cell r="G41">
            <v>1920</v>
          </cell>
          <cell r="H41" t="str">
            <v>Q1</v>
          </cell>
          <cell r="I41" t="str">
            <v>Jul-Aug-Sep</v>
          </cell>
          <cell r="J41">
            <v>1595.3587600350183</v>
          </cell>
          <cell r="K41">
            <v>339.50123996498166</v>
          </cell>
          <cell r="L41">
            <v>2958</v>
          </cell>
          <cell r="M41">
            <v>1934.8600000000001</v>
          </cell>
          <cell r="N41">
            <v>1023.14</v>
          </cell>
          <cell r="O41" t="str">
            <v>Unexpended</v>
          </cell>
          <cell r="P41">
            <v>2958</v>
          </cell>
          <cell r="Q41">
            <v>1338</v>
          </cell>
          <cell r="R41">
            <v>350</v>
          </cell>
          <cell r="S41">
            <v>0</v>
          </cell>
          <cell r="T41">
            <v>0</v>
          </cell>
          <cell r="U41">
            <v>0</v>
          </cell>
          <cell r="V41">
            <v>350</v>
          </cell>
          <cell r="W41">
            <v>1230</v>
          </cell>
          <cell r="X41">
            <v>0</v>
          </cell>
          <cell r="Y41">
            <v>0</v>
          </cell>
          <cell r="Z41">
            <v>1230</v>
          </cell>
          <cell r="AA41">
            <v>0</v>
          </cell>
          <cell r="AB41">
            <v>0</v>
          </cell>
          <cell r="AC41">
            <v>0</v>
          </cell>
          <cell r="AD41">
            <v>0</v>
          </cell>
          <cell r="AE41">
            <v>0</v>
          </cell>
          <cell r="AF41">
            <v>0</v>
          </cell>
          <cell r="AG41">
            <v>0</v>
          </cell>
          <cell r="AH41">
            <v>40</v>
          </cell>
          <cell r="AI41">
            <v>40</v>
          </cell>
          <cell r="AJ41">
            <v>0</v>
          </cell>
          <cell r="AK41">
            <v>1270</v>
          </cell>
        </row>
        <row r="42">
          <cell r="A42" t="str">
            <v>ü</v>
          </cell>
          <cell r="B42" t="str">
            <v>ü</v>
          </cell>
          <cell r="F42" t="str">
            <v>Madison</v>
          </cell>
          <cell r="G42">
            <v>1920</v>
          </cell>
          <cell r="H42" t="str">
            <v>Q1</v>
          </cell>
          <cell r="I42" t="str">
            <v>Jul-Aug-Sep</v>
          </cell>
          <cell r="J42">
            <v>1081.0883672306595</v>
          </cell>
          <cell r="K42">
            <v>230.06163276934018</v>
          </cell>
          <cell r="L42">
            <v>5746</v>
          </cell>
          <cell r="M42">
            <v>1311.1499999999996</v>
          </cell>
          <cell r="N42">
            <v>4434.8500000000004</v>
          </cell>
          <cell r="O42" t="str">
            <v>Unexpended</v>
          </cell>
          <cell r="P42">
            <v>5746</v>
          </cell>
          <cell r="Q42">
            <v>1173</v>
          </cell>
          <cell r="R42">
            <v>370</v>
          </cell>
          <cell r="S42">
            <v>0</v>
          </cell>
          <cell r="T42">
            <v>183</v>
          </cell>
          <cell r="U42">
            <v>0</v>
          </cell>
          <cell r="V42">
            <v>553</v>
          </cell>
          <cell r="W42">
            <v>3705</v>
          </cell>
          <cell r="X42">
            <v>0</v>
          </cell>
          <cell r="Y42">
            <v>0</v>
          </cell>
          <cell r="Z42">
            <v>3705</v>
          </cell>
          <cell r="AA42">
            <v>315</v>
          </cell>
          <cell r="AB42">
            <v>0</v>
          </cell>
          <cell r="AC42">
            <v>0</v>
          </cell>
          <cell r="AD42">
            <v>315</v>
          </cell>
          <cell r="AE42">
            <v>0</v>
          </cell>
          <cell r="AF42">
            <v>0</v>
          </cell>
          <cell r="AG42">
            <v>0</v>
          </cell>
          <cell r="AH42">
            <v>0</v>
          </cell>
          <cell r="AI42">
            <v>0</v>
          </cell>
          <cell r="AJ42">
            <v>0</v>
          </cell>
          <cell r="AK42">
            <v>4020</v>
          </cell>
        </row>
        <row r="43">
          <cell r="A43" t="str">
            <v>ü</v>
          </cell>
          <cell r="B43" t="str">
            <v>ü</v>
          </cell>
          <cell r="F43" t="str">
            <v>Manatee</v>
          </cell>
          <cell r="G43">
            <v>1920</v>
          </cell>
          <cell r="H43" t="str">
            <v>Q1</v>
          </cell>
          <cell r="I43" t="str">
            <v>Jul-Aug-Sep</v>
          </cell>
          <cell r="J43">
            <v>35189.0450061667</v>
          </cell>
          <cell r="K43">
            <v>7488.4249938333032</v>
          </cell>
          <cell r="L43">
            <v>35698</v>
          </cell>
          <cell r="M43">
            <v>42677.47</v>
          </cell>
          <cell r="N43">
            <v>-6979.47</v>
          </cell>
          <cell r="O43" t="str">
            <v>Insufficient</v>
          </cell>
          <cell r="P43">
            <v>35698</v>
          </cell>
          <cell r="Q43">
            <v>13592</v>
          </cell>
          <cell r="R43">
            <v>0</v>
          </cell>
          <cell r="S43">
            <v>0</v>
          </cell>
          <cell r="T43">
            <v>132</v>
          </cell>
          <cell r="U43">
            <v>242</v>
          </cell>
          <cell r="V43">
            <v>374</v>
          </cell>
          <cell r="W43">
            <v>17951</v>
          </cell>
          <cell r="X43">
            <v>2414</v>
          </cell>
          <cell r="Y43">
            <v>0</v>
          </cell>
          <cell r="Z43">
            <v>20365</v>
          </cell>
          <cell r="AA43">
            <v>845</v>
          </cell>
          <cell r="AB43">
            <v>0</v>
          </cell>
          <cell r="AC43">
            <v>0</v>
          </cell>
          <cell r="AD43">
            <v>845</v>
          </cell>
          <cell r="AE43">
            <v>0</v>
          </cell>
          <cell r="AF43">
            <v>285</v>
          </cell>
          <cell r="AG43">
            <v>64</v>
          </cell>
          <cell r="AH43">
            <v>173</v>
          </cell>
          <cell r="AI43">
            <v>522</v>
          </cell>
          <cell r="AJ43">
            <v>0</v>
          </cell>
          <cell r="AK43">
            <v>21732</v>
          </cell>
        </row>
        <row r="44">
          <cell r="A44" t="str">
            <v>ü</v>
          </cell>
          <cell r="B44" t="str">
            <v>ü</v>
          </cell>
          <cell r="F44" t="str">
            <v>Marion</v>
          </cell>
          <cell r="G44">
            <v>1920</v>
          </cell>
          <cell r="H44" t="str">
            <v>Q1</v>
          </cell>
          <cell r="I44" t="str">
            <v>Jul-Aug-Sep</v>
          </cell>
          <cell r="J44">
            <v>89920.150559937436</v>
          </cell>
          <cell r="K44">
            <v>19135.509440062564</v>
          </cell>
          <cell r="L44">
            <v>64694</v>
          </cell>
          <cell r="M44">
            <v>109055.66</v>
          </cell>
          <cell r="N44">
            <v>-44361.66</v>
          </cell>
          <cell r="O44" t="str">
            <v>Insufficient</v>
          </cell>
          <cell r="P44">
            <v>64694</v>
          </cell>
          <cell r="Q44">
            <v>20889</v>
          </cell>
          <cell r="R44">
            <v>4371</v>
          </cell>
          <cell r="S44">
            <v>2385</v>
          </cell>
          <cell r="T44">
            <v>0</v>
          </cell>
          <cell r="U44">
            <v>0</v>
          </cell>
          <cell r="V44">
            <v>6756</v>
          </cell>
          <cell r="W44">
            <v>26595</v>
          </cell>
          <cell r="X44">
            <v>5190</v>
          </cell>
          <cell r="Y44">
            <v>0</v>
          </cell>
          <cell r="Z44">
            <v>31785</v>
          </cell>
          <cell r="AA44">
            <v>105</v>
          </cell>
          <cell r="AB44">
            <v>360</v>
          </cell>
          <cell r="AC44">
            <v>0</v>
          </cell>
          <cell r="AD44">
            <v>465</v>
          </cell>
          <cell r="AE44">
            <v>0</v>
          </cell>
          <cell r="AF44">
            <v>4799</v>
          </cell>
          <cell r="AG44">
            <v>0</v>
          </cell>
          <cell r="AH44">
            <v>0</v>
          </cell>
          <cell r="AI44">
            <v>4799</v>
          </cell>
          <cell r="AJ44">
            <v>0</v>
          </cell>
          <cell r="AK44">
            <v>37049</v>
          </cell>
        </row>
        <row r="45">
          <cell r="A45" t="str">
            <v>ü</v>
          </cell>
          <cell r="B45" t="str">
            <v>ü</v>
          </cell>
          <cell r="F45" t="str">
            <v>Martin</v>
          </cell>
          <cell r="G45">
            <v>1920</v>
          </cell>
          <cell r="H45" t="str">
            <v>Q1</v>
          </cell>
          <cell r="I45" t="str">
            <v>Jul-Aug-Sep</v>
          </cell>
          <cell r="J45">
            <v>30440.262420032464</v>
          </cell>
          <cell r="K45">
            <v>6477.8575799675373</v>
          </cell>
          <cell r="L45">
            <v>36756</v>
          </cell>
          <cell r="M45">
            <v>36918.120000000003</v>
          </cell>
          <cell r="N45">
            <v>-162.12</v>
          </cell>
          <cell r="O45" t="str">
            <v>Insufficient</v>
          </cell>
          <cell r="P45">
            <v>36756</v>
          </cell>
          <cell r="Q45">
            <v>20569</v>
          </cell>
          <cell r="R45">
            <v>2499</v>
          </cell>
          <cell r="S45">
            <v>884</v>
          </cell>
          <cell r="T45">
            <v>222</v>
          </cell>
          <cell r="U45">
            <v>37</v>
          </cell>
          <cell r="V45">
            <v>3642</v>
          </cell>
          <cell r="W45">
            <v>8585</v>
          </cell>
          <cell r="X45">
            <v>3550</v>
          </cell>
          <cell r="Y45">
            <v>0</v>
          </cell>
          <cell r="Z45">
            <v>12135</v>
          </cell>
          <cell r="AA45">
            <v>225</v>
          </cell>
          <cell r="AB45">
            <v>0</v>
          </cell>
          <cell r="AC45">
            <v>0</v>
          </cell>
          <cell r="AD45">
            <v>225</v>
          </cell>
          <cell r="AE45">
            <v>0</v>
          </cell>
          <cell r="AF45">
            <v>115</v>
          </cell>
          <cell r="AG45">
            <v>0</v>
          </cell>
          <cell r="AH45">
            <v>70</v>
          </cell>
          <cell r="AI45">
            <v>185</v>
          </cell>
          <cell r="AJ45">
            <v>0</v>
          </cell>
          <cell r="AK45">
            <v>12545</v>
          </cell>
        </row>
        <row r="46">
          <cell r="A46" t="str">
            <v>ü</v>
          </cell>
          <cell r="B46" t="str">
            <v>ü</v>
          </cell>
          <cell r="F46" t="str">
            <v>Miami-Dade</v>
          </cell>
          <cell r="G46">
            <v>1920</v>
          </cell>
          <cell r="H46" t="str">
            <v>Q1</v>
          </cell>
          <cell r="I46" t="str">
            <v>Jul-Aug-Sep</v>
          </cell>
          <cell r="J46">
            <v>231138.85319422022</v>
          </cell>
          <cell r="K46">
            <v>49187.636805779759</v>
          </cell>
          <cell r="L46">
            <v>278463</v>
          </cell>
          <cell r="M46">
            <v>280326.49</v>
          </cell>
          <cell r="N46">
            <v>-1863.49</v>
          </cell>
          <cell r="O46" t="str">
            <v>Insufficient</v>
          </cell>
          <cell r="P46">
            <v>278463</v>
          </cell>
          <cell r="Q46">
            <v>168963</v>
          </cell>
          <cell r="R46">
            <v>26005</v>
          </cell>
          <cell r="S46">
            <v>1400</v>
          </cell>
          <cell r="T46">
            <v>2550</v>
          </cell>
          <cell r="U46">
            <v>2706</v>
          </cell>
          <cell r="V46">
            <v>32661</v>
          </cell>
          <cell r="W46">
            <v>69528</v>
          </cell>
          <cell r="X46">
            <v>0</v>
          </cell>
          <cell r="Y46">
            <v>0</v>
          </cell>
          <cell r="Z46">
            <v>69528</v>
          </cell>
          <cell r="AA46">
            <v>0</v>
          </cell>
          <cell r="AB46">
            <v>0</v>
          </cell>
          <cell r="AC46">
            <v>0</v>
          </cell>
          <cell r="AD46">
            <v>0</v>
          </cell>
          <cell r="AE46">
            <v>0</v>
          </cell>
          <cell r="AF46">
            <v>3811</v>
          </cell>
          <cell r="AG46">
            <v>0</v>
          </cell>
          <cell r="AH46">
            <v>0</v>
          </cell>
          <cell r="AI46">
            <v>3811</v>
          </cell>
          <cell r="AJ46">
            <v>3500</v>
          </cell>
          <cell r="AK46">
            <v>76839</v>
          </cell>
        </row>
        <row r="47">
          <cell r="A47" t="str">
            <v>ü</v>
          </cell>
          <cell r="B47" t="str">
            <v>ü</v>
          </cell>
          <cell r="F47" t="str">
            <v>Monroe</v>
          </cell>
          <cell r="G47">
            <v>1920</v>
          </cell>
          <cell r="H47" t="str">
            <v>Q1</v>
          </cell>
          <cell r="I47" t="str">
            <v>Jul-Aug-Sep</v>
          </cell>
          <cell r="J47">
            <v>7360.5944564825395</v>
          </cell>
          <cell r="K47">
            <v>1566.3755435174596</v>
          </cell>
          <cell r="L47">
            <v>12605</v>
          </cell>
          <cell r="M47">
            <v>8926.9699999999993</v>
          </cell>
          <cell r="N47">
            <v>3678.03</v>
          </cell>
          <cell r="O47" t="str">
            <v>Unexpended</v>
          </cell>
          <cell r="P47">
            <v>12605</v>
          </cell>
          <cell r="Q47">
            <v>6027</v>
          </cell>
          <cell r="R47">
            <v>1070</v>
          </cell>
          <cell r="S47">
            <v>1967</v>
          </cell>
          <cell r="T47">
            <v>514</v>
          </cell>
          <cell r="U47">
            <v>204</v>
          </cell>
          <cell r="V47">
            <v>3755</v>
          </cell>
          <cell r="W47">
            <v>2585</v>
          </cell>
          <cell r="X47">
            <v>0</v>
          </cell>
          <cell r="Y47">
            <v>0</v>
          </cell>
          <cell r="Z47">
            <v>2585</v>
          </cell>
          <cell r="AA47">
            <v>0</v>
          </cell>
          <cell r="AB47">
            <v>0</v>
          </cell>
          <cell r="AC47">
            <v>0</v>
          </cell>
          <cell r="AD47">
            <v>0</v>
          </cell>
          <cell r="AE47">
            <v>238</v>
          </cell>
          <cell r="AF47">
            <v>0</v>
          </cell>
          <cell r="AG47">
            <v>0</v>
          </cell>
          <cell r="AH47">
            <v>0</v>
          </cell>
          <cell r="AI47">
            <v>238</v>
          </cell>
          <cell r="AJ47">
            <v>0</v>
          </cell>
          <cell r="AK47">
            <v>2823</v>
          </cell>
        </row>
        <row r="48">
          <cell r="A48" t="str">
            <v>ü</v>
          </cell>
          <cell r="B48" t="str">
            <v>ü</v>
          </cell>
          <cell r="F48" t="str">
            <v>Nassau</v>
          </cell>
          <cell r="G48">
            <v>1920</v>
          </cell>
          <cell r="H48" t="str">
            <v>Q1</v>
          </cell>
          <cell r="I48" t="str">
            <v>Jul-Aug-Sep</v>
          </cell>
          <cell r="J48">
            <v>26632.323133530019</v>
          </cell>
          <cell r="K48">
            <v>5667.5068664699838</v>
          </cell>
          <cell r="L48">
            <v>21773</v>
          </cell>
          <cell r="M48">
            <v>32299.83</v>
          </cell>
          <cell r="N48">
            <v>-10526.83</v>
          </cell>
          <cell r="O48" t="str">
            <v>Insufficient</v>
          </cell>
          <cell r="P48">
            <v>21773</v>
          </cell>
          <cell r="Q48">
            <v>17331</v>
          </cell>
          <cell r="R48">
            <v>592</v>
          </cell>
          <cell r="S48">
            <v>0</v>
          </cell>
          <cell r="T48">
            <v>100</v>
          </cell>
          <cell r="U48">
            <v>0</v>
          </cell>
          <cell r="V48">
            <v>692</v>
          </cell>
          <cell r="W48">
            <v>2250</v>
          </cell>
          <cell r="X48">
            <v>1050</v>
          </cell>
          <cell r="Y48">
            <v>450</v>
          </cell>
          <cell r="Z48">
            <v>3750</v>
          </cell>
          <cell r="AA48">
            <v>0</v>
          </cell>
          <cell r="AB48">
            <v>0</v>
          </cell>
          <cell r="AC48">
            <v>0</v>
          </cell>
          <cell r="AD48">
            <v>0</v>
          </cell>
          <cell r="AE48">
            <v>0</v>
          </cell>
          <cell r="AF48">
            <v>0</v>
          </cell>
          <cell r="AG48">
            <v>0</v>
          </cell>
          <cell r="AH48">
            <v>0</v>
          </cell>
          <cell r="AI48">
            <v>0</v>
          </cell>
          <cell r="AJ48">
            <v>0</v>
          </cell>
          <cell r="AK48">
            <v>3750</v>
          </cell>
        </row>
        <row r="49">
          <cell r="A49" t="str">
            <v>ü</v>
          </cell>
          <cell r="B49" t="str">
            <v>ü</v>
          </cell>
          <cell r="F49" t="str">
            <v>Okaloosa</v>
          </cell>
          <cell r="G49">
            <v>1920</v>
          </cell>
          <cell r="H49" t="str">
            <v>Q1</v>
          </cell>
          <cell r="I49" t="str">
            <v>Jul-Aug-Sep</v>
          </cell>
          <cell r="J49">
            <v>25651.539384286323</v>
          </cell>
          <cell r="K49">
            <v>5458.7906157136786</v>
          </cell>
          <cell r="L49">
            <v>27707</v>
          </cell>
          <cell r="M49">
            <v>31110.33</v>
          </cell>
          <cell r="N49">
            <v>-3403.33</v>
          </cell>
          <cell r="O49" t="str">
            <v>Insufficient</v>
          </cell>
          <cell r="P49">
            <v>27707</v>
          </cell>
          <cell r="Q49">
            <v>11721</v>
          </cell>
          <cell r="R49">
            <v>5642</v>
          </cell>
          <cell r="S49">
            <v>0</v>
          </cell>
          <cell r="T49">
            <v>107</v>
          </cell>
          <cell r="U49">
            <v>1875</v>
          </cell>
          <cell r="V49">
            <v>7624</v>
          </cell>
          <cell r="W49">
            <v>5220</v>
          </cell>
          <cell r="X49">
            <v>2790</v>
          </cell>
          <cell r="Y49">
            <v>0</v>
          </cell>
          <cell r="Z49">
            <v>8010</v>
          </cell>
          <cell r="AA49">
            <v>0</v>
          </cell>
          <cell r="AB49">
            <v>0</v>
          </cell>
          <cell r="AC49">
            <v>0</v>
          </cell>
          <cell r="AD49">
            <v>0</v>
          </cell>
          <cell r="AE49">
            <v>0</v>
          </cell>
          <cell r="AF49">
            <v>352</v>
          </cell>
          <cell r="AG49">
            <v>0</v>
          </cell>
          <cell r="AH49">
            <v>0</v>
          </cell>
          <cell r="AI49">
            <v>352</v>
          </cell>
          <cell r="AJ49">
            <v>0</v>
          </cell>
          <cell r="AK49">
            <v>8362</v>
          </cell>
        </row>
        <row r="50">
          <cell r="A50" t="str">
            <v>ü</v>
          </cell>
          <cell r="B50" t="str">
            <v>ü</v>
          </cell>
          <cell r="F50" t="str">
            <v>Okeechobee</v>
          </cell>
          <cell r="G50">
            <v>1920</v>
          </cell>
          <cell r="H50" t="str">
            <v>Q1</v>
          </cell>
          <cell r="I50" t="str">
            <v>Jul-Aug-Sep</v>
          </cell>
          <cell r="J50">
            <v>38684.526956161455</v>
          </cell>
          <cell r="K50">
            <v>8232.2830438385463</v>
          </cell>
          <cell r="L50">
            <v>21274</v>
          </cell>
          <cell r="M50">
            <v>46916.81</v>
          </cell>
          <cell r="N50">
            <v>-25642.81</v>
          </cell>
          <cell r="O50" t="str">
            <v>Insufficient</v>
          </cell>
          <cell r="P50">
            <v>21274</v>
          </cell>
          <cell r="Q50">
            <v>12859</v>
          </cell>
          <cell r="R50">
            <v>1695</v>
          </cell>
          <cell r="S50">
            <v>0</v>
          </cell>
          <cell r="T50">
            <v>420</v>
          </cell>
          <cell r="U50">
            <v>75</v>
          </cell>
          <cell r="V50">
            <v>2190</v>
          </cell>
          <cell r="W50">
            <v>5475</v>
          </cell>
          <cell r="X50">
            <v>570</v>
          </cell>
          <cell r="Y50">
            <v>0</v>
          </cell>
          <cell r="Z50">
            <v>6045</v>
          </cell>
          <cell r="AA50">
            <v>180</v>
          </cell>
          <cell r="AB50">
            <v>0</v>
          </cell>
          <cell r="AC50">
            <v>0</v>
          </cell>
          <cell r="AD50">
            <v>180</v>
          </cell>
          <cell r="AE50">
            <v>0</v>
          </cell>
          <cell r="AF50">
            <v>0</v>
          </cell>
          <cell r="AG50">
            <v>0</v>
          </cell>
          <cell r="AH50">
            <v>0</v>
          </cell>
          <cell r="AI50">
            <v>0</v>
          </cell>
          <cell r="AJ50">
            <v>0</v>
          </cell>
          <cell r="AK50">
            <v>6225</v>
          </cell>
        </row>
        <row r="51">
          <cell r="A51" t="str">
            <v>ü</v>
          </cell>
          <cell r="B51" t="str">
            <v>ü</v>
          </cell>
          <cell r="F51" t="str">
            <v>Orange</v>
          </cell>
          <cell r="G51">
            <v>1920</v>
          </cell>
          <cell r="H51" t="str">
            <v>Q1</v>
          </cell>
          <cell r="I51" t="str">
            <v>Jul-Aug-Sep</v>
          </cell>
          <cell r="J51">
            <v>149360.53525349835</v>
          </cell>
          <cell r="K51">
            <v>31784.754746501654</v>
          </cell>
          <cell r="L51">
            <v>168055</v>
          </cell>
          <cell r="M51">
            <v>181145.29</v>
          </cell>
          <cell r="N51">
            <v>-13090.29</v>
          </cell>
          <cell r="O51" t="str">
            <v>Insufficient</v>
          </cell>
          <cell r="P51">
            <v>168055</v>
          </cell>
          <cell r="Q51">
            <v>54761</v>
          </cell>
          <cell r="R51">
            <v>31189</v>
          </cell>
          <cell r="S51">
            <v>2414</v>
          </cell>
          <cell r="T51">
            <v>300</v>
          </cell>
          <cell r="U51">
            <v>3391</v>
          </cell>
          <cell r="V51">
            <v>37294</v>
          </cell>
          <cell r="W51">
            <v>48000</v>
          </cell>
          <cell r="X51">
            <v>24000</v>
          </cell>
          <cell r="Y51">
            <v>0</v>
          </cell>
          <cell r="Z51">
            <v>72000</v>
          </cell>
          <cell r="AA51">
            <v>0</v>
          </cell>
          <cell r="AB51">
            <v>0</v>
          </cell>
          <cell r="AC51">
            <v>0</v>
          </cell>
          <cell r="AD51">
            <v>0</v>
          </cell>
          <cell r="AE51">
            <v>0</v>
          </cell>
          <cell r="AF51">
            <v>3000</v>
          </cell>
          <cell r="AG51">
            <v>1000</v>
          </cell>
          <cell r="AH51">
            <v>0</v>
          </cell>
          <cell r="AI51">
            <v>4000</v>
          </cell>
          <cell r="AJ51">
            <v>0</v>
          </cell>
          <cell r="AK51">
            <v>76000</v>
          </cell>
        </row>
        <row r="52">
          <cell r="A52" t="str">
            <v>ü</v>
          </cell>
          <cell r="B52" t="str">
            <v>ü</v>
          </cell>
          <cell r="F52" t="str">
            <v>Osceola</v>
          </cell>
          <cell r="G52">
            <v>1920</v>
          </cell>
          <cell r="H52" t="str">
            <v>Q1</v>
          </cell>
          <cell r="I52" t="str">
            <v>Jul-Aug-Sep</v>
          </cell>
          <cell r="J52">
            <v>84348.680463382538</v>
          </cell>
          <cell r="K52">
            <v>17949.869536617469</v>
          </cell>
          <cell r="L52">
            <v>79721</v>
          </cell>
          <cell r="M52">
            <v>102298.55</v>
          </cell>
          <cell r="N52">
            <v>-22577.55</v>
          </cell>
          <cell r="O52" t="str">
            <v>Insufficient</v>
          </cell>
          <cell r="P52">
            <v>79721</v>
          </cell>
          <cell r="Q52">
            <v>0</v>
          </cell>
          <cell r="R52">
            <v>0</v>
          </cell>
          <cell r="S52">
            <v>0</v>
          </cell>
          <cell r="T52">
            <v>0</v>
          </cell>
          <cell r="U52">
            <v>42416</v>
          </cell>
          <cell r="V52">
            <v>42416</v>
          </cell>
          <cell r="W52">
            <v>35775</v>
          </cell>
          <cell r="X52">
            <v>0</v>
          </cell>
          <cell r="Y52">
            <v>0</v>
          </cell>
          <cell r="Z52">
            <v>35775</v>
          </cell>
          <cell r="AA52">
            <v>0</v>
          </cell>
          <cell r="AB52">
            <v>0</v>
          </cell>
          <cell r="AC52">
            <v>0</v>
          </cell>
          <cell r="AD52">
            <v>0</v>
          </cell>
          <cell r="AE52">
            <v>0</v>
          </cell>
          <cell r="AF52">
            <v>1530</v>
          </cell>
          <cell r="AG52">
            <v>0</v>
          </cell>
          <cell r="AH52">
            <v>0</v>
          </cell>
          <cell r="AI52">
            <v>1530</v>
          </cell>
          <cell r="AJ52">
            <v>0</v>
          </cell>
          <cell r="AK52">
            <v>37305</v>
          </cell>
        </row>
        <row r="53">
          <cell r="A53" t="str">
            <v>ü</v>
          </cell>
          <cell r="B53" t="str">
            <v>ü</v>
          </cell>
          <cell r="F53" t="str">
            <v>Palm Beach</v>
          </cell>
          <cell r="G53">
            <v>1920</v>
          </cell>
          <cell r="H53" t="str">
            <v>Q1</v>
          </cell>
          <cell r="I53" t="str">
            <v>Jul-Aug-Sep</v>
          </cell>
          <cell r="J53">
            <v>155410.90321419635</v>
          </cell>
          <cell r="K53">
            <v>33072.306785803637</v>
          </cell>
          <cell r="L53">
            <v>223212</v>
          </cell>
          <cell r="M53">
            <v>188483.21</v>
          </cell>
          <cell r="N53">
            <v>34728.79</v>
          </cell>
          <cell r="O53" t="str">
            <v>Unexpended</v>
          </cell>
          <cell r="P53">
            <v>223212</v>
          </cell>
          <cell r="Q53">
            <v>62903</v>
          </cell>
          <cell r="R53">
            <v>21258</v>
          </cell>
          <cell r="S53">
            <v>7784</v>
          </cell>
          <cell r="T53">
            <v>2607</v>
          </cell>
          <cell r="U53">
            <v>4833</v>
          </cell>
          <cell r="V53">
            <v>36482</v>
          </cell>
          <cell r="W53">
            <v>88575</v>
          </cell>
          <cell r="X53">
            <v>30210</v>
          </cell>
          <cell r="Y53">
            <v>0</v>
          </cell>
          <cell r="Z53">
            <v>118785</v>
          </cell>
          <cell r="AA53">
            <v>0</v>
          </cell>
          <cell r="AB53">
            <v>0</v>
          </cell>
          <cell r="AC53">
            <v>0</v>
          </cell>
          <cell r="AD53">
            <v>0</v>
          </cell>
          <cell r="AE53">
            <v>0</v>
          </cell>
          <cell r="AF53">
            <v>4794</v>
          </cell>
          <cell r="AG53">
            <v>248</v>
          </cell>
          <cell r="AI53">
            <v>5042</v>
          </cell>
          <cell r="AJ53">
            <v>0</v>
          </cell>
          <cell r="AK53">
            <v>123827</v>
          </cell>
        </row>
        <row r="54">
          <cell r="A54" t="str">
            <v>ü</v>
          </cell>
          <cell r="B54" t="str">
            <v>ü</v>
          </cell>
          <cell r="F54" t="str">
            <v>Pasco</v>
          </cell>
          <cell r="G54">
            <v>1920</v>
          </cell>
          <cell r="H54" t="str">
            <v>Q1</v>
          </cell>
          <cell r="I54" t="str">
            <v>Jul-Aug-Sep</v>
          </cell>
          <cell r="J54">
            <v>73256.407913308474</v>
          </cell>
          <cell r="K54">
            <v>15589.372086691526</v>
          </cell>
          <cell r="L54">
            <v>65663</v>
          </cell>
          <cell r="M54">
            <v>88845.78</v>
          </cell>
          <cell r="N54">
            <v>-23182.78</v>
          </cell>
          <cell r="O54" t="str">
            <v>Insufficient</v>
          </cell>
          <cell r="P54">
            <v>65663</v>
          </cell>
          <cell r="Q54">
            <v>32055</v>
          </cell>
          <cell r="R54">
            <v>42</v>
          </cell>
          <cell r="S54">
            <v>0</v>
          </cell>
          <cell r="T54">
            <v>915</v>
          </cell>
          <cell r="U54">
            <v>5714</v>
          </cell>
          <cell r="V54">
            <v>6671</v>
          </cell>
          <cell r="W54">
            <v>26850</v>
          </cell>
          <cell r="X54">
            <v>0</v>
          </cell>
          <cell r="Y54">
            <v>0</v>
          </cell>
          <cell r="Z54">
            <v>26850</v>
          </cell>
          <cell r="AA54">
            <v>87</v>
          </cell>
          <cell r="AB54">
            <v>0</v>
          </cell>
          <cell r="AC54">
            <v>0</v>
          </cell>
          <cell r="AD54">
            <v>87</v>
          </cell>
          <cell r="AE54">
            <v>0</v>
          </cell>
          <cell r="AF54">
            <v>0</v>
          </cell>
          <cell r="AG54">
            <v>0</v>
          </cell>
          <cell r="AH54">
            <v>0</v>
          </cell>
          <cell r="AI54">
            <v>0</v>
          </cell>
          <cell r="AJ54">
            <v>0</v>
          </cell>
          <cell r="AK54">
            <v>26937</v>
          </cell>
        </row>
        <row r="55">
          <cell r="A55" t="str">
            <v>ü</v>
          </cell>
          <cell r="B55" t="str">
            <v>ü</v>
          </cell>
          <cell r="F55" t="str">
            <v>Pinellas</v>
          </cell>
          <cell r="G55">
            <v>1920</v>
          </cell>
          <cell r="H55" t="str">
            <v>Q1</v>
          </cell>
          <cell r="I55" t="str">
            <v>Jul-Aug-Sep</v>
          </cell>
          <cell r="J55">
            <v>136707.47667361691</v>
          </cell>
          <cell r="K55">
            <v>29092.113326383082</v>
          </cell>
          <cell r="L55">
            <v>160080</v>
          </cell>
          <cell r="M55">
            <v>165799.59</v>
          </cell>
          <cell r="N55">
            <v>-5719.59</v>
          </cell>
          <cell r="O55" t="str">
            <v>Insufficient</v>
          </cell>
          <cell r="P55">
            <v>160080</v>
          </cell>
          <cell r="Q55">
            <v>72625</v>
          </cell>
          <cell r="R55">
            <v>12900</v>
          </cell>
          <cell r="S55">
            <v>200</v>
          </cell>
          <cell r="T55">
            <v>200</v>
          </cell>
          <cell r="U55">
            <v>0</v>
          </cell>
          <cell r="V55">
            <v>13300</v>
          </cell>
          <cell r="W55">
            <v>66000</v>
          </cell>
          <cell r="X55">
            <v>4400</v>
          </cell>
          <cell r="Y55">
            <v>0</v>
          </cell>
          <cell r="Z55">
            <v>70400</v>
          </cell>
          <cell r="AA55">
            <v>700</v>
          </cell>
          <cell r="AB55">
            <v>0</v>
          </cell>
          <cell r="AC55">
            <v>0</v>
          </cell>
          <cell r="AD55">
            <v>700</v>
          </cell>
          <cell r="AE55">
            <v>0</v>
          </cell>
          <cell r="AF55">
            <v>1825</v>
          </cell>
          <cell r="AG55">
            <v>330</v>
          </cell>
          <cell r="AH55">
            <v>900</v>
          </cell>
          <cell r="AI55">
            <v>3055</v>
          </cell>
          <cell r="AJ55">
            <v>0</v>
          </cell>
          <cell r="AK55">
            <v>74155</v>
          </cell>
        </row>
        <row r="56">
          <cell r="A56" t="str">
            <v>ü</v>
          </cell>
          <cell r="B56" t="str">
            <v>ü</v>
          </cell>
          <cell r="F56" t="str">
            <v>Polk</v>
          </cell>
          <cell r="G56">
            <v>1920</v>
          </cell>
          <cell r="H56" t="str">
            <v>Q1</v>
          </cell>
          <cell r="I56" t="str">
            <v>Jul-Aug-Sep</v>
          </cell>
          <cell r="J56">
            <v>70616.347492099216</v>
          </cell>
          <cell r="K56">
            <v>15027.552507900773</v>
          </cell>
          <cell r="L56">
            <v>88000</v>
          </cell>
          <cell r="M56">
            <v>85643.9</v>
          </cell>
          <cell r="N56">
            <v>2356.1</v>
          </cell>
          <cell r="O56" t="str">
            <v>Unexpended</v>
          </cell>
          <cell r="P56">
            <v>88000</v>
          </cell>
          <cell r="Q56">
            <v>24000</v>
          </cell>
          <cell r="R56">
            <v>8000</v>
          </cell>
          <cell r="S56">
            <v>5000</v>
          </cell>
          <cell r="T56">
            <v>1000</v>
          </cell>
          <cell r="U56">
            <v>0</v>
          </cell>
          <cell r="V56">
            <v>14000</v>
          </cell>
          <cell r="W56">
            <v>18500</v>
          </cell>
          <cell r="X56">
            <v>12000</v>
          </cell>
          <cell r="Y56">
            <v>16000</v>
          </cell>
          <cell r="Z56">
            <v>46500</v>
          </cell>
          <cell r="AA56">
            <v>500</v>
          </cell>
          <cell r="AB56">
            <v>1000</v>
          </cell>
          <cell r="AC56">
            <v>0</v>
          </cell>
          <cell r="AD56">
            <v>1500</v>
          </cell>
          <cell r="AE56">
            <v>0</v>
          </cell>
          <cell r="AF56">
            <v>1200</v>
          </cell>
          <cell r="AG56">
            <v>100</v>
          </cell>
          <cell r="AH56">
            <v>700</v>
          </cell>
          <cell r="AI56">
            <v>2000</v>
          </cell>
          <cell r="AJ56">
            <v>0</v>
          </cell>
          <cell r="AK56">
            <v>50000</v>
          </cell>
        </row>
        <row r="57">
          <cell r="A57" t="str">
            <v>ü</v>
          </cell>
          <cell r="B57" t="str">
            <v>ü</v>
          </cell>
          <cell r="F57" t="str">
            <v>Putnam</v>
          </cell>
          <cell r="G57">
            <v>1920</v>
          </cell>
          <cell r="H57" t="str">
            <v>Q1</v>
          </cell>
          <cell r="I57" t="str">
            <v>Jul-Aug-Sep</v>
          </cell>
          <cell r="J57">
            <v>25079.386671854467</v>
          </cell>
          <cell r="K57">
            <v>5337.0333281455332</v>
          </cell>
          <cell r="L57">
            <v>20930</v>
          </cell>
          <cell r="M57">
            <v>30416.42</v>
          </cell>
          <cell r="N57">
            <v>-9486.42</v>
          </cell>
          <cell r="O57" t="str">
            <v>Insufficient</v>
          </cell>
          <cell r="P57">
            <v>20930</v>
          </cell>
          <cell r="Q57">
            <v>15930</v>
          </cell>
          <cell r="R57">
            <v>850</v>
          </cell>
          <cell r="S57">
            <v>260</v>
          </cell>
          <cell r="T57">
            <v>400</v>
          </cell>
          <cell r="U57">
            <v>0</v>
          </cell>
          <cell r="V57">
            <v>1510</v>
          </cell>
          <cell r="W57">
            <v>2430</v>
          </cell>
          <cell r="X57">
            <v>360</v>
          </cell>
          <cell r="Y57">
            <v>0</v>
          </cell>
          <cell r="Z57">
            <v>2790</v>
          </cell>
          <cell r="AA57">
            <v>0</v>
          </cell>
          <cell r="AB57">
            <v>0</v>
          </cell>
          <cell r="AC57">
            <v>0</v>
          </cell>
          <cell r="AD57">
            <v>0</v>
          </cell>
          <cell r="AE57">
            <v>500</v>
          </cell>
          <cell r="AF57">
            <v>200</v>
          </cell>
          <cell r="AG57">
            <v>0</v>
          </cell>
          <cell r="AH57">
            <v>0</v>
          </cell>
          <cell r="AI57">
            <v>700</v>
          </cell>
          <cell r="AJ57">
            <v>0</v>
          </cell>
          <cell r="AK57">
            <v>3490</v>
          </cell>
        </row>
        <row r="58">
          <cell r="A58" t="str">
            <v>ü</v>
          </cell>
          <cell r="B58" t="str">
            <v>ü</v>
          </cell>
          <cell r="F58" t="str">
            <v>Santa Rosa</v>
          </cell>
          <cell r="G58">
            <v>1920</v>
          </cell>
          <cell r="H58" t="str">
            <v>Q1</v>
          </cell>
          <cell r="I58" t="str">
            <v>Jul-Aug-Sep</v>
          </cell>
          <cell r="J58">
            <v>46834.341069023634</v>
          </cell>
          <cell r="K58">
            <v>9966.6089309763611</v>
          </cell>
          <cell r="L58">
            <v>40005</v>
          </cell>
          <cell r="M58">
            <v>56800.95</v>
          </cell>
          <cell r="N58">
            <v>-16795.95</v>
          </cell>
          <cell r="O58" t="str">
            <v>Insufficient</v>
          </cell>
          <cell r="P58">
            <v>40005</v>
          </cell>
          <cell r="Q58">
            <v>25868</v>
          </cell>
          <cell r="R58">
            <v>1916</v>
          </cell>
          <cell r="S58">
            <v>634</v>
          </cell>
          <cell r="T58">
            <v>4</v>
          </cell>
          <cell r="U58">
            <v>1018</v>
          </cell>
          <cell r="V58">
            <v>3572</v>
          </cell>
          <cell r="W58">
            <v>7815</v>
          </cell>
          <cell r="X58">
            <v>1770</v>
          </cell>
          <cell r="Y58">
            <v>90</v>
          </cell>
          <cell r="Z58">
            <v>9675</v>
          </cell>
          <cell r="AA58">
            <v>225</v>
          </cell>
          <cell r="AB58">
            <v>0</v>
          </cell>
          <cell r="AC58">
            <v>0</v>
          </cell>
          <cell r="AD58">
            <v>225</v>
          </cell>
          <cell r="AE58">
            <v>0</v>
          </cell>
          <cell r="AF58">
            <v>600</v>
          </cell>
          <cell r="AG58">
            <v>35</v>
          </cell>
          <cell r="AH58">
            <v>30</v>
          </cell>
          <cell r="AI58">
            <v>665</v>
          </cell>
          <cell r="AJ58">
            <v>0</v>
          </cell>
          <cell r="AK58">
            <v>10565</v>
          </cell>
        </row>
        <row r="59">
          <cell r="A59" t="str">
            <v>ü</v>
          </cell>
          <cell r="B59" t="str">
            <v>ü</v>
          </cell>
          <cell r="F59" t="str">
            <v>Sarasota</v>
          </cell>
          <cell r="G59">
            <v>1920</v>
          </cell>
          <cell r="H59" t="str">
            <v>Q1</v>
          </cell>
          <cell r="I59" t="str">
            <v>Jul-Aug-Sep</v>
          </cell>
          <cell r="J59">
            <v>88534.652312603139</v>
          </cell>
          <cell r="K59">
            <v>18840.667687396864</v>
          </cell>
          <cell r="L59">
            <v>93579</v>
          </cell>
          <cell r="M59">
            <v>107375.32</v>
          </cell>
          <cell r="N59">
            <v>-13796.32</v>
          </cell>
          <cell r="O59" t="str">
            <v>Insufficient</v>
          </cell>
          <cell r="P59">
            <v>93579</v>
          </cell>
          <cell r="Q59">
            <v>37677</v>
          </cell>
          <cell r="R59">
            <v>13027</v>
          </cell>
          <cell r="S59">
            <v>150</v>
          </cell>
          <cell r="T59">
            <v>242</v>
          </cell>
          <cell r="U59">
            <v>1368</v>
          </cell>
          <cell r="V59">
            <v>14787</v>
          </cell>
          <cell r="W59">
            <v>38303</v>
          </cell>
          <cell r="X59">
            <v>1630</v>
          </cell>
          <cell r="Y59">
            <v>0</v>
          </cell>
          <cell r="Z59">
            <v>39933</v>
          </cell>
          <cell r="AA59">
            <v>815</v>
          </cell>
          <cell r="AB59">
            <v>0</v>
          </cell>
          <cell r="AC59">
            <v>0</v>
          </cell>
          <cell r="AD59">
            <v>815</v>
          </cell>
          <cell r="AE59">
            <v>0</v>
          </cell>
          <cell r="AF59">
            <v>367</v>
          </cell>
          <cell r="AG59">
            <v>0</v>
          </cell>
          <cell r="AH59">
            <v>0</v>
          </cell>
          <cell r="AI59">
            <v>367</v>
          </cell>
          <cell r="AJ59">
            <v>0</v>
          </cell>
          <cell r="AK59">
            <v>41115</v>
          </cell>
        </row>
        <row r="60">
          <cell r="A60" t="str">
            <v>ü</v>
          </cell>
          <cell r="B60" t="str">
            <v>ü</v>
          </cell>
          <cell r="F60" t="str">
            <v>Seminole</v>
          </cell>
          <cell r="G60">
            <v>1920</v>
          </cell>
          <cell r="H60" t="str">
            <v>Q1</v>
          </cell>
          <cell r="I60" t="str">
            <v>Jul-Aug-Sep</v>
          </cell>
          <cell r="J60">
            <v>50940.349565573662</v>
          </cell>
          <cell r="K60">
            <v>10840.390434426336</v>
          </cell>
          <cell r="L60">
            <v>51348</v>
          </cell>
          <cell r="M60">
            <v>61780.74</v>
          </cell>
          <cell r="N60">
            <v>-10432.74</v>
          </cell>
          <cell r="O60" t="str">
            <v>Insufficient</v>
          </cell>
          <cell r="P60">
            <v>51348</v>
          </cell>
          <cell r="Q60">
            <v>27883</v>
          </cell>
          <cell r="R60">
            <v>5817</v>
          </cell>
          <cell r="S60">
            <v>2405</v>
          </cell>
          <cell r="T60">
            <v>167</v>
          </cell>
          <cell r="U60">
            <v>0</v>
          </cell>
          <cell r="V60">
            <v>8389</v>
          </cell>
          <cell r="W60">
            <v>12450</v>
          </cell>
          <cell r="X60">
            <v>2400</v>
          </cell>
          <cell r="Y60">
            <v>0</v>
          </cell>
          <cell r="Z60">
            <v>14850</v>
          </cell>
          <cell r="AA60">
            <v>120</v>
          </cell>
          <cell r="AB60">
            <v>0</v>
          </cell>
          <cell r="AC60">
            <v>0</v>
          </cell>
          <cell r="AD60">
            <v>120</v>
          </cell>
          <cell r="AE60">
            <v>0</v>
          </cell>
          <cell r="AF60">
            <v>106</v>
          </cell>
          <cell r="AG60">
            <v>0</v>
          </cell>
          <cell r="AH60">
            <v>0</v>
          </cell>
          <cell r="AI60">
            <v>106</v>
          </cell>
          <cell r="AJ60">
            <v>0</v>
          </cell>
          <cell r="AK60">
            <v>15076</v>
          </cell>
        </row>
        <row r="61">
          <cell r="A61" t="str">
            <v>ü</v>
          </cell>
          <cell r="B61" t="str">
            <v>ü</v>
          </cell>
          <cell r="F61" t="str">
            <v>St. Johns</v>
          </cell>
          <cell r="G61">
            <v>1920</v>
          </cell>
          <cell r="H61" t="str">
            <v>Q1</v>
          </cell>
          <cell r="I61" t="str">
            <v>Jul-Aug-Sep</v>
          </cell>
          <cell r="J61">
            <v>21779.137993104705</v>
          </cell>
          <cell r="K61">
            <v>4634.7220068952947</v>
          </cell>
          <cell r="L61">
            <v>18150</v>
          </cell>
          <cell r="M61">
            <v>26413.86</v>
          </cell>
          <cell r="N61">
            <v>-8263.86</v>
          </cell>
          <cell r="O61" t="str">
            <v>Insufficient</v>
          </cell>
          <cell r="P61">
            <v>18150</v>
          </cell>
          <cell r="Q61">
            <v>11000</v>
          </cell>
          <cell r="R61">
            <v>800</v>
          </cell>
          <cell r="S61">
            <v>0</v>
          </cell>
          <cell r="T61">
            <v>350</v>
          </cell>
          <cell r="U61">
            <v>0</v>
          </cell>
          <cell r="V61">
            <v>1150</v>
          </cell>
          <cell r="W61">
            <v>4000</v>
          </cell>
          <cell r="X61">
            <v>1500</v>
          </cell>
          <cell r="Y61">
            <v>0</v>
          </cell>
          <cell r="Z61">
            <v>5500</v>
          </cell>
          <cell r="AA61">
            <v>0</v>
          </cell>
          <cell r="AB61">
            <v>0</v>
          </cell>
          <cell r="AC61">
            <v>0</v>
          </cell>
          <cell r="AD61">
            <v>0</v>
          </cell>
          <cell r="AE61">
            <v>0</v>
          </cell>
          <cell r="AF61">
            <v>200</v>
          </cell>
          <cell r="AG61">
            <v>0</v>
          </cell>
          <cell r="AH61">
            <v>300</v>
          </cell>
          <cell r="AI61">
            <v>500</v>
          </cell>
          <cell r="AJ61">
            <v>0</v>
          </cell>
          <cell r="AK61">
            <v>6000</v>
          </cell>
        </row>
        <row r="62">
          <cell r="A62" t="str">
            <v>ü</v>
          </cell>
          <cell r="B62" t="str">
            <v>ü</v>
          </cell>
          <cell r="F62" t="str">
            <v>St. Lucie</v>
          </cell>
          <cell r="G62">
            <v>1920</v>
          </cell>
          <cell r="H62" t="str">
            <v>Q1</v>
          </cell>
          <cell r="I62" t="str">
            <v>Jul-Aug-Sep</v>
          </cell>
          <cell r="J62">
            <v>112696.64544508516</v>
          </cell>
          <cell r="K62">
            <v>23982.474554914836</v>
          </cell>
          <cell r="L62">
            <v>78649</v>
          </cell>
          <cell r="M62">
            <v>136679.12</v>
          </cell>
          <cell r="N62">
            <v>-58030.12</v>
          </cell>
          <cell r="O62" t="str">
            <v>Insufficient</v>
          </cell>
          <cell r="P62">
            <v>78649</v>
          </cell>
          <cell r="Q62">
            <v>29611</v>
          </cell>
          <cell r="R62">
            <v>8000</v>
          </cell>
          <cell r="S62">
            <v>8963</v>
          </cell>
          <cell r="T62">
            <v>525</v>
          </cell>
          <cell r="U62">
            <v>300</v>
          </cell>
          <cell r="V62">
            <v>17788</v>
          </cell>
          <cell r="W62">
            <v>25000</v>
          </cell>
          <cell r="X62">
            <v>5000</v>
          </cell>
          <cell r="Y62">
            <v>0</v>
          </cell>
          <cell r="Z62">
            <v>30000</v>
          </cell>
          <cell r="AA62">
            <v>0</v>
          </cell>
          <cell r="AB62">
            <v>0</v>
          </cell>
          <cell r="AC62">
            <v>0</v>
          </cell>
          <cell r="AD62">
            <v>0</v>
          </cell>
          <cell r="AE62">
            <v>0</v>
          </cell>
          <cell r="AF62">
            <v>1250</v>
          </cell>
          <cell r="AG62">
            <v>0</v>
          </cell>
          <cell r="AH62">
            <v>0</v>
          </cell>
          <cell r="AI62">
            <v>1250</v>
          </cell>
          <cell r="AJ62">
            <v>0</v>
          </cell>
          <cell r="AK62">
            <v>31250</v>
          </cell>
        </row>
        <row r="63">
          <cell r="A63" t="str">
            <v>ü</v>
          </cell>
          <cell r="B63" t="str">
            <v>ü</v>
          </cell>
          <cell r="F63" t="str">
            <v>Sumter</v>
          </cell>
          <cell r="G63">
            <v>1920</v>
          </cell>
          <cell r="H63" t="str">
            <v>Q1</v>
          </cell>
          <cell r="I63" t="str">
            <v>Jul-Aug-Sep</v>
          </cell>
          <cell r="J63">
            <v>21856.47108082355</v>
          </cell>
          <cell r="K63">
            <v>4651.1789191764501</v>
          </cell>
          <cell r="L63">
            <v>17400</v>
          </cell>
          <cell r="M63">
            <v>26507.65</v>
          </cell>
          <cell r="N63">
            <v>-9107.65</v>
          </cell>
          <cell r="O63" t="str">
            <v>Insufficient</v>
          </cell>
          <cell r="P63">
            <v>17400</v>
          </cell>
          <cell r="Q63">
            <v>13800</v>
          </cell>
          <cell r="R63">
            <v>0</v>
          </cell>
          <cell r="S63">
            <v>0</v>
          </cell>
          <cell r="T63">
            <v>0</v>
          </cell>
          <cell r="U63">
            <v>0</v>
          </cell>
          <cell r="V63">
            <v>0</v>
          </cell>
          <cell r="W63">
            <v>0</v>
          </cell>
          <cell r="X63">
            <v>0</v>
          </cell>
          <cell r="Y63">
            <v>0</v>
          </cell>
          <cell r="Z63">
            <v>0</v>
          </cell>
          <cell r="AA63">
            <v>0</v>
          </cell>
          <cell r="AB63">
            <v>0</v>
          </cell>
          <cell r="AC63">
            <v>3300</v>
          </cell>
          <cell r="AD63">
            <v>3300</v>
          </cell>
          <cell r="AE63">
            <v>0</v>
          </cell>
          <cell r="AF63">
            <v>300</v>
          </cell>
          <cell r="AG63">
            <v>0</v>
          </cell>
          <cell r="AH63">
            <v>0</v>
          </cell>
          <cell r="AI63">
            <v>300</v>
          </cell>
          <cell r="AJ63">
            <v>0</v>
          </cell>
          <cell r="AK63">
            <v>3600</v>
          </cell>
        </row>
        <row r="64">
          <cell r="A64" t="str">
            <v>ü</v>
          </cell>
          <cell r="B64" t="str">
            <v>ü</v>
          </cell>
          <cell r="F64" t="str">
            <v>Suwannee</v>
          </cell>
          <cell r="G64">
            <v>1920</v>
          </cell>
          <cell r="H64" t="str">
            <v>Q1</v>
          </cell>
          <cell r="I64" t="str">
            <v>Jul-Aug-Sep</v>
          </cell>
          <cell r="J64">
            <v>6753.4649919338981</v>
          </cell>
          <cell r="K64">
            <v>1437.1750080661013</v>
          </cell>
          <cell r="L64">
            <v>5920</v>
          </cell>
          <cell r="M64">
            <v>8190.6399999999994</v>
          </cell>
          <cell r="N64">
            <v>-2270.64</v>
          </cell>
          <cell r="O64" t="str">
            <v>Insufficient</v>
          </cell>
          <cell r="P64">
            <v>5920</v>
          </cell>
          <cell r="Q64">
            <v>3635</v>
          </cell>
          <cell r="R64">
            <v>375</v>
          </cell>
          <cell r="S64">
            <v>50</v>
          </cell>
          <cell r="T64">
            <v>60</v>
          </cell>
          <cell r="U64">
            <v>0</v>
          </cell>
          <cell r="V64">
            <v>485</v>
          </cell>
          <cell r="W64">
            <v>1800</v>
          </cell>
          <cell r="X64">
            <v>0</v>
          </cell>
          <cell r="Y64">
            <v>0</v>
          </cell>
          <cell r="Z64">
            <v>1800</v>
          </cell>
          <cell r="AA64">
            <v>0</v>
          </cell>
          <cell r="AB64">
            <v>0</v>
          </cell>
          <cell r="AC64">
            <v>0</v>
          </cell>
          <cell r="AD64">
            <v>0</v>
          </cell>
          <cell r="AE64">
            <v>0</v>
          </cell>
          <cell r="AF64">
            <v>0</v>
          </cell>
          <cell r="AG64">
            <v>0</v>
          </cell>
          <cell r="AH64">
            <v>0</v>
          </cell>
          <cell r="AI64">
            <v>0</v>
          </cell>
          <cell r="AJ64">
            <v>0</v>
          </cell>
          <cell r="AK64">
            <v>1800</v>
          </cell>
        </row>
        <row r="65">
          <cell r="A65" t="str">
            <v>ü</v>
          </cell>
          <cell r="B65" t="str">
            <v>ü</v>
          </cell>
          <cell r="F65" t="str">
            <v>Taylor</v>
          </cell>
          <cell r="G65">
            <v>1920</v>
          </cell>
          <cell r="H65" t="str">
            <v>Q1</v>
          </cell>
          <cell r="I65" t="str">
            <v>Jul-Aug-Sep</v>
          </cell>
          <cell r="J65">
            <v>6116.8831562015785</v>
          </cell>
          <cell r="K65">
            <v>1301.7068437984212</v>
          </cell>
          <cell r="L65">
            <v>3804</v>
          </cell>
          <cell r="M65">
            <v>7418.59</v>
          </cell>
          <cell r="N65">
            <v>-3614.59</v>
          </cell>
          <cell r="O65" t="str">
            <v>Insufficient</v>
          </cell>
          <cell r="P65">
            <v>3804</v>
          </cell>
          <cell r="Q65">
            <v>2004</v>
          </cell>
          <cell r="R65">
            <v>415</v>
          </cell>
          <cell r="S65">
            <v>115</v>
          </cell>
          <cell r="T65">
            <v>0</v>
          </cell>
          <cell r="U65">
            <v>0</v>
          </cell>
          <cell r="V65">
            <v>530</v>
          </cell>
          <cell r="W65">
            <v>1000</v>
          </cell>
          <cell r="X65">
            <v>0</v>
          </cell>
          <cell r="Y65">
            <v>0</v>
          </cell>
          <cell r="Z65">
            <v>1000</v>
          </cell>
          <cell r="AA65">
            <v>270</v>
          </cell>
          <cell r="AB65">
            <v>0</v>
          </cell>
          <cell r="AC65">
            <v>0</v>
          </cell>
          <cell r="AD65">
            <v>270</v>
          </cell>
          <cell r="AE65">
            <v>0</v>
          </cell>
          <cell r="AF65">
            <v>0</v>
          </cell>
          <cell r="AG65">
            <v>0</v>
          </cell>
          <cell r="AH65">
            <v>0</v>
          </cell>
          <cell r="AI65">
            <v>0</v>
          </cell>
          <cell r="AJ65">
            <v>0</v>
          </cell>
          <cell r="AK65">
            <v>1270</v>
          </cell>
        </row>
        <row r="66">
          <cell r="A66" t="str">
            <v>ü</v>
          </cell>
          <cell r="B66" t="str">
            <v>ü</v>
          </cell>
          <cell r="F66" t="str">
            <v>Union</v>
          </cell>
          <cell r="G66">
            <v>1920</v>
          </cell>
          <cell r="H66" t="str">
            <v>Q1</v>
          </cell>
          <cell r="I66" t="str">
            <v>Jul-Aug-Sep</v>
          </cell>
          <cell r="J66">
            <v>3769.1037130771615</v>
          </cell>
          <cell r="K66">
            <v>802.08628692283912</v>
          </cell>
          <cell r="L66">
            <v>1502</v>
          </cell>
          <cell r="M66">
            <v>4571.1900000000005</v>
          </cell>
          <cell r="N66">
            <v>-3069.19</v>
          </cell>
          <cell r="O66" t="str">
            <v>Insufficient</v>
          </cell>
          <cell r="P66">
            <v>1502</v>
          </cell>
          <cell r="Q66">
            <v>1102</v>
          </cell>
          <cell r="R66">
            <v>150</v>
          </cell>
          <cell r="S66">
            <v>0</v>
          </cell>
          <cell r="T66">
            <v>30</v>
          </cell>
          <cell r="U66">
            <v>0</v>
          </cell>
          <cell r="V66">
            <v>180</v>
          </cell>
          <cell r="W66">
            <v>150</v>
          </cell>
          <cell r="X66">
            <v>0</v>
          </cell>
          <cell r="Y66">
            <v>0</v>
          </cell>
          <cell r="Z66">
            <v>150</v>
          </cell>
          <cell r="AA66">
            <v>0</v>
          </cell>
          <cell r="AB66">
            <v>0</v>
          </cell>
          <cell r="AC66">
            <v>0</v>
          </cell>
          <cell r="AD66">
            <v>0</v>
          </cell>
          <cell r="AE66">
            <v>0</v>
          </cell>
          <cell r="AF66">
            <v>70</v>
          </cell>
          <cell r="AG66">
            <v>0</v>
          </cell>
          <cell r="AH66">
            <v>0</v>
          </cell>
          <cell r="AI66">
            <v>70</v>
          </cell>
          <cell r="AJ66">
            <v>0</v>
          </cell>
          <cell r="AK66">
            <v>220</v>
          </cell>
        </row>
        <row r="67">
          <cell r="A67" t="str">
            <v>ü</v>
          </cell>
          <cell r="B67" t="str">
            <v>ü</v>
          </cell>
          <cell r="F67" t="str">
            <v>Volusia</v>
          </cell>
          <cell r="G67">
            <v>1920</v>
          </cell>
          <cell r="H67" t="str">
            <v>Q1</v>
          </cell>
          <cell r="I67" t="str">
            <v>Jul-Aug-Sep</v>
          </cell>
          <cell r="J67">
            <v>49802.492000246806</v>
          </cell>
          <cell r="K67">
            <v>10598.247999753194</v>
          </cell>
          <cell r="L67">
            <v>65950</v>
          </cell>
          <cell r="M67">
            <v>60400.74</v>
          </cell>
          <cell r="N67">
            <v>5549.26</v>
          </cell>
          <cell r="O67" t="str">
            <v>Unexpended</v>
          </cell>
          <cell r="P67">
            <v>65950</v>
          </cell>
          <cell r="Q67">
            <v>34500</v>
          </cell>
          <cell r="R67">
            <v>0</v>
          </cell>
          <cell r="S67">
            <v>0</v>
          </cell>
          <cell r="T67">
            <v>100</v>
          </cell>
          <cell r="U67">
            <v>200</v>
          </cell>
          <cell r="V67">
            <v>300</v>
          </cell>
          <cell r="W67">
            <v>25650</v>
          </cell>
          <cell r="X67">
            <v>5100</v>
          </cell>
          <cell r="Y67">
            <v>0</v>
          </cell>
          <cell r="Z67">
            <v>30750</v>
          </cell>
          <cell r="AA67">
            <v>0</v>
          </cell>
          <cell r="AB67">
            <v>0</v>
          </cell>
          <cell r="AC67">
            <v>0</v>
          </cell>
          <cell r="AD67">
            <v>0</v>
          </cell>
          <cell r="AE67">
            <v>0</v>
          </cell>
          <cell r="AF67">
            <v>400</v>
          </cell>
          <cell r="AG67">
            <v>0</v>
          </cell>
          <cell r="AH67">
            <v>0</v>
          </cell>
          <cell r="AI67">
            <v>400</v>
          </cell>
          <cell r="AJ67">
            <v>0</v>
          </cell>
          <cell r="AK67">
            <v>31150</v>
          </cell>
        </row>
        <row r="68">
          <cell r="A68" t="str">
            <v>ü</v>
          </cell>
          <cell r="B68" t="str">
            <v>ü</v>
          </cell>
          <cell r="F68" t="str">
            <v>Wakulla</v>
          </cell>
          <cell r="G68">
            <v>1920</v>
          </cell>
          <cell r="H68" t="str">
            <v>Q1</v>
          </cell>
          <cell r="I68" t="str">
            <v>Jul-Aug-Sep</v>
          </cell>
          <cell r="J68">
            <v>3747.1875869276041</v>
          </cell>
          <cell r="K68">
            <v>797.42241307239544</v>
          </cell>
          <cell r="L68">
            <v>9119</v>
          </cell>
          <cell r="M68">
            <v>4544.6099999999997</v>
          </cell>
          <cell r="N68">
            <v>4574.3900000000003</v>
          </cell>
          <cell r="O68" t="str">
            <v>Unexpended</v>
          </cell>
          <cell r="P68">
            <v>9119</v>
          </cell>
          <cell r="Q68">
            <v>8834</v>
          </cell>
          <cell r="R68">
            <v>35</v>
          </cell>
          <cell r="S68">
            <v>0</v>
          </cell>
          <cell r="T68">
            <v>100</v>
          </cell>
          <cell r="U68">
            <v>0</v>
          </cell>
          <cell r="V68">
            <v>135</v>
          </cell>
          <cell r="W68">
            <v>120</v>
          </cell>
          <cell r="X68">
            <v>30</v>
          </cell>
          <cell r="Y68">
            <v>0</v>
          </cell>
          <cell r="Z68">
            <v>150</v>
          </cell>
          <cell r="AA68">
            <v>0</v>
          </cell>
          <cell r="AB68">
            <v>0</v>
          </cell>
          <cell r="AC68">
            <v>0</v>
          </cell>
          <cell r="AD68">
            <v>0</v>
          </cell>
          <cell r="AE68">
            <v>0</v>
          </cell>
          <cell r="AF68">
            <v>0</v>
          </cell>
          <cell r="AG68">
            <v>0</v>
          </cell>
          <cell r="AH68">
            <v>0</v>
          </cell>
          <cell r="AI68">
            <v>0</v>
          </cell>
          <cell r="AJ68">
            <v>0</v>
          </cell>
          <cell r="AK68">
            <v>150</v>
          </cell>
        </row>
        <row r="69">
          <cell r="A69" t="str">
            <v>ü</v>
          </cell>
          <cell r="B69" t="str">
            <v>ü</v>
          </cell>
          <cell r="F69" t="str">
            <v>Walton</v>
          </cell>
          <cell r="G69">
            <v>1920</v>
          </cell>
          <cell r="H69" t="str">
            <v>Q1</v>
          </cell>
          <cell r="I69" t="str">
            <v>Jul-Aug-Sep</v>
          </cell>
          <cell r="J69">
            <v>20306.717322193042</v>
          </cell>
          <cell r="K69">
            <v>4321.3826778069542</v>
          </cell>
          <cell r="L69">
            <v>16800</v>
          </cell>
          <cell r="M69">
            <v>24628.1</v>
          </cell>
          <cell r="N69">
            <v>-7828.1</v>
          </cell>
          <cell r="O69" t="str">
            <v>Insufficient</v>
          </cell>
          <cell r="P69">
            <v>16800</v>
          </cell>
          <cell r="Q69">
            <v>12000</v>
          </cell>
          <cell r="R69">
            <v>900</v>
          </cell>
          <cell r="S69">
            <v>0</v>
          </cell>
          <cell r="T69">
            <v>0</v>
          </cell>
          <cell r="U69">
            <v>0</v>
          </cell>
          <cell r="V69">
            <v>900</v>
          </cell>
          <cell r="W69">
            <v>2500</v>
          </cell>
          <cell r="X69">
            <v>0</v>
          </cell>
          <cell r="Y69">
            <v>0</v>
          </cell>
          <cell r="Z69">
            <v>2500</v>
          </cell>
          <cell r="AA69">
            <v>1000</v>
          </cell>
          <cell r="AB69">
            <v>0</v>
          </cell>
          <cell r="AC69">
            <v>0</v>
          </cell>
          <cell r="AD69">
            <v>1000</v>
          </cell>
          <cell r="AE69">
            <v>0</v>
          </cell>
          <cell r="AF69">
            <v>300</v>
          </cell>
          <cell r="AG69">
            <v>0</v>
          </cell>
          <cell r="AH69">
            <v>100</v>
          </cell>
          <cell r="AI69">
            <v>400</v>
          </cell>
          <cell r="AJ69">
            <v>0</v>
          </cell>
          <cell r="AK69">
            <v>3900</v>
          </cell>
        </row>
        <row r="70">
          <cell r="A70" t="str">
            <v>ü</v>
          </cell>
          <cell r="B70" t="str">
            <v>ü</v>
          </cell>
          <cell r="F70" t="str">
            <v>Washington</v>
          </cell>
          <cell r="G70">
            <v>1920</v>
          </cell>
          <cell r="H70" t="str">
            <v>Q1</v>
          </cell>
          <cell r="I70" t="str">
            <v>Jul-Aug-Sep</v>
          </cell>
          <cell r="J70">
            <v>8859.7382894900293</v>
          </cell>
          <cell r="K70">
            <v>1885.4017105099711</v>
          </cell>
          <cell r="L70">
            <v>10700</v>
          </cell>
          <cell r="M70">
            <v>10745.14</v>
          </cell>
          <cell r="N70">
            <v>-45.14</v>
          </cell>
          <cell r="O70" t="str">
            <v>Insufficient</v>
          </cell>
          <cell r="P70">
            <v>10700</v>
          </cell>
          <cell r="Q70">
            <v>7250</v>
          </cell>
          <cell r="R70">
            <v>1000</v>
          </cell>
          <cell r="S70">
            <v>0</v>
          </cell>
          <cell r="T70">
            <v>500</v>
          </cell>
          <cell r="U70">
            <v>0</v>
          </cell>
          <cell r="V70">
            <v>1500</v>
          </cell>
          <cell r="W70">
            <v>1500</v>
          </cell>
          <cell r="X70">
            <v>0</v>
          </cell>
          <cell r="Y70">
            <v>0</v>
          </cell>
          <cell r="Z70">
            <v>1500</v>
          </cell>
          <cell r="AA70">
            <v>450</v>
          </cell>
          <cell r="AB70">
            <v>0</v>
          </cell>
          <cell r="AC70">
            <v>0</v>
          </cell>
          <cell r="AD70">
            <v>450</v>
          </cell>
          <cell r="AE70">
            <v>0</v>
          </cell>
          <cell r="AF70">
            <v>0</v>
          </cell>
          <cell r="AG70">
            <v>0</v>
          </cell>
          <cell r="AH70">
            <v>0</v>
          </cell>
          <cell r="AI70">
            <v>0</v>
          </cell>
          <cell r="AJ70">
            <v>0</v>
          </cell>
          <cell r="AK70">
            <v>1950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AC_template_donotdelete"/>
      <sheetName val="SFY1920_JuryEstimateDetail"/>
      <sheetName val="Estimate v Avg Actu Perf Ana"/>
      <sheetName val="Request v Avg Actu Perf Var Ana"/>
      <sheetName val="Sheet1"/>
      <sheetName val="Adj Endorsement Amts"/>
      <sheetName val="CCOC Pro-Rata"/>
      <sheetName val="Estimat v Avg Actu Perf Var "/>
      <sheetName val="Request v Avg Actu Perf Var-All"/>
    </sheetNames>
    <sheetDataSet>
      <sheetData sheetId="0" refreshError="1"/>
      <sheetData sheetId="1" refreshError="1">
        <row r="4">
          <cell r="A4" t="str">
            <v>ü</v>
          </cell>
          <cell r="B4" t="str">
            <v>ü</v>
          </cell>
          <cell r="F4" t="str">
            <v>Alachua</v>
          </cell>
          <cell r="G4">
            <v>1920</v>
          </cell>
          <cell r="H4" t="str">
            <v>Q1</v>
          </cell>
          <cell r="I4" t="str">
            <v>Jul-Aug-Sep</v>
          </cell>
          <cell r="J4">
            <v>49098.611661266674</v>
          </cell>
          <cell r="K4">
            <v>10448.458338733324</v>
          </cell>
          <cell r="L4">
            <v>58800</v>
          </cell>
          <cell r="M4">
            <v>59547.07</v>
          </cell>
          <cell r="N4">
            <v>-747.07</v>
          </cell>
          <cell r="O4" t="str">
            <v>Insufficient</v>
          </cell>
          <cell r="P4">
            <v>58800</v>
          </cell>
          <cell r="Q4">
            <v>35000</v>
          </cell>
          <cell r="R4">
            <v>2400</v>
          </cell>
          <cell r="S4">
            <v>400</v>
          </cell>
          <cell r="T4">
            <v>1000</v>
          </cell>
          <cell r="U4">
            <v>0</v>
          </cell>
          <cell r="V4">
            <v>3800</v>
          </cell>
          <cell r="W4">
            <v>12000</v>
          </cell>
          <cell r="X4">
            <v>2000</v>
          </cell>
          <cell r="Y4">
            <v>0</v>
          </cell>
          <cell r="Z4">
            <v>14000</v>
          </cell>
          <cell r="AA4">
            <v>0</v>
          </cell>
          <cell r="AB4">
            <v>0</v>
          </cell>
          <cell r="AC4">
            <v>0</v>
          </cell>
          <cell r="AD4">
            <v>0</v>
          </cell>
          <cell r="AE4">
            <v>0</v>
          </cell>
          <cell r="AF4">
            <v>6000</v>
          </cell>
          <cell r="AG4">
            <v>0</v>
          </cell>
          <cell r="AH4">
            <v>0</v>
          </cell>
          <cell r="AI4">
            <v>6000</v>
          </cell>
          <cell r="AJ4">
            <v>0</v>
          </cell>
          <cell r="AK4">
            <v>20000</v>
          </cell>
        </row>
        <row r="5">
          <cell r="A5" t="str">
            <v>ü</v>
          </cell>
          <cell r="B5" t="str">
            <v>ü</v>
          </cell>
          <cell r="F5" t="str">
            <v>Baker</v>
          </cell>
          <cell r="G5">
            <v>1920</v>
          </cell>
          <cell r="H5" t="str">
            <v>Q1</v>
          </cell>
          <cell r="I5" t="str">
            <v>Jul-Aug-Sep</v>
          </cell>
          <cell r="J5">
            <v>17014.021379166759</v>
          </cell>
          <cell r="K5">
            <v>3620.6786208332423</v>
          </cell>
          <cell r="L5">
            <v>8253</v>
          </cell>
          <cell r="M5">
            <v>20634.7</v>
          </cell>
          <cell r="N5">
            <v>-12381.7</v>
          </cell>
          <cell r="O5" t="str">
            <v>Insufficient</v>
          </cell>
          <cell r="P5">
            <v>8253</v>
          </cell>
          <cell r="Q5">
            <v>6753</v>
          </cell>
          <cell r="R5">
            <v>325</v>
          </cell>
          <cell r="S5">
            <v>100</v>
          </cell>
          <cell r="T5">
            <v>0</v>
          </cell>
          <cell r="U5">
            <v>0</v>
          </cell>
          <cell r="V5">
            <v>425</v>
          </cell>
          <cell r="W5">
            <v>825</v>
          </cell>
          <cell r="X5">
            <v>0</v>
          </cell>
          <cell r="Y5">
            <v>0</v>
          </cell>
          <cell r="Z5">
            <v>825</v>
          </cell>
          <cell r="AA5">
            <v>0</v>
          </cell>
          <cell r="AB5">
            <v>0</v>
          </cell>
          <cell r="AC5">
            <v>0</v>
          </cell>
          <cell r="AD5">
            <v>0</v>
          </cell>
          <cell r="AE5">
            <v>0</v>
          </cell>
          <cell r="AF5">
            <v>250</v>
          </cell>
          <cell r="AG5">
            <v>0</v>
          </cell>
          <cell r="AH5">
            <v>0</v>
          </cell>
          <cell r="AI5">
            <v>250</v>
          </cell>
          <cell r="AJ5">
            <v>0</v>
          </cell>
          <cell r="AK5">
            <v>1075</v>
          </cell>
        </row>
        <row r="6">
          <cell r="A6" t="str">
            <v>ü</v>
          </cell>
          <cell r="B6" t="str">
            <v>ü</v>
          </cell>
          <cell r="F6" t="str">
            <v>Bay</v>
          </cell>
          <cell r="G6">
            <v>1920</v>
          </cell>
          <cell r="H6" t="str">
            <v>Q1</v>
          </cell>
          <cell r="I6" t="str">
            <v>Jul-Aug-Sep</v>
          </cell>
          <cell r="J6">
            <v>49688.030125450663</v>
          </cell>
          <cell r="K6">
            <v>10573.889874549335</v>
          </cell>
          <cell r="L6">
            <v>39086</v>
          </cell>
          <cell r="M6">
            <v>60261.919999999998</v>
          </cell>
          <cell r="N6">
            <v>-21175.919999999998</v>
          </cell>
          <cell r="O6" t="str">
            <v>Insufficient</v>
          </cell>
          <cell r="P6">
            <v>39086</v>
          </cell>
          <cell r="Q6">
            <v>22079</v>
          </cell>
          <cell r="R6">
            <v>2397</v>
          </cell>
          <cell r="S6">
            <v>0</v>
          </cell>
          <cell r="T6">
            <v>0</v>
          </cell>
          <cell r="U6">
            <v>0</v>
          </cell>
          <cell r="V6">
            <v>2397</v>
          </cell>
          <cell r="W6">
            <v>14295</v>
          </cell>
          <cell r="X6">
            <v>0</v>
          </cell>
          <cell r="Y6">
            <v>0</v>
          </cell>
          <cell r="Z6">
            <v>14295</v>
          </cell>
          <cell r="AA6">
            <v>0</v>
          </cell>
          <cell r="AB6">
            <v>0</v>
          </cell>
          <cell r="AC6">
            <v>0</v>
          </cell>
          <cell r="AD6">
            <v>0</v>
          </cell>
          <cell r="AE6">
            <v>0</v>
          </cell>
          <cell r="AF6">
            <v>0</v>
          </cell>
          <cell r="AG6">
            <v>315</v>
          </cell>
          <cell r="AH6">
            <v>0</v>
          </cell>
          <cell r="AI6">
            <v>315</v>
          </cell>
          <cell r="AJ6">
            <v>0</v>
          </cell>
          <cell r="AK6">
            <v>14610</v>
          </cell>
        </row>
        <row r="7">
          <cell r="A7" t="str">
            <v>ü</v>
          </cell>
          <cell r="B7" t="str">
            <v>ü</v>
          </cell>
          <cell r="F7" t="str">
            <v>Bradford</v>
          </cell>
          <cell r="G7">
            <v>1920</v>
          </cell>
          <cell r="H7" t="str">
            <v>Q1</v>
          </cell>
          <cell r="I7" t="str">
            <v>Jul-Aug-Sep</v>
          </cell>
          <cell r="J7">
            <v>12489.38848805724</v>
          </cell>
          <cell r="K7">
            <v>2657.8115119427607</v>
          </cell>
          <cell r="L7">
            <v>8515</v>
          </cell>
          <cell r="M7">
            <v>15147.2</v>
          </cell>
          <cell r="N7">
            <v>-6632.2</v>
          </cell>
          <cell r="O7" t="str">
            <v>Insufficient</v>
          </cell>
          <cell r="P7">
            <v>8515</v>
          </cell>
          <cell r="Q7">
            <v>2430</v>
          </cell>
          <cell r="R7">
            <v>550</v>
          </cell>
          <cell r="S7">
            <v>0</v>
          </cell>
          <cell r="T7">
            <v>0</v>
          </cell>
          <cell r="U7">
            <v>0</v>
          </cell>
          <cell r="V7">
            <v>550</v>
          </cell>
          <cell r="W7">
            <v>4500</v>
          </cell>
          <cell r="X7">
            <v>0</v>
          </cell>
          <cell r="Y7">
            <v>0</v>
          </cell>
          <cell r="Z7">
            <v>4500</v>
          </cell>
          <cell r="AA7">
            <v>0</v>
          </cell>
          <cell r="AB7">
            <v>0</v>
          </cell>
          <cell r="AC7">
            <v>0</v>
          </cell>
          <cell r="AD7">
            <v>0</v>
          </cell>
          <cell r="AE7">
            <v>0</v>
          </cell>
          <cell r="AF7">
            <v>1000</v>
          </cell>
          <cell r="AG7">
            <v>0</v>
          </cell>
          <cell r="AH7">
            <v>35</v>
          </cell>
          <cell r="AI7">
            <v>1035</v>
          </cell>
          <cell r="AJ7">
            <v>0</v>
          </cell>
          <cell r="AK7">
            <v>5535</v>
          </cell>
        </row>
        <row r="8">
          <cell r="A8" t="str">
            <v>ü</v>
          </cell>
          <cell r="B8" t="str">
            <v>ü</v>
          </cell>
          <cell r="F8" t="str">
            <v>Brevard</v>
          </cell>
          <cell r="G8">
            <v>1920</v>
          </cell>
          <cell r="H8" t="str">
            <v>Q1</v>
          </cell>
          <cell r="I8" t="str">
            <v>Jul-Aug-Sep</v>
          </cell>
          <cell r="J8">
            <v>91384.795870819362</v>
          </cell>
          <cell r="K8">
            <v>19447.194129180636</v>
          </cell>
          <cell r="L8">
            <v>111405</v>
          </cell>
          <cell r="M8">
            <v>110831.99</v>
          </cell>
          <cell r="N8">
            <v>573.01</v>
          </cell>
          <cell r="O8" t="str">
            <v>Unexpended</v>
          </cell>
          <cell r="P8">
            <v>111405</v>
          </cell>
          <cell r="Q8">
            <v>43500</v>
          </cell>
          <cell r="R8">
            <v>6655</v>
          </cell>
          <cell r="S8">
            <v>0</v>
          </cell>
          <cell r="T8">
            <v>0</v>
          </cell>
          <cell r="U8">
            <v>0</v>
          </cell>
          <cell r="V8">
            <v>6655</v>
          </cell>
          <cell r="W8">
            <v>46500</v>
          </cell>
          <cell r="X8">
            <v>13000</v>
          </cell>
          <cell r="Y8">
            <v>0</v>
          </cell>
          <cell r="Z8">
            <v>59500</v>
          </cell>
          <cell r="AA8">
            <v>0</v>
          </cell>
          <cell r="AB8">
            <v>0</v>
          </cell>
          <cell r="AC8">
            <v>0</v>
          </cell>
          <cell r="AD8">
            <v>0</v>
          </cell>
          <cell r="AE8">
            <v>0</v>
          </cell>
          <cell r="AF8">
            <v>1000</v>
          </cell>
          <cell r="AG8">
            <v>0</v>
          </cell>
          <cell r="AH8">
            <v>750</v>
          </cell>
          <cell r="AI8">
            <v>1750</v>
          </cell>
          <cell r="AJ8">
            <v>0</v>
          </cell>
          <cell r="AK8">
            <v>61250</v>
          </cell>
        </row>
        <row r="9">
          <cell r="A9" t="str">
            <v>ü</v>
          </cell>
          <cell r="B9" t="str">
            <v>ü</v>
          </cell>
          <cell r="F9" t="str">
            <v>Broward</v>
          </cell>
          <cell r="G9">
            <v>1920</v>
          </cell>
          <cell r="H9" t="str">
            <v>Q1</v>
          </cell>
          <cell r="I9" t="str">
            <v>Jul-Aug-Sep</v>
          </cell>
          <cell r="J9">
            <v>264340.93504029664</v>
          </cell>
          <cell r="K9">
            <v>56253.224959703402</v>
          </cell>
          <cell r="L9">
            <v>217210</v>
          </cell>
          <cell r="M9">
            <v>320594.16000000003</v>
          </cell>
          <cell r="N9">
            <v>-103384.16</v>
          </cell>
          <cell r="O9" t="str">
            <v>Insufficient</v>
          </cell>
          <cell r="P9">
            <v>217210</v>
          </cell>
          <cell r="Q9">
            <v>67710</v>
          </cell>
          <cell r="R9">
            <v>22950</v>
          </cell>
          <cell r="S9">
            <v>14640</v>
          </cell>
          <cell r="T9">
            <v>1620</v>
          </cell>
          <cell r="U9">
            <v>420</v>
          </cell>
          <cell r="V9">
            <v>39630</v>
          </cell>
          <cell r="W9">
            <v>51200</v>
          </cell>
          <cell r="X9">
            <v>48660</v>
          </cell>
          <cell r="Y9">
            <v>0</v>
          </cell>
          <cell r="Z9">
            <v>99860</v>
          </cell>
          <cell r="AA9">
            <v>220</v>
          </cell>
          <cell r="AB9">
            <v>2640</v>
          </cell>
          <cell r="AC9">
            <v>0</v>
          </cell>
          <cell r="AD9">
            <v>2860</v>
          </cell>
          <cell r="AE9">
            <v>0</v>
          </cell>
          <cell r="AF9">
            <v>0</v>
          </cell>
          <cell r="AG9">
            <v>1320</v>
          </cell>
          <cell r="AH9">
            <v>0</v>
          </cell>
          <cell r="AI9">
            <v>1320</v>
          </cell>
          <cell r="AJ9">
            <v>5830</v>
          </cell>
          <cell r="AK9">
            <v>109870</v>
          </cell>
        </row>
        <row r="10">
          <cell r="A10" t="str">
            <v>ü</v>
          </cell>
          <cell r="B10" t="str">
            <v>ü</v>
          </cell>
          <cell r="F10" t="str">
            <v>Calhoun</v>
          </cell>
          <cell r="G10">
            <v>1920</v>
          </cell>
          <cell r="H10" t="str">
            <v>Q1</v>
          </cell>
          <cell r="I10" t="str">
            <v>Jul-Aug-Sep</v>
          </cell>
          <cell r="J10">
            <v>1961.5345171086835</v>
          </cell>
          <cell r="K10">
            <v>417.42548289131656</v>
          </cell>
          <cell r="L10">
            <v>3135</v>
          </cell>
          <cell r="M10">
            <v>2378.96</v>
          </cell>
          <cell r="N10">
            <v>756.04</v>
          </cell>
          <cell r="O10" t="str">
            <v>Unexpended</v>
          </cell>
          <cell r="P10">
            <v>3135</v>
          </cell>
          <cell r="Q10">
            <v>1590</v>
          </cell>
          <cell r="R10">
            <v>210</v>
          </cell>
          <cell r="S10">
            <v>500</v>
          </cell>
          <cell r="T10">
            <v>0</v>
          </cell>
          <cell r="U10">
            <v>0</v>
          </cell>
          <cell r="V10">
            <v>710</v>
          </cell>
          <cell r="W10">
            <v>400</v>
          </cell>
          <cell r="X10">
            <v>0</v>
          </cell>
          <cell r="Y10">
            <v>0</v>
          </cell>
          <cell r="Z10">
            <v>400</v>
          </cell>
          <cell r="AA10">
            <v>435</v>
          </cell>
          <cell r="AB10">
            <v>0</v>
          </cell>
          <cell r="AC10">
            <v>0</v>
          </cell>
          <cell r="AD10">
            <v>435</v>
          </cell>
          <cell r="AE10">
            <v>0</v>
          </cell>
          <cell r="AF10">
            <v>0</v>
          </cell>
          <cell r="AG10">
            <v>0</v>
          </cell>
          <cell r="AH10">
            <v>0</v>
          </cell>
          <cell r="AI10">
            <v>0</v>
          </cell>
          <cell r="AJ10">
            <v>0</v>
          </cell>
          <cell r="AK10">
            <v>835</v>
          </cell>
        </row>
        <row r="11">
          <cell r="A11" t="str">
            <v>ü</v>
          </cell>
          <cell r="B11" t="str">
            <v>ü</v>
          </cell>
          <cell r="F11" t="str">
            <v>Charlotte</v>
          </cell>
          <cell r="G11">
            <v>1920</v>
          </cell>
          <cell r="H11" t="str">
            <v>Q1</v>
          </cell>
          <cell r="I11" t="str">
            <v>Jul-Aug-Sep</v>
          </cell>
          <cell r="J11">
            <v>34344.828900796252</v>
          </cell>
          <cell r="K11">
            <v>7308.7710992037455</v>
          </cell>
          <cell r="L11">
            <v>38510</v>
          </cell>
          <cell r="M11">
            <v>41653.599999999999</v>
          </cell>
          <cell r="N11">
            <v>-3143.6</v>
          </cell>
          <cell r="O11" t="str">
            <v>Insufficient</v>
          </cell>
          <cell r="P11">
            <v>38510</v>
          </cell>
          <cell r="Q11">
            <v>24770</v>
          </cell>
          <cell r="R11">
            <v>3600</v>
          </cell>
          <cell r="S11">
            <v>0</v>
          </cell>
          <cell r="T11">
            <v>0</v>
          </cell>
          <cell r="U11">
            <v>0</v>
          </cell>
          <cell r="V11">
            <v>3600</v>
          </cell>
          <cell r="W11">
            <v>9900</v>
          </cell>
          <cell r="X11">
            <v>0</v>
          </cell>
          <cell r="Y11">
            <v>0</v>
          </cell>
          <cell r="Z11">
            <v>9900</v>
          </cell>
          <cell r="AA11">
            <v>0</v>
          </cell>
          <cell r="AB11">
            <v>0</v>
          </cell>
          <cell r="AC11">
            <v>0</v>
          </cell>
          <cell r="AD11">
            <v>0</v>
          </cell>
          <cell r="AE11">
            <v>0</v>
          </cell>
          <cell r="AF11">
            <v>240</v>
          </cell>
          <cell r="AG11">
            <v>0</v>
          </cell>
          <cell r="AH11">
            <v>0</v>
          </cell>
          <cell r="AI11">
            <v>240</v>
          </cell>
          <cell r="AJ11">
            <v>0</v>
          </cell>
          <cell r="AK11">
            <v>10140</v>
          </cell>
        </row>
        <row r="12">
          <cell r="A12" t="str">
            <v>ü</v>
          </cell>
          <cell r="B12" t="str">
            <v>ü</v>
          </cell>
          <cell r="F12" t="str">
            <v>Citrus</v>
          </cell>
          <cell r="G12">
            <v>1920</v>
          </cell>
          <cell r="H12" t="str">
            <v>Q1</v>
          </cell>
          <cell r="I12" t="str">
            <v>Jul-Aug-Sep</v>
          </cell>
          <cell r="J12">
            <v>18708.794259963703</v>
          </cell>
          <cell r="K12">
            <v>3981.3357400362966</v>
          </cell>
          <cell r="L12">
            <v>21375</v>
          </cell>
          <cell r="M12">
            <v>22690.13</v>
          </cell>
          <cell r="N12">
            <v>-1315.13</v>
          </cell>
          <cell r="O12" t="str">
            <v>Insufficient</v>
          </cell>
          <cell r="P12">
            <v>21375</v>
          </cell>
          <cell r="Q12">
            <v>8400</v>
          </cell>
          <cell r="R12">
            <v>1400</v>
          </cell>
          <cell r="S12">
            <v>250</v>
          </cell>
          <cell r="T12">
            <v>250</v>
          </cell>
          <cell r="U12">
            <v>0</v>
          </cell>
          <cell r="V12">
            <v>1900</v>
          </cell>
          <cell r="W12">
            <v>7200</v>
          </cell>
          <cell r="X12">
            <v>2100</v>
          </cell>
          <cell r="Y12">
            <v>0</v>
          </cell>
          <cell r="Z12">
            <v>9300</v>
          </cell>
          <cell r="AA12">
            <v>600</v>
          </cell>
          <cell r="AB12">
            <v>0</v>
          </cell>
          <cell r="AC12">
            <v>0</v>
          </cell>
          <cell r="AD12">
            <v>600</v>
          </cell>
          <cell r="AE12">
            <v>0</v>
          </cell>
          <cell r="AF12">
            <v>925</v>
          </cell>
          <cell r="AG12">
            <v>250</v>
          </cell>
          <cell r="AH12">
            <v>0</v>
          </cell>
          <cell r="AI12">
            <v>1175</v>
          </cell>
          <cell r="AJ12">
            <v>0</v>
          </cell>
          <cell r="AK12">
            <v>11075</v>
          </cell>
        </row>
        <row r="13">
          <cell r="A13" t="str">
            <v>ü</v>
          </cell>
          <cell r="B13" t="str">
            <v>ü</v>
          </cell>
          <cell r="F13" t="str">
            <v>Clay</v>
          </cell>
          <cell r="G13">
            <v>1920</v>
          </cell>
          <cell r="H13" t="str">
            <v>Q1</v>
          </cell>
          <cell r="I13" t="str">
            <v>Jul-Aug-Sep</v>
          </cell>
          <cell r="J13">
            <v>23987.051654485356</v>
          </cell>
          <cell r="K13">
            <v>5104.5783455146411</v>
          </cell>
          <cell r="L13">
            <v>16613</v>
          </cell>
          <cell r="M13">
            <v>29091.629999999997</v>
          </cell>
          <cell r="N13">
            <v>-12478.63</v>
          </cell>
          <cell r="O13" t="str">
            <v>Insufficient</v>
          </cell>
          <cell r="P13">
            <v>16613</v>
          </cell>
          <cell r="Q13">
            <v>10200</v>
          </cell>
          <cell r="R13">
            <v>1600</v>
          </cell>
          <cell r="S13">
            <v>0</v>
          </cell>
          <cell r="T13">
            <v>100</v>
          </cell>
          <cell r="U13">
            <v>2213</v>
          </cell>
          <cell r="V13">
            <v>3913</v>
          </cell>
          <cell r="W13">
            <v>2000</v>
          </cell>
          <cell r="X13">
            <v>0</v>
          </cell>
          <cell r="Y13">
            <v>0</v>
          </cell>
          <cell r="Z13">
            <v>2000</v>
          </cell>
          <cell r="AA13">
            <v>0</v>
          </cell>
          <cell r="AB13">
            <v>0</v>
          </cell>
          <cell r="AC13">
            <v>0</v>
          </cell>
          <cell r="AD13">
            <v>0</v>
          </cell>
          <cell r="AE13">
            <v>0</v>
          </cell>
          <cell r="AF13">
            <v>0</v>
          </cell>
          <cell r="AG13">
            <v>0</v>
          </cell>
          <cell r="AH13">
            <v>500</v>
          </cell>
          <cell r="AI13">
            <v>500</v>
          </cell>
          <cell r="AJ13">
            <v>0</v>
          </cell>
          <cell r="AK13">
            <v>2500</v>
          </cell>
        </row>
        <row r="14">
          <cell r="A14" t="str">
            <v>ü</v>
          </cell>
          <cell r="B14" t="str">
            <v>ü</v>
          </cell>
          <cell r="F14" t="str">
            <v>Collier</v>
          </cell>
          <cell r="G14">
            <v>1920</v>
          </cell>
          <cell r="H14" t="str">
            <v>Q1</v>
          </cell>
          <cell r="I14" t="str">
            <v>Jul-Aug-Sep</v>
          </cell>
          <cell r="J14">
            <v>55686.246281071195</v>
          </cell>
          <cell r="K14">
            <v>11850.3437189288</v>
          </cell>
          <cell r="L14">
            <v>58001</v>
          </cell>
          <cell r="M14">
            <v>67536.59</v>
          </cell>
          <cell r="N14">
            <v>-9535.59</v>
          </cell>
          <cell r="O14" t="str">
            <v>Insufficient</v>
          </cell>
          <cell r="P14">
            <v>58001</v>
          </cell>
          <cell r="Q14">
            <v>33137</v>
          </cell>
          <cell r="R14">
            <v>4675</v>
          </cell>
          <cell r="S14">
            <v>1389</v>
          </cell>
          <cell r="T14">
            <v>300</v>
          </cell>
          <cell r="U14">
            <v>0</v>
          </cell>
          <cell r="V14">
            <v>6364</v>
          </cell>
          <cell r="W14">
            <v>17500</v>
          </cell>
          <cell r="X14">
            <v>0</v>
          </cell>
          <cell r="Y14">
            <v>0</v>
          </cell>
          <cell r="Z14">
            <v>17500</v>
          </cell>
          <cell r="AA14">
            <v>0</v>
          </cell>
          <cell r="AB14">
            <v>0</v>
          </cell>
          <cell r="AC14">
            <v>0</v>
          </cell>
          <cell r="AD14">
            <v>0</v>
          </cell>
          <cell r="AE14">
            <v>0</v>
          </cell>
          <cell r="AF14">
            <v>1000</v>
          </cell>
          <cell r="AG14">
            <v>0</v>
          </cell>
          <cell r="AH14">
            <v>0</v>
          </cell>
          <cell r="AI14">
            <v>1000</v>
          </cell>
          <cell r="AJ14">
            <v>0</v>
          </cell>
          <cell r="AK14">
            <v>18500</v>
          </cell>
        </row>
        <row r="15">
          <cell r="A15" t="str">
            <v>ü</v>
          </cell>
          <cell r="B15" t="str">
            <v>ü</v>
          </cell>
          <cell r="F15" t="str">
            <v>Columbia</v>
          </cell>
          <cell r="G15">
            <v>1920</v>
          </cell>
          <cell r="H15" t="str">
            <v>Q1</v>
          </cell>
          <cell r="I15" t="str">
            <v>Jul-Aug-Sep</v>
          </cell>
          <cell r="J15">
            <v>15030.463546427725</v>
          </cell>
          <cell r="K15">
            <v>3198.5664535722735</v>
          </cell>
          <cell r="L15">
            <v>15120</v>
          </cell>
          <cell r="M15">
            <v>18229.03</v>
          </cell>
          <cell r="N15">
            <v>-3109.03</v>
          </cell>
          <cell r="O15" t="str">
            <v>Insufficient</v>
          </cell>
          <cell r="P15">
            <v>15120</v>
          </cell>
          <cell r="Q15">
            <v>11000</v>
          </cell>
          <cell r="R15">
            <v>900</v>
          </cell>
          <cell r="S15">
            <v>20</v>
          </cell>
          <cell r="T15">
            <v>100</v>
          </cell>
          <cell r="U15">
            <v>0</v>
          </cell>
          <cell r="V15">
            <v>1020</v>
          </cell>
          <cell r="W15">
            <v>3000</v>
          </cell>
          <cell r="X15">
            <v>0</v>
          </cell>
          <cell r="Y15">
            <v>0</v>
          </cell>
          <cell r="Z15">
            <v>3000</v>
          </cell>
          <cell r="AA15">
            <v>0</v>
          </cell>
          <cell r="AB15">
            <v>0</v>
          </cell>
          <cell r="AC15">
            <v>0</v>
          </cell>
          <cell r="AD15">
            <v>0</v>
          </cell>
          <cell r="AE15">
            <v>0</v>
          </cell>
          <cell r="AF15">
            <v>100</v>
          </cell>
          <cell r="AG15">
            <v>0</v>
          </cell>
          <cell r="AH15">
            <v>0</v>
          </cell>
          <cell r="AI15">
            <v>100</v>
          </cell>
          <cell r="AJ15">
            <v>0</v>
          </cell>
          <cell r="AK15">
            <v>3100</v>
          </cell>
        </row>
        <row r="16">
          <cell r="A16" t="str">
            <v>ü</v>
          </cell>
          <cell r="B16" t="str">
            <v>ü</v>
          </cell>
          <cell r="F16" t="str">
            <v>DeSoto</v>
          </cell>
          <cell r="G16">
            <v>1920</v>
          </cell>
          <cell r="H16" t="str">
            <v>Q1</v>
          </cell>
          <cell r="I16" t="str">
            <v>Jul-Aug-Sep</v>
          </cell>
          <cell r="J16">
            <v>8369.808154170054</v>
          </cell>
          <cell r="K16">
            <v>1781.1418458299468</v>
          </cell>
          <cell r="L16">
            <v>12445</v>
          </cell>
          <cell r="M16">
            <v>10150.950000000001</v>
          </cell>
          <cell r="N16">
            <v>2294.0500000000002</v>
          </cell>
          <cell r="O16" t="str">
            <v>Unexpended</v>
          </cell>
          <cell r="P16">
            <v>12445</v>
          </cell>
          <cell r="Q16">
            <v>4500</v>
          </cell>
          <cell r="R16">
            <v>1125</v>
          </cell>
          <cell r="S16">
            <v>1015</v>
          </cell>
          <cell r="T16">
            <v>250</v>
          </cell>
          <cell r="U16">
            <v>0</v>
          </cell>
          <cell r="V16">
            <v>2390</v>
          </cell>
          <cell r="W16">
            <v>3300</v>
          </cell>
          <cell r="X16">
            <v>1350</v>
          </cell>
          <cell r="Y16">
            <v>300</v>
          </cell>
          <cell r="Z16">
            <v>4950</v>
          </cell>
          <cell r="AA16">
            <v>330</v>
          </cell>
          <cell r="AB16">
            <v>0</v>
          </cell>
          <cell r="AC16">
            <v>0</v>
          </cell>
          <cell r="AD16">
            <v>330</v>
          </cell>
          <cell r="AE16">
            <v>50</v>
          </cell>
          <cell r="AF16">
            <v>75</v>
          </cell>
          <cell r="AG16">
            <v>150</v>
          </cell>
          <cell r="AH16">
            <v>0</v>
          </cell>
          <cell r="AI16">
            <v>275</v>
          </cell>
          <cell r="AJ16">
            <v>0</v>
          </cell>
          <cell r="AK16">
            <v>5555</v>
          </cell>
        </row>
        <row r="17">
          <cell r="A17" t="str">
            <v>ü</v>
          </cell>
          <cell r="B17" t="str">
            <v>ü</v>
          </cell>
          <cell r="F17" t="str">
            <v>Dixie</v>
          </cell>
          <cell r="G17">
            <v>1920</v>
          </cell>
          <cell r="H17" t="str">
            <v>Q1</v>
          </cell>
          <cell r="I17" t="str">
            <v>Jul-Aug-Sep</v>
          </cell>
          <cell r="J17">
            <v>3786.8559401651955</v>
          </cell>
          <cell r="K17">
            <v>805.86405983480483</v>
          </cell>
          <cell r="L17">
            <v>2610</v>
          </cell>
          <cell r="M17">
            <v>4592.72</v>
          </cell>
          <cell r="N17">
            <v>-1982.72</v>
          </cell>
          <cell r="O17" t="str">
            <v>Insufficient</v>
          </cell>
          <cell r="P17">
            <v>2610</v>
          </cell>
          <cell r="Q17">
            <v>1500</v>
          </cell>
          <cell r="R17">
            <v>150</v>
          </cell>
          <cell r="S17">
            <v>0</v>
          </cell>
          <cell r="T17">
            <v>10</v>
          </cell>
          <cell r="U17">
            <v>0</v>
          </cell>
          <cell r="V17">
            <v>160</v>
          </cell>
          <cell r="W17">
            <v>950</v>
          </cell>
          <cell r="X17">
            <v>0</v>
          </cell>
          <cell r="Y17">
            <v>0</v>
          </cell>
          <cell r="Z17">
            <v>950</v>
          </cell>
          <cell r="AA17">
            <v>0</v>
          </cell>
          <cell r="AB17">
            <v>0</v>
          </cell>
          <cell r="AC17">
            <v>0</v>
          </cell>
          <cell r="AD17">
            <v>0</v>
          </cell>
          <cell r="AE17">
            <v>0</v>
          </cell>
          <cell r="AF17">
            <v>0</v>
          </cell>
          <cell r="AG17">
            <v>0</v>
          </cell>
          <cell r="AH17">
            <v>0</v>
          </cell>
          <cell r="AI17">
            <v>0</v>
          </cell>
          <cell r="AJ17">
            <v>0</v>
          </cell>
          <cell r="AK17">
            <v>950</v>
          </cell>
        </row>
        <row r="18">
          <cell r="A18" t="str">
            <v>ü</v>
          </cell>
          <cell r="B18" t="str">
            <v>ü</v>
          </cell>
          <cell r="F18" t="str">
            <v>Duval</v>
          </cell>
          <cell r="G18">
            <v>1920</v>
          </cell>
          <cell r="H18" t="str">
            <v>Q1</v>
          </cell>
          <cell r="I18" t="str">
            <v>Jul-Aug-Sep</v>
          </cell>
          <cell r="J18">
            <v>82537.615241271313</v>
          </cell>
          <cell r="K18">
            <v>17564.464758728689</v>
          </cell>
          <cell r="L18">
            <v>110044</v>
          </cell>
          <cell r="M18">
            <v>100102.08</v>
          </cell>
          <cell r="N18">
            <v>9941.92</v>
          </cell>
          <cell r="O18" t="str">
            <v>Unexpended</v>
          </cell>
          <cell r="P18">
            <v>110044</v>
          </cell>
          <cell r="Q18">
            <v>66140</v>
          </cell>
          <cell r="R18">
            <v>8459</v>
          </cell>
          <cell r="S18">
            <v>0</v>
          </cell>
          <cell r="T18">
            <v>1285</v>
          </cell>
          <cell r="U18">
            <v>0</v>
          </cell>
          <cell r="V18">
            <v>9744</v>
          </cell>
          <cell r="W18">
            <v>33660</v>
          </cell>
          <cell r="X18">
            <v>0</v>
          </cell>
          <cell r="Y18">
            <v>0</v>
          </cell>
          <cell r="Z18">
            <v>33660</v>
          </cell>
          <cell r="AA18">
            <v>0</v>
          </cell>
          <cell r="AB18">
            <v>0</v>
          </cell>
          <cell r="AC18">
            <v>0</v>
          </cell>
          <cell r="AD18">
            <v>0</v>
          </cell>
          <cell r="AE18">
            <v>0</v>
          </cell>
          <cell r="AF18">
            <v>200</v>
          </cell>
          <cell r="AG18">
            <v>300</v>
          </cell>
          <cell r="AH18">
            <v>0</v>
          </cell>
          <cell r="AI18">
            <v>500</v>
          </cell>
          <cell r="AJ18">
            <v>0</v>
          </cell>
          <cell r="AK18">
            <v>34160</v>
          </cell>
        </row>
        <row r="19">
          <cell r="A19" t="str">
            <v>ü</v>
          </cell>
          <cell r="B19" t="str">
            <v>ü</v>
          </cell>
          <cell r="F19" t="str">
            <v>Escambia</v>
          </cell>
          <cell r="G19">
            <v>1920</v>
          </cell>
          <cell r="H19" t="str">
            <v>Q1</v>
          </cell>
          <cell r="I19" t="str">
            <v>Jul-Aug-Sep</v>
          </cell>
          <cell r="J19">
            <v>62577.416774443678</v>
          </cell>
          <cell r="K19">
            <v>13316.823225556325</v>
          </cell>
          <cell r="L19">
            <v>83352</v>
          </cell>
          <cell r="M19">
            <v>75894.240000000005</v>
          </cell>
          <cell r="N19">
            <v>7457.76</v>
          </cell>
          <cell r="O19" t="str">
            <v>Unexpended</v>
          </cell>
          <cell r="P19">
            <v>83352</v>
          </cell>
          <cell r="Q19">
            <v>29516</v>
          </cell>
          <cell r="R19">
            <v>6134</v>
          </cell>
          <cell r="S19">
            <v>1351</v>
          </cell>
          <cell r="T19">
            <v>2210</v>
          </cell>
          <cell r="U19">
            <v>6015</v>
          </cell>
          <cell r="V19">
            <v>15710</v>
          </cell>
          <cell r="W19">
            <v>26505</v>
          </cell>
          <cell r="X19">
            <v>5910</v>
          </cell>
          <cell r="Y19">
            <v>0</v>
          </cell>
          <cell r="Z19">
            <v>32415</v>
          </cell>
          <cell r="AA19">
            <v>0</v>
          </cell>
          <cell r="AB19">
            <v>1485</v>
          </cell>
          <cell r="AC19">
            <v>0</v>
          </cell>
          <cell r="AD19">
            <v>1485</v>
          </cell>
          <cell r="AE19">
            <v>0</v>
          </cell>
          <cell r="AF19">
            <v>3921</v>
          </cell>
          <cell r="AG19">
            <v>305</v>
          </cell>
          <cell r="AH19">
            <v>0</v>
          </cell>
          <cell r="AI19">
            <v>4226</v>
          </cell>
          <cell r="AJ19">
            <v>0</v>
          </cell>
          <cell r="AK19">
            <v>38126</v>
          </cell>
        </row>
        <row r="20">
          <cell r="A20" t="str">
            <v>ü</v>
          </cell>
          <cell r="B20" t="str">
            <v>ü</v>
          </cell>
          <cell r="F20" t="str">
            <v>Flagler</v>
          </cell>
          <cell r="G20">
            <v>1920</v>
          </cell>
          <cell r="H20" t="str">
            <v>Q1</v>
          </cell>
          <cell r="I20" t="str">
            <v>Jul-Aug-Sep</v>
          </cell>
          <cell r="J20">
            <v>14863.223220358708</v>
          </cell>
          <cell r="K20">
            <v>3162.976779641293</v>
          </cell>
          <cell r="L20">
            <v>15600</v>
          </cell>
          <cell r="M20">
            <v>18026.2</v>
          </cell>
          <cell r="N20">
            <v>-2426.1999999999998</v>
          </cell>
          <cell r="O20" t="str">
            <v>Insufficient</v>
          </cell>
          <cell r="P20">
            <v>15600</v>
          </cell>
          <cell r="Q20">
            <v>10000</v>
          </cell>
          <cell r="R20">
            <v>500</v>
          </cell>
          <cell r="S20">
            <v>0</v>
          </cell>
          <cell r="T20">
            <v>0</v>
          </cell>
          <cell r="U20">
            <v>0</v>
          </cell>
          <cell r="V20">
            <v>500</v>
          </cell>
          <cell r="W20">
            <v>2300</v>
          </cell>
          <cell r="X20">
            <v>600</v>
          </cell>
          <cell r="Y20">
            <v>1400</v>
          </cell>
          <cell r="Z20">
            <v>4300</v>
          </cell>
          <cell r="AA20">
            <v>300</v>
          </cell>
          <cell r="AB20">
            <v>0</v>
          </cell>
          <cell r="AC20">
            <v>0</v>
          </cell>
          <cell r="AD20">
            <v>300</v>
          </cell>
          <cell r="AE20">
            <v>0</v>
          </cell>
          <cell r="AF20">
            <v>150</v>
          </cell>
          <cell r="AG20">
            <v>350</v>
          </cell>
          <cell r="AH20">
            <v>0</v>
          </cell>
          <cell r="AI20">
            <v>500</v>
          </cell>
          <cell r="AJ20">
            <v>0</v>
          </cell>
          <cell r="AK20">
            <v>5100</v>
          </cell>
        </row>
        <row r="21">
          <cell r="A21" t="str">
            <v>ü</v>
          </cell>
          <cell r="B21" t="str">
            <v>ü</v>
          </cell>
          <cell r="F21" t="str">
            <v>Franklin</v>
          </cell>
          <cell r="G21">
            <v>1920</v>
          </cell>
          <cell r="H21" t="str">
            <v>Q1</v>
          </cell>
          <cell r="I21" t="str">
            <v>Jul-Aug-Sep</v>
          </cell>
          <cell r="J21">
            <v>5447.7899264106809</v>
          </cell>
          <cell r="K21">
            <v>1159.320073589319</v>
          </cell>
          <cell r="L21">
            <v>4906</v>
          </cell>
          <cell r="M21">
            <v>6607.11</v>
          </cell>
          <cell r="N21">
            <v>-1701.11</v>
          </cell>
          <cell r="O21" t="str">
            <v>Insufficient</v>
          </cell>
          <cell r="P21">
            <v>4906</v>
          </cell>
          <cell r="Q21">
            <v>2506</v>
          </cell>
          <cell r="R21">
            <v>600</v>
          </cell>
          <cell r="S21">
            <v>0</v>
          </cell>
          <cell r="T21">
            <v>0</v>
          </cell>
          <cell r="U21">
            <v>0</v>
          </cell>
          <cell r="V21">
            <v>600</v>
          </cell>
          <cell r="W21">
            <v>1800</v>
          </cell>
          <cell r="X21">
            <v>0</v>
          </cell>
          <cell r="Y21">
            <v>0</v>
          </cell>
          <cell r="Z21">
            <v>1800</v>
          </cell>
          <cell r="AA21">
            <v>0</v>
          </cell>
          <cell r="AB21">
            <v>0</v>
          </cell>
          <cell r="AC21">
            <v>0</v>
          </cell>
          <cell r="AD21">
            <v>0</v>
          </cell>
          <cell r="AE21">
            <v>0</v>
          </cell>
          <cell r="AF21">
            <v>0</v>
          </cell>
          <cell r="AG21">
            <v>0</v>
          </cell>
          <cell r="AH21">
            <v>0</v>
          </cell>
          <cell r="AI21">
            <v>0</v>
          </cell>
          <cell r="AJ21">
            <v>0</v>
          </cell>
          <cell r="AK21">
            <v>1800</v>
          </cell>
        </row>
        <row r="22">
          <cell r="A22" t="str">
            <v>ü</v>
          </cell>
          <cell r="B22" t="str">
            <v>ü</v>
          </cell>
          <cell r="F22" t="str">
            <v>Gadsden</v>
          </cell>
          <cell r="G22">
            <v>1920</v>
          </cell>
          <cell r="H22" t="str">
            <v>Q1</v>
          </cell>
          <cell r="I22" t="str">
            <v>Jul-Aug-Sep</v>
          </cell>
          <cell r="J22">
            <v>19948.053074119474</v>
          </cell>
          <cell r="K22">
            <v>4245.0569258805272</v>
          </cell>
          <cell r="L22">
            <v>14286</v>
          </cell>
          <cell r="M22">
            <v>24193.11</v>
          </cell>
          <cell r="N22">
            <v>-9907.11</v>
          </cell>
          <cell r="O22" t="str">
            <v>Insufficient</v>
          </cell>
          <cell r="P22">
            <v>14286</v>
          </cell>
          <cell r="Q22">
            <v>9962</v>
          </cell>
          <cell r="R22">
            <v>979</v>
          </cell>
          <cell r="S22">
            <v>0</v>
          </cell>
          <cell r="T22">
            <v>532</v>
          </cell>
          <cell r="U22">
            <v>68</v>
          </cell>
          <cell r="V22">
            <v>1579</v>
          </cell>
          <cell r="W22">
            <v>2565</v>
          </cell>
          <cell r="X22">
            <v>180</v>
          </cell>
          <cell r="Y22">
            <v>0</v>
          </cell>
          <cell r="Z22">
            <v>2745</v>
          </cell>
          <cell r="AA22">
            <v>0</v>
          </cell>
          <cell r="AB22">
            <v>0</v>
          </cell>
          <cell r="AC22">
            <v>0</v>
          </cell>
          <cell r="AD22">
            <v>0</v>
          </cell>
          <cell r="AE22">
            <v>0</v>
          </cell>
          <cell r="AF22">
            <v>0</v>
          </cell>
          <cell r="AG22">
            <v>0</v>
          </cell>
          <cell r="AH22">
            <v>0</v>
          </cell>
          <cell r="AI22">
            <v>0</v>
          </cell>
          <cell r="AJ22">
            <v>0</v>
          </cell>
          <cell r="AK22">
            <v>2745</v>
          </cell>
        </row>
        <row r="23">
          <cell r="A23" t="str">
            <v>ü</v>
          </cell>
          <cell r="B23" t="str">
            <v>ü</v>
          </cell>
          <cell r="F23" t="str">
            <v>Gilchrist</v>
          </cell>
          <cell r="G23">
            <v>1920</v>
          </cell>
          <cell r="H23" t="str">
            <v>Q1</v>
          </cell>
          <cell r="I23" t="str">
            <v>Jul-Aug-Sep</v>
          </cell>
          <cell r="J23">
            <v>0</v>
          </cell>
          <cell r="K23">
            <v>0</v>
          </cell>
          <cell r="L23">
            <v>2490</v>
          </cell>
          <cell r="M23">
            <v>0</v>
          </cell>
          <cell r="N23">
            <v>4105.29</v>
          </cell>
          <cell r="O23" t="str">
            <v>Unexpended</v>
          </cell>
          <cell r="P23">
            <v>2490</v>
          </cell>
          <cell r="Q23">
            <v>600</v>
          </cell>
          <cell r="R23">
            <v>175</v>
          </cell>
          <cell r="S23">
            <v>0</v>
          </cell>
          <cell r="T23">
            <v>50</v>
          </cell>
          <cell r="U23">
            <v>10</v>
          </cell>
          <cell r="V23">
            <v>235</v>
          </cell>
          <cell r="W23">
            <v>1020</v>
          </cell>
          <cell r="X23">
            <v>0</v>
          </cell>
          <cell r="Y23">
            <v>0</v>
          </cell>
          <cell r="Z23">
            <v>1020</v>
          </cell>
          <cell r="AA23">
            <v>315</v>
          </cell>
          <cell r="AB23">
            <v>0</v>
          </cell>
          <cell r="AC23">
            <v>0</v>
          </cell>
          <cell r="AD23">
            <v>315</v>
          </cell>
          <cell r="AE23">
            <v>0</v>
          </cell>
          <cell r="AF23">
            <v>270</v>
          </cell>
          <cell r="AG23">
            <v>0</v>
          </cell>
          <cell r="AH23">
            <v>50</v>
          </cell>
          <cell r="AI23">
            <v>320</v>
          </cell>
          <cell r="AJ23">
            <v>0</v>
          </cell>
          <cell r="AK23">
            <v>1655</v>
          </cell>
        </row>
        <row r="24">
          <cell r="A24" t="str">
            <v>ü</v>
          </cell>
          <cell r="B24" t="str">
            <v>ü</v>
          </cell>
          <cell r="F24" t="str">
            <v>Glades</v>
          </cell>
          <cell r="G24">
            <v>1920</v>
          </cell>
          <cell r="H24" t="str">
            <v>Q1</v>
          </cell>
          <cell r="I24" t="str">
            <v>Jul-Aug-Sep</v>
          </cell>
          <cell r="J24">
            <v>5674.6440944892165</v>
          </cell>
          <cell r="K24">
            <v>1207.5959055107837</v>
          </cell>
          <cell r="L24">
            <v>5200</v>
          </cell>
          <cell r="M24">
            <v>6882.24</v>
          </cell>
          <cell r="N24">
            <v>-1682.24</v>
          </cell>
          <cell r="O24" t="str">
            <v>Insufficient</v>
          </cell>
          <cell r="P24">
            <v>5200</v>
          </cell>
          <cell r="Q24">
            <v>3950</v>
          </cell>
          <cell r="R24">
            <v>650</v>
          </cell>
          <cell r="S24">
            <v>0</v>
          </cell>
          <cell r="T24">
            <v>0</v>
          </cell>
          <cell r="U24">
            <v>0</v>
          </cell>
          <cell r="V24">
            <v>650</v>
          </cell>
          <cell r="W24">
            <v>600</v>
          </cell>
          <cell r="X24">
            <v>0</v>
          </cell>
          <cell r="Y24">
            <v>0</v>
          </cell>
          <cell r="Z24">
            <v>600</v>
          </cell>
          <cell r="AA24">
            <v>0</v>
          </cell>
          <cell r="AB24">
            <v>0</v>
          </cell>
          <cell r="AC24">
            <v>0</v>
          </cell>
          <cell r="AD24">
            <v>0</v>
          </cell>
          <cell r="AE24">
            <v>0</v>
          </cell>
          <cell r="AF24">
            <v>0</v>
          </cell>
          <cell r="AG24">
            <v>0</v>
          </cell>
          <cell r="AH24">
            <v>0</v>
          </cell>
          <cell r="AI24">
            <v>0</v>
          </cell>
          <cell r="AJ24">
            <v>0</v>
          </cell>
          <cell r="AK24">
            <v>600</v>
          </cell>
        </row>
        <row r="25">
          <cell r="A25" t="str">
            <v>ü</v>
          </cell>
          <cell r="B25" t="str">
            <v>ü</v>
          </cell>
          <cell r="F25" t="str">
            <v>Gulf</v>
          </cell>
          <cell r="G25">
            <v>1920</v>
          </cell>
          <cell r="H25" t="str">
            <v>Q1</v>
          </cell>
          <cell r="I25" t="str">
            <v>Jul-Aug-Sep</v>
          </cell>
          <cell r="J25">
            <v>4694.4540100622144</v>
          </cell>
          <cell r="K25">
            <v>999.0059899377859</v>
          </cell>
          <cell r="L25">
            <v>4860</v>
          </cell>
          <cell r="M25">
            <v>5693.46</v>
          </cell>
          <cell r="N25">
            <v>-833.46</v>
          </cell>
          <cell r="O25" t="str">
            <v>Insufficient</v>
          </cell>
          <cell r="P25">
            <v>4860</v>
          </cell>
          <cell r="Q25">
            <v>3210</v>
          </cell>
          <cell r="R25">
            <v>200</v>
          </cell>
          <cell r="S25">
            <v>0</v>
          </cell>
          <cell r="T25">
            <v>100</v>
          </cell>
          <cell r="U25">
            <v>1350</v>
          </cell>
          <cell r="V25">
            <v>1650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row>
        <row r="26">
          <cell r="A26" t="str">
            <v>ü</v>
          </cell>
          <cell r="B26" t="str">
            <v>ü</v>
          </cell>
          <cell r="F26" t="str">
            <v>Hamilton</v>
          </cell>
          <cell r="G26">
            <v>1920</v>
          </cell>
          <cell r="H26" t="str">
            <v>Q1</v>
          </cell>
          <cell r="I26" t="str">
            <v>Jul-Aug-Sep</v>
          </cell>
          <cell r="J26">
            <v>2009.1431372695331</v>
          </cell>
          <cell r="K26">
            <v>427.55686273046666</v>
          </cell>
          <cell r="L26">
            <v>2877</v>
          </cell>
          <cell r="M26">
            <v>2436.6999999999998</v>
          </cell>
          <cell r="N26">
            <v>440.3</v>
          </cell>
          <cell r="O26" t="str">
            <v>Unexpended</v>
          </cell>
          <cell r="P26">
            <v>2877</v>
          </cell>
          <cell r="Q26">
            <v>922</v>
          </cell>
          <cell r="R26">
            <v>375</v>
          </cell>
          <cell r="S26">
            <v>750</v>
          </cell>
          <cell r="T26">
            <v>30</v>
          </cell>
          <cell r="U26">
            <v>0</v>
          </cell>
          <cell r="V26">
            <v>1155</v>
          </cell>
          <cell r="W26">
            <v>0</v>
          </cell>
          <cell r="X26">
            <v>0</v>
          </cell>
          <cell r="Y26">
            <v>0</v>
          </cell>
          <cell r="Z26">
            <v>0</v>
          </cell>
          <cell r="AA26">
            <v>800</v>
          </cell>
          <cell r="AB26">
            <v>0</v>
          </cell>
          <cell r="AC26">
            <v>0</v>
          </cell>
          <cell r="AD26">
            <v>800</v>
          </cell>
          <cell r="AE26">
            <v>0</v>
          </cell>
          <cell r="AF26">
            <v>0</v>
          </cell>
          <cell r="AG26">
            <v>0</v>
          </cell>
          <cell r="AH26">
            <v>0</v>
          </cell>
          <cell r="AI26">
            <v>0</v>
          </cell>
          <cell r="AJ26">
            <v>0</v>
          </cell>
          <cell r="AK26">
            <v>800</v>
          </cell>
        </row>
        <row r="27">
          <cell r="A27" t="str">
            <v>ü</v>
          </cell>
          <cell r="B27" t="str">
            <v>ü</v>
          </cell>
          <cell r="F27" t="str">
            <v>Hardee</v>
          </cell>
          <cell r="G27">
            <v>1920</v>
          </cell>
          <cell r="H27" t="str">
            <v>Q1</v>
          </cell>
          <cell r="I27" t="str">
            <v>Jul-Aug-Sep</v>
          </cell>
          <cell r="J27">
            <v>7965.0524293560666</v>
          </cell>
          <cell r="K27">
            <v>1695.0075706439331</v>
          </cell>
          <cell r="L27">
            <v>9780</v>
          </cell>
          <cell r="M27">
            <v>9660.06</v>
          </cell>
          <cell r="N27">
            <v>119.94</v>
          </cell>
          <cell r="O27" t="str">
            <v>Unexpended</v>
          </cell>
          <cell r="P27">
            <v>9780</v>
          </cell>
          <cell r="Q27">
            <v>7425</v>
          </cell>
          <cell r="R27">
            <v>565</v>
          </cell>
          <cell r="S27">
            <v>125</v>
          </cell>
          <cell r="T27">
            <v>360</v>
          </cell>
          <cell r="U27">
            <v>0</v>
          </cell>
          <cell r="V27">
            <v>1050</v>
          </cell>
          <cell r="W27">
            <v>585</v>
          </cell>
          <cell r="X27">
            <v>0</v>
          </cell>
          <cell r="Y27">
            <v>0</v>
          </cell>
          <cell r="Z27">
            <v>585</v>
          </cell>
          <cell r="AA27">
            <v>720</v>
          </cell>
          <cell r="AB27">
            <v>0</v>
          </cell>
          <cell r="AC27">
            <v>0</v>
          </cell>
          <cell r="AD27">
            <v>720</v>
          </cell>
          <cell r="AE27">
            <v>0</v>
          </cell>
          <cell r="AF27">
            <v>0</v>
          </cell>
          <cell r="AG27">
            <v>0</v>
          </cell>
          <cell r="AH27">
            <v>0</v>
          </cell>
          <cell r="AI27">
            <v>0</v>
          </cell>
          <cell r="AJ27">
            <v>0</v>
          </cell>
          <cell r="AK27">
            <v>1305</v>
          </cell>
        </row>
        <row r="28">
          <cell r="A28" t="str">
            <v>ü</v>
          </cell>
          <cell r="B28" t="str">
            <v>ü</v>
          </cell>
          <cell r="F28" t="str">
            <v>Hendry</v>
          </cell>
          <cell r="G28">
            <v>1920</v>
          </cell>
          <cell r="H28" t="str">
            <v>Q1</v>
          </cell>
          <cell r="I28" t="str">
            <v>Jul-Aug-Sep</v>
          </cell>
          <cell r="J28">
            <v>13350.614739494851</v>
          </cell>
          <cell r="K28">
            <v>2841.0852605051496</v>
          </cell>
          <cell r="L28">
            <v>14460</v>
          </cell>
          <cell r="M28">
            <v>16191.7</v>
          </cell>
          <cell r="N28">
            <v>-1731.7</v>
          </cell>
          <cell r="O28" t="str">
            <v>Insufficient</v>
          </cell>
          <cell r="P28">
            <v>14460</v>
          </cell>
          <cell r="Q28">
            <v>8500</v>
          </cell>
          <cell r="R28">
            <v>2225</v>
          </cell>
          <cell r="S28">
            <v>85</v>
          </cell>
          <cell r="T28">
            <v>100</v>
          </cell>
          <cell r="U28">
            <v>0</v>
          </cell>
          <cell r="V28">
            <v>2410</v>
          </cell>
          <cell r="W28">
            <v>3500</v>
          </cell>
          <cell r="X28">
            <v>0</v>
          </cell>
          <cell r="Y28">
            <v>0</v>
          </cell>
          <cell r="Z28">
            <v>3500</v>
          </cell>
          <cell r="AA28">
            <v>0</v>
          </cell>
          <cell r="AB28">
            <v>0</v>
          </cell>
          <cell r="AC28">
            <v>0</v>
          </cell>
          <cell r="AD28">
            <v>0</v>
          </cell>
          <cell r="AE28">
            <v>50</v>
          </cell>
          <cell r="AF28">
            <v>0</v>
          </cell>
          <cell r="AG28">
            <v>0</v>
          </cell>
          <cell r="AH28">
            <v>0</v>
          </cell>
          <cell r="AI28">
            <v>50</v>
          </cell>
          <cell r="AJ28">
            <v>0</v>
          </cell>
          <cell r="AK28">
            <v>3550</v>
          </cell>
        </row>
        <row r="29">
          <cell r="A29" t="str">
            <v>ü</v>
          </cell>
          <cell r="B29" t="str">
            <v>ü</v>
          </cell>
          <cell r="F29" t="str">
            <v>Hernando</v>
          </cell>
          <cell r="G29">
            <v>1920</v>
          </cell>
          <cell r="H29" t="str">
            <v>Q1</v>
          </cell>
          <cell r="I29" t="str">
            <v>Jul-Aug-Sep</v>
          </cell>
          <cell r="J29">
            <v>37835.726439150996</v>
          </cell>
          <cell r="K29">
            <v>8051.6535608490012</v>
          </cell>
          <cell r="L29">
            <v>47630</v>
          </cell>
          <cell r="M29">
            <v>45887.38</v>
          </cell>
          <cell r="N29">
            <v>1742.62</v>
          </cell>
          <cell r="O29" t="str">
            <v>Unexpended</v>
          </cell>
          <cell r="P29">
            <v>47630</v>
          </cell>
          <cell r="Q29">
            <v>28100</v>
          </cell>
          <cell r="R29">
            <v>8000</v>
          </cell>
          <cell r="S29">
            <v>730</v>
          </cell>
          <cell r="T29">
            <v>440</v>
          </cell>
          <cell r="U29">
            <v>0</v>
          </cell>
          <cell r="V29">
            <v>9170</v>
          </cell>
          <cell r="W29">
            <v>9420</v>
          </cell>
          <cell r="X29">
            <v>0</v>
          </cell>
          <cell r="Y29">
            <v>0</v>
          </cell>
          <cell r="Z29">
            <v>9420</v>
          </cell>
          <cell r="AA29">
            <v>0</v>
          </cell>
          <cell r="AB29">
            <v>0</v>
          </cell>
          <cell r="AC29">
            <v>0</v>
          </cell>
          <cell r="AD29">
            <v>0</v>
          </cell>
          <cell r="AE29">
            <v>0</v>
          </cell>
          <cell r="AF29">
            <v>940</v>
          </cell>
          <cell r="AG29">
            <v>0</v>
          </cell>
          <cell r="AH29">
            <v>0</v>
          </cell>
          <cell r="AI29">
            <v>940</v>
          </cell>
          <cell r="AJ29">
            <v>0</v>
          </cell>
          <cell r="AK29">
            <v>10360</v>
          </cell>
        </row>
        <row r="30">
          <cell r="A30" t="str">
            <v>ü</v>
          </cell>
          <cell r="B30" t="str">
            <v>ü</v>
          </cell>
          <cell r="F30" t="str">
            <v>Highlands</v>
          </cell>
          <cell r="G30">
            <v>1920</v>
          </cell>
          <cell r="H30" t="str">
            <v>Q1</v>
          </cell>
          <cell r="I30" t="str">
            <v>Jul-Aug-Sep</v>
          </cell>
          <cell r="J30">
            <v>17479.660729070409</v>
          </cell>
          <cell r="K30">
            <v>3719.769270929592</v>
          </cell>
          <cell r="L30">
            <v>22400</v>
          </cell>
          <cell r="M30">
            <v>21199.43</v>
          </cell>
          <cell r="N30">
            <v>1200.57</v>
          </cell>
          <cell r="O30" t="str">
            <v>Unexpended</v>
          </cell>
          <cell r="P30">
            <v>22400</v>
          </cell>
          <cell r="Q30">
            <v>15550</v>
          </cell>
          <cell r="R30">
            <v>1500</v>
          </cell>
          <cell r="S30">
            <v>400</v>
          </cell>
          <cell r="T30">
            <v>75</v>
          </cell>
          <cell r="U30">
            <v>225</v>
          </cell>
          <cell r="V30">
            <v>2200</v>
          </cell>
          <cell r="W30">
            <v>3000</v>
          </cell>
          <cell r="X30">
            <v>500</v>
          </cell>
          <cell r="Y30">
            <v>0</v>
          </cell>
          <cell r="Z30">
            <v>3500</v>
          </cell>
          <cell r="AA30">
            <v>650</v>
          </cell>
          <cell r="AB30">
            <v>0</v>
          </cell>
          <cell r="AC30">
            <v>0</v>
          </cell>
          <cell r="AD30">
            <v>650</v>
          </cell>
          <cell r="AE30">
            <v>0</v>
          </cell>
          <cell r="AF30">
            <v>0</v>
          </cell>
          <cell r="AG30">
            <v>0</v>
          </cell>
          <cell r="AH30">
            <v>500</v>
          </cell>
          <cell r="AI30">
            <v>500</v>
          </cell>
          <cell r="AK30">
            <v>4650</v>
          </cell>
        </row>
        <row r="31">
          <cell r="A31" t="str">
            <v>ü</v>
          </cell>
          <cell r="B31" t="str">
            <v>ü</v>
          </cell>
          <cell r="F31" t="str">
            <v>Hillsborough</v>
          </cell>
          <cell r="G31">
            <v>1920</v>
          </cell>
          <cell r="H31" t="str">
            <v>Q1</v>
          </cell>
          <cell r="I31" t="str">
            <v>Jul-Aug-Sep</v>
          </cell>
          <cell r="J31">
            <v>106694.76011108368</v>
          </cell>
          <cell r="K31">
            <v>22705.239888916316</v>
          </cell>
          <cell r="L31">
            <v>129400</v>
          </cell>
          <cell r="M31">
            <v>129400</v>
          </cell>
          <cell r="N31">
            <v>0</v>
          </cell>
          <cell r="O31" t="str">
            <v>Insufficient</v>
          </cell>
          <cell r="P31">
            <v>129400</v>
          </cell>
          <cell r="Q31">
            <v>50000</v>
          </cell>
          <cell r="R31">
            <v>11000</v>
          </cell>
          <cell r="S31">
            <v>5100</v>
          </cell>
          <cell r="T31">
            <v>1900</v>
          </cell>
          <cell r="U31">
            <v>0</v>
          </cell>
          <cell r="V31">
            <v>18000</v>
          </cell>
          <cell r="W31">
            <v>48300</v>
          </cell>
          <cell r="X31">
            <v>8400</v>
          </cell>
          <cell r="Y31">
            <v>0</v>
          </cell>
          <cell r="Z31">
            <v>56700</v>
          </cell>
          <cell r="AA31">
            <v>1500</v>
          </cell>
          <cell r="AB31">
            <v>1800</v>
          </cell>
          <cell r="AC31">
            <v>0</v>
          </cell>
          <cell r="AD31">
            <v>3300</v>
          </cell>
          <cell r="AE31">
            <v>0</v>
          </cell>
          <cell r="AF31">
            <v>1400</v>
          </cell>
          <cell r="AG31">
            <v>0</v>
          </cell>
          <cell r="AH31">
            <v>0</v>
          </cell>
          <cell r="AI31">
            <v>1400</v>
          </cell>
          <cell r="AJ31">
            <v>0</v>
          </cell>
          <cell r="AK31">
            <v>61400</v>
          </cell>
        </row>
        <row r="32">
          <cell r="A32" t="str">
            <v>ü</v>
          </cell>
          <cell r="B32" t="str">
            <v>ü</v>
          </cell>
          <cell r="F32" t="str">
            <v>Holmes</v>
          </cell>
          <cell r="G32">
            <v>1920</v>
          </cell>
          <cell r="H32" t="str">
            <v>Q1</v>
          </cell>
          <cell r="I32" t="str">
            <v>Jul-Aug-Sep</v>
          </cell>
          <cell r="J32">
            <v>4775.4150494386231</v>
          </cell>
          <cell r="K32">
            <v>1016.234950561377</v>
          </cell>
          <cell r="L32">
            <v>5536</v>
          </cell>
          <cell r="M32">
            <v>5791.65</v>
          </cell>
          <cell r="N32">
            <v>-255.65</v>
          </cell>
          <cell r="O32" t="str">
            <v>Insufficient</v>
          </cell>
          <cell r="P32">
            <v>5536</v>
          </cell>
          <cell r="Q32">
            <v>3510</v>
          </cell>
          <cell r="R32">
            <v>188</v>
          </cell>
          <cell r="S32">
            <v>0</v>
          </cell>
          <cell r="T32">
            <v>0</v>
          </cell>
          <cell r="U32">
            <v>0</v>
          </cell>
          <cell r="V32">
            <v>188</v>
          </cell>
          <cell r="W32">
            <v>938</v>
          </cell>
          <cell r="X32">
            <v>0</v>
          </cell>
          <cell r="Y32">
            <v>0</v>
          </cell>
          <cell r="Z32">
            <v>938</v>
          </cell>
          <cell r="AA32">
            <v>900</v>
          </cell>
          <cell r="AB32">
            <v>0</v>
          </cell>
          <cell r="AC32">
            <v>0</v>
          </cell>
          <cell r="AD32">
            <v>900</v>
          </cell>
          <cell r="AE32">
            <v>0</v>
          </cell>
          <cell r="AF32">
            <v>0</v>
          </cell>
          <cell r="AG32">
            <v>0</v>
          </cell>
          <cell r="AH32">
            <v>0</v>
          </cell>
          <cell r="AI32">
            <v>0</v>
          </cell>
          <cell r="AJ32">
            <v>0</v>
          </cell>
          <cell r="AK32">
            <v>1838</v>
          </cell>
        </row>
        <row r="33">
          <cell r="A33" t="str">
            <v>ü</v>
          </cell>
          <cell r="B33" t="str">
            <v>ü</v>
          </cell>
          <cell r="F33" t="str">
            <v>Indian River</v>
          </cell>
          <cell r="G33">
            <v>1920</v>
          </cell>
          <cell r="H33" t="str">
            <v>Q1</v>
          </cell>
          <cell r="I33" t="str">
            <v>Jul-Aug-Sep</v>
          </cell>
          <cell r="J33">
            <v>57013.449941544182</v>
          </cell>
          <cell r="K33">
            <v>12132.780058455812</v>
          </cell>
          <cell r="L33">
            <v>44841</v>
          </cell>
          <cell r="M33">
            <v>69146.23</v>
          </cell>
          <cell r="N33">
            <v>-24305.23</v>
          </cell>
          <cell r="O33" t="str">
            <v>Insufficient</v>
          </cell>
          <cell r="P33">
            <v>44841</v>
          </cell>
          <cell r="Q33">
            <v>25059</v>
          </cell>
          <cell r="R33">
            <v>3000</v>
          </cell>
          <cell r="S33">
            <v>2000</v>
          </cell>
          <cell r="T33">
            <v>291</v>
          </cell>
          <cell r="U33">
            <v>591</v>
          </cell>
          <cell r="V33">
            <v>5882</v>
          </cell>
          <cell r="W33">
            <v>10800</v>
          </cell>
          <cell r="X33">
            <v>3000</v>
          </cell>
          <cell r="Y33">
            <v>0</v>
          </cell>
          <cell r="Z33">
            <v>13800</v>
          </cell>
          <cell r="AA33">
            <v>0</v>
          </cell>
          <cell r="AB33">
            <v>0</v>
          </cell>
          <cell r="AC33">
            <v>0</v>
          </cell>
          <cell r="AD33">
            <v>0</v>
          </cell>
          <cell r="AE33">
            <v>0</v>
          </cell>
          <cell r="AF33">
            <v>100</v>
          </cell>
          <cell r="AG33">
            <v>0</v>
          </cell>
          <cell r="AH33">
            <v>0</v>
          </cell>
          <cell r="AI33">
            <v>100</v>
          </cell>
          <cell r="AJ33">
            <v>0</v>
          </cell>
          <cell r="AK33">
            <v>13900</v>
          </cell>
        </row>
        <row r="34">
          <cell r="A34" t="str">
            <v>ü</v>
          </cell>
          <cell r="B34" t="str">
            <v>ü</v>
          </cell>
          <cell r="F34" t="str">
            <v>Jackson</v>
          </cell>
          <cell r="G34">
            <v>1920</v>
          </cell>
          <cell r="H34" t="str">
            <v>Q1</v>
          </cell>
          <cell r="I34" t="str">
            <v>Jul-Aug-Sep</v>
          </cell>
          <cell r="J34">
            <v>11353.056311495493</v>
          </cell>
          <cell r="K34">
            <v>2415.9936885045067</v>
          </cell>
          <cell r="L34">
            <v>12160</v>
          </cell>
          <cell r="M34">
            <v>13769.05</v>
          </cell>
          <cell r="N34">
            <v>-1609.05</v>
          </cell>
          <cell r="O34" t="str">
            <v>Insufficient</v>
          </cell>
          <cell r="P34">
            <v>12160</v>
          </cell>
          <cell r="Q34">
            <v>5430</v>
          </cell>
          <cell r="R34">
            <v>700</v>
          </cell>
          <cell r="S34">
            <v>0</v>
          </cell>
          <cell r="T34">
            <v>1200</v>
          </cell>
          <cell r="U34">
            <v>0</v>
          </cell>
          <cell r="V34">
            <v>1900</v>
          </cell>
          <cell r="W34">
            <v>4050</v>
          </cell>
          <cell r="X34">
            <v>450</v>
          </cell>
          <cell r="Y34">
            <v>0</v>
          </cell>
          <cell r="Z34">
            <v>4500</v>
          </cell>
          <cell r="AA34">
            <v>330</v>
          </cell>
          <cell r="AB34">
            <v>0</v>
          </cell>
          <cell r="AC34">
            <v>0</v>
          </cell>
          <cell r="AD34">
            <v>330</v>
          </cell>
          <cell r="AE34">
            <v>0</v>
          </cell>
          <cell r="AF34">
            <v>0</v>
          </cell>
          <cell r="AG34">
            <v>0</v>
          </cell>
          <cell r="AH34">
            <v>0</v>
          </cell>
          <cell r="AI34">
            <v>0</v>
          </cell>
          <cell r="AJ34">
            <v>0</v>
          </cell>
          <cell r="AK34">
            <v>4830</v>
          </cell>
        </row>
        <row r="35">
          <cell r="A35" t="str">
            <v>ü</v>
          </cell>
          <cell r="B35" t="str">
            <v>ü</v>
          </cell>
          <cell r="F35" t="str">
            <v>Jefferson</v>
          </cell>
          <cell r="G35">
            <v>1920</v>
          </cell>
          <cell r="H35" t="str">
            <v>Q1</v>
          </cell>
          <cell r="I35" t="str">
            <v>Jul-Aug-Sep</v>
          </cell>
          <cell r="J35">
            <v>9622.877920658595</v>
          </cell>
          <cell r="K35">
            <v>2047.8020793414055</v>
          </cell>
          <cell r="L35">
            <v>12587</v>
          </cell>
          <cell r="M35">
            <v>11670.68</v>
          </cell>
          <cell r="N35">
            <v>916.32</v>
          </cell>
          <cell r="O35" t="str">
            <v>Unexpended</v>
          </cell>
          <cell r="P35">
            <v>12587</v>
          </cell>
          <cell r="Q35">
            <v>6837</v>
          </cell>
          <cell r="R35">
            <v>250</v>
          </cell>
          <cell r="S35">
            <v>0</v>
          </cell>
          <cell r="T35">
            <v>0</v>
          </cell>
          <cell r="U35">
            <v>0</v>
          </cell>
          <cell r="V35">
            <v>250</v>
          </cell>
          <cell r="W35">
            <v>4500</v>
          </cell>
          <cell r="X35">
            <v>0</v>
          </cell>
          <cell r="Y35">
            <v>0</v>
          </cell>
          <cell r="Z35">
            <v>4500</v>
          </cell>
          <cell r="AA35">
            <v>0</v>
          </cell>
          <cell r="AB35">
            <v>0</v>
          </cell>
          <cell r="AC35">
            <v>0</v>
          </cell>
          <cell r="AD35">
            <v>0</v>
          </cell>
          <cell r="AE35">
            <v>0</v>
          </cell>
          <cell r="AF35">
            <v>0</v>
          </cell>
          <cell r="AG35">
            <v>1000</v>
          </cell>
          <cell r="AH35">
            <v>0</v>
          </cell>
          <cell r="AI35">
            <v>1000</v>
          </cell>
          <cell r="AJ35">
            <v>0</v>
          </cell>
          <cell r="AK35">
            <v>5500</v>
          </cell>
        </row>
        <row r="36">
          <cell r="A36" t="str">
            <v>ü</v>
          </cell>
          <cell r="B36" t="str">
            <v>ü</v>
          </cell>
          <cell r="F36" t="str">
            <v>Lafayette</v>
          </cell>
          <cell r="G36">
            <v>1920</v>
          </cell>
          <cell r="H36" t="str">
            <v>Q1</v>
          </cell>
          <cell r="I36" t="str">
            <v>Jul-Aug-Sep</v>
          </cell>
          <cell r="J36">
            <v>0</v>
          </cell>
          <cell r="K36">
            <v>0</v>
          </cell>
          <cell r="L36">
            <v>1503</v>
          </cell>
          <cell r="M36">
            <v>0</v>
          </cell>
          <cell r="N36">
            <v>2134.91</v>
          </cell>
          <cell r="O36" t="str">
            <v>Unexpended</v>
          </cell>
          <cell r="P36">
            <v>1503</v>
          </cell>
          <cell r="Q36">
            <v>1200</v>
          </cell>
          <cell r="R36">
            <v>75</v>
          </cell>
          <cell r="S36">
            <v>39</v>
          </cell>
          <cell r="T36">
            <v>9</v>
          </cell>
          <cell r="U36">
            <v>0</v>
          </cell>
          <cell r="V36">
            <v>123</v>
          </cell>
          <cell r="W36">
            <v>0</v>
          </cell>
          <cell r="X36">
            <v>0</v>
          </cell>
          <cell r="Y36">
            <v>0</v>
          </cell>
          <cell r="Z36">
            <v>0</v>
          </cell>
          <cell r="AA36">
            <v>180</v>
          </cell>
          <cell r="AB36">
            <v>0</v>
          </cell>
          <cell r="AC36">
            <v>0</v>
          </cell>
          <cell r="AD36">
            <v>180</v>
          </cell>
          <cell r="AE36">
            <v>0</v>
          </cell>
          <cell r="AF36">
            <v>0</v>
          </cell>
          <cell r="AG36">
            <v>0</v>
          </cell>
          <cell r="AH36">
            <v>0</v>
          </cell>
          <cell r="AI36">
            <v>0</v>
          </cell>
          <cell r="AJ36">
            <v>0</v>
          </cell>
          <cell r="AK36">
            <v>180</v>
          </cell>
        </row>
        <row r="37">
          <cell r="A37" t="str">
            <v>ü</v>
          </cell>
          <cell r="B37" t="str">
            <v>ü</v>
          </cell>
          <cell r="F37" t="str">
            <v>Lake</v>
          </cell>
          <cell r="G37">
            <v>1920</v>
          </cell>
          <cell r="H37" t="str">
            <v>Q1</v>
          </cell>
          <cell r="I37" t="str">
            <v>Jul-Aug-Sep</v>
          </cell>
          <cell r="J37">
            <v>45233.29302116199</v>
          </cell>
          <cell r="K37">
            <v>9625.8969788380145</v>
          </cell>
          <cell r="L37">
            <v>62024</v>
          </cell>
          <cell r="M37">
            <v>54859.19</v>
          </cell>
          <cell r="N37">
            <v>7164.81</v>
          </cell>
          <cell r="O37" t="str">
            <v>Unexpended</v>
          </cell>
          <cell r="P37">
            <v>62024</v>
          </cell>
          <cell r="Q37">
            <v>40929</v>
          </cell>
          <cell r="R37">
            <v>5750</v>
          </cell>
          <cell r="S37">
            <v>0</v>
          </cell>
          <cell r="T37">
            <v>1863</v>
          </cell>
          <cell r="U37">
            <v>357</v>
          </cell>
          <cell r="V37">
            <v>7970</v>
          </cell>
          <cell r="W37">
            <v>0</v>
          </cell>
          <cell r="X37">
            <v>0</v>
          </cell>
          <cell r="Y37">
            <v>12000</v>
          </cell>
          <cell r="Z37">
            <v>12000</v>
          </cell>
          <cell r="AA37">
            <v>0</v>
          </cell>
          <cell r="AB37">
            <v>0</v>
          </cell>
          <cell r="AC37">
            <v>0</v>
          </cell>
          <cell r="AD37">
            <v>0</v>
          </cell>
          <cell r="AE37">
            <v>0</v>
          </cell>
          <cell r="AF37">
            <v>1125</v>
          </cell>
          <cell r="AG37">
            <v>0</v>
          </cell>
          <cell r="AH37">
            <v>0</v>
          </cell>
          <cell r="AI37">
            <v>1125</v>
          </cell>
          <cell r="AJ37">
            <v>0</v>
          </cell>
          <cell r="AK37">
            <v>13125</v>
          </cell>
        </row>
        <row r="38">
          <cell r="A38" t="str">
            <v>ü</v>
          </cell>
          <cell r="B38" t="str">
            <v>ü</v>
          </cell>
          <cell r="F38" t="str">
            <v>Lee</v>
          </cell>
          <cell r="G38">
            <v>1920</v>
          </cell>
          <cell r="H38" t="str">
            <v>Q1</v>
          </cell>
          <cell r="I38" t="str">
            <v>Jul-Aug-Sep</v>
          </cell>
          <cell r="J38">
            <v>54504.474009998463</v>
          </cell>
          <cell r="K38">
            <v>11598.855990001535</v>
          </cell>
          <cell r="L38">
            <v>70697</v>
          </cell>
          <cell r="M38">
            <v>66103.33</v>
          </cell>
          <cell r="N38">
            <v>4593.67</v>
          </cell>
          <cell r="O38" t="str">
            <v>Unexpended</v>
          </cell>
          <cell r="P38">
            <v>70697</v>
          </cell>
          <cell r="Q38">
            <v>36182</v>
          </cell>
          <cell r="R38">
            <v>15250</v>
          </cell>
          <cell r="S38">
            <v>9200</v>
          </cell>
          <cell r="T38">
            <v>250</v>
          </cell>
          <cell r="U38">
            <v>0</v>
          </cell>
          <cell r="V38">
            <v>24700</v>
          </cell>
          <cell r="W38">
            <v>4365</v>
          </cell>
          <cell r="X38">
            <v>3360</v>
          </cell>
          <cell r="Y38">
            <v>0</v>
          </cell>
          <cell r="Z38">
            <v>7725</v>
          </cell>
          <cell r="AA38">
            <v>1110</v>
          </cell>
          <cell r="AB38">
            <v>0</v>
          </cell>
          <cell r="AC38">
            <v>0</v>
          </cell>
          <cell r="AD38">
            <v>1110</v>
          </cell>
          <cell r="AE38">
            <v>0</v>
          </cell>
          <cell r="AF38">
            <v>980</v>
          </cell>
          <cell r="AG38">
            <v>0</v>
          </cell>
          <cell r="AH38">
            <v>0</v>
          </cell>
          <cell r="AI38">
            <v>980</v>
          </cell>
          <cell r="AJ38">
            <v>0</v>
          </cell>
          <cell r="AK38">
            <v>9815</v>
          </cell>
        </row>
        <row r="39">
          <cell r="A39" t="str">
            <v>ü</v>
          </cell>
          <cell r="B39" t="str">
            <v>ü</v>
          </cell>
          <cell r="F39" t="str">
            <v>Leon</v>
          </cell>
          <cell r="G39">
            <v>1920</v>
          </cell>
          <cell r="H39" t="str">
            <v>Q1</v>
          </cell>
          <cell r="I39" t="str">
            <v>Jul-Aug-Sep</v>
          </cell>
          <cell r="J39">
            <v>71344.048631849131</v>
          </cell>
          <cell r="K39">
            <v>15182.411368150864</v>
          </cell>
          <cell r="L39">
            <v>63897</v>
          </cell>
          <cell r="M39">
            <v>86526.459999999992</v>
          </cell>
          <cell r="N39">
            <v>-22629.46</v>
          </cell>
          <cell r="O39" t="str">
            <v>Insufficient</v>
          </cell>
          <cell r="P39">
            <v>63897</v>
          </cell>
          <cell r="Q39">
            <v>43667</v>
          </cell>
          <cell r="R39">
            <v>0</v>
          </cell>
          <cell r="S39">
            <v>0</v>
          </cell>
          <cell r="T39">
            <v>0</v>
          </cell>
          <cell r="U39">
            <v>0</v>
          </cell>
          <cell r="V39">
            <v>0</v>
          </cell>
          <cell r="W39">
            <v>14850</v>
          </cell>
          <cell r="X39">
            <v>4980</v>
          </cell>
          <cell r="Y39">
            <v>0</v>
          </cell>
          <cell r="Z39">
            <v>19830</v>
          </cell>
          <cell r="AA39">
            <v>0</v>
          </cell>
          <cell r="AB39">
            <v>0</v>
          </cell>
          <cell r="AC39">
            <v>0</v>
          </cell>
          <cell r="AD39">
            <v>0</v>
          </cell>
          <cell r="AE39">
            <v>0</v>
          </cell>
          <cell r="AF39">
            <v>400</v>
          </cell>
          <cell r="AG39">
            <v>0</v>
          </cell>
          <cell r="AH39">
            <v>0</v>
          </cell>
          <cell r="AI39">
            <v>400</v>
          </cell>
          <cell r="AJ39">
            <v>0</v>
          </cell>
          <cell r="AK39">
            <v>20230</v>
          </cell>
        </row>
        <row r="40">
          <cell r="A40" t="str">
            <v>ü</v>
          </cell>
          <cell r="B40" t="str">
            <v>ü</v>
          </cell>
          <cell r="F40" t="str">
            <v>Levy</v>
          </cell>
          <cell r="G40">
            <v>1920</v>
          </cell>
          <cell r="H40" t="str">
            <v>Q1</v>
          </cell>
          <cell r="I40" t="str">
            <v>Jul-Aug-Sep</v>
          </cell>
          <cell r="J40">
            <v>19713.200921704942</v>
          </cell>
          <cell r="K40">
            <v>4195.0790782950553</v>
          </cell>
          <cell r="L40">
            <v>17135</v>
          </cell>
          <cell r="M40">
            <v>23908.28</v>
          </cell>
          <cell r="N40">
            <v>-6773.28</v>
          </cell>
          <cell r="O40" t="str">
            <v>Insufficient</v>
          </cell>
          <cell r="P40">
            <v>17135</v>
          </cell>
          <cell r="Q40">
            <v>13000</v>
          </cell>
          <cell r="R40">
            <v>800</v>
          </cell>
          <cell r="S40">
            <v>65</v>
          </cell>
          <cell r="T40">
            <v>150</v>
          </cell>
          <cell r="U40">
            <v>0</v>
          </cell>
          <cell r="V40">
            <v>1015</v>
          </cell>
          <cell r="W40">
            <v>2460</v>
          </cell>
          <cell r="X40">
            <v>360</v>
          </cell>
          <cell r="Y40">
            <v>0</v>
          </cell>
          <cell r="Z40">
            <v>2820</v>
          </cell>
          <cell r="AA40">
            <v>0</v>
          </cell>
          <cell r="AB40">
            <v>0</v>
          </cell>
          <cell r="AC40">
            <v>0</v>
          </cell>
          <cell r="AD40">
            <v>0</v>
          </cell>
          <cell r="AE40">
            <v>0</v>
          </cell>
          <cell r="AF40">
            <v>300</v>
          </cell>
          <cell r="AG40">
            <v>0</v>
          </cell>
          <cell r="AH40">
            <v>0</v>
          </cell>
          <cell r="AI40">
            <v>300</v>
          </cell>
          <cell r="AJ40">
            <v>0</v>
          </cell>
          <cell r="AK40">
            <v>3120</v>
          </cell>
        </row>
        <row r="41">
          <cell r="A41" t="str">
            <v>ü</v>
          </cell>
          <cell r="B41" t="str">
            <v>ü</v>
          </cell>
          <cell r="F41" t="str">
            <v>Liberty</v>
          </cell>
          <cell r="G41">
            <v>1920</v>
          </cell>
          <cell r="H41" t="str">
            <v>Q1</v>
          </cell>
          <cell r="I41" t="str">
            <v>Jul-Aug-Sep</v>
          </cell>
          <cell r="J41">
            <v>1595.3587600350183</v>
          </cell>
          <cell r="K41">
            <v>339.50123996498166</v>
          </cell>
          <cell r="L41">
            <v>2958</v>
          </cell>
          <cell r="M41">
            <v>1934.8600000000001</v>
          </cell>
          <cell r="N41">
            <v>1023.14</v>
          </cell>
          <cell r="O41" t="str">
            <v>Unexpended</v>
          </cell>
          <cell r="P41">
            <v>2958</v>
          </cell>
          <cell r="Q41">
            <v>1338</v>
          </cell>
          <cell r="R41">
            <v>350</v>
          </cell>
          <cell r="S41">
            <v>0</v>
          </cell>
          <cell r="T41">
            <v>0</v>
          </cell>
          <cell r="U41">
            <v>0</v>
          </cell>
          <cell r="V41">
            <v>350</v>
          </cell>
          <cell r="W41">
            <v>1230</v>
          </cell>
          <cell r="X41">
            <v>0</v>
          </cell>
          <cell r="Y41">
            <v>0</v>
          </cell>
          <cell r="Z41">
            <v>1230</v>
          </cell>
          <cell r="AA41">
            <v>0</v>
          </cell>
          <cell r="AB41">
            <v>0</v>
          </cell>
          <cell r="AC41">
            <v>0</v>
          </cell>
          <cell r="AD41">
            <v>0</v>
          </cell>
          <cell r="AE41">
            <v>0</v>
          </cell>
          <cell r="AF41">
            <v>0</v>
          </cell>
          <cell r="AG41">
            <v>0</v>
          </cell>
          <cell r="AH41">
            <v>40</v>
          </cell>
          <cell r="AI41">
            <v>40</v>
          </cell>
          <cell r="AJ41">
            <v>0</v>
          </cell>
          <cell r="AK41">
            <v>1270</v>
          </cell>
        </row>
        <row r="42">
          <cell r="A42" t="str">
            <v>ü</v>
          </cell>
          <cell r="B42" t="str">
            <v>ü</v>
          </cell>
          <cell r="F42" t="str">
            <v>Madison</v>
          </cell>
          <cell r="G42">
            <v>1920</v>
          </cell>
          <cell r="H42" t="str">
            <v>Q1</v>
          </cell>
          <cell r="I42" t="str">
            <v>Jul-Aug-Sep</v>
          </cell>
          <cell r="J42">
            <v>1081.0883672306595</v>
          </cell>
          <cell r="K42">
            <v>230.06163276934018</v>
          </cell>
          <cell r="L42">
            <v>5746</v>
          </cell>
          <cell r="M42">
            <v>1311.1499999999996</v>
          </cell>
          <cell r="N42">
            <v>4434.8500000000004</v>
          </cell>
          <cell r="O42" t="str">
            <v>Unexpended</v>
          </cell>
          <cell r="P42">
            <v>5746</v>
          </cell>
          <cell r="Q42">
            <v>1173</v>
          </cell>
          <cell r="R42">
            <v>370</v>
          </cell>
          <cell r="S42">
            <v>0</v>
          </cell>
          <cell r="T42">
            <v>183</v>
          </cell>
          <cell r="U42">
            <v>0</v>
          </cell>
          <cell r="V42">
            <v>553</v>
          </cell>
          <cell r="W42">
            <v>3705</v>
          </cell>
          <cell r="X42">
            <v>0</v>
          </cell>
          <cell r="Y42">
            <v>0</v>
          </cell>
          <cell r="Z42">
            <v>3705</v>
          </cell>
          <cell r="AA42">
            <v>315</v>
          </cell>
          <cell r="AB42">
            <v>0</v>
          </cell>
          <cell r="AC42">
            <v>0</v>
          </cell>
          <cell r="AD42">
            <v>315</v>
          </cell>
          <cell r="AE42">
            <v>0</v>
          </cell>
          <cell r="AF42">
            <v>0</v>
          </cell>
          <cell r="AG42">
            <v>0</v>
          </cell>
          <cell r="AH42">
            <v>0</v>
          </cell>
          <cell r="AI42">
            <v>0</v>
          </cell>
          <cell r="AJ42">
            <v>0</v>
          </cell>
          <cell r="AK42">
            <v>4020</v>
          </cell>
        </row>
        <row r="43">
          <cell r="A43" t="str">
            <v>ü</v>
          </cell>
          <cell r="B43" t="str">
            <v>ü</v>
          </cell>
          <cell r="F43" t="str">
            <v>Manatee</v>
          </cell>
          <cell r="G43">
            <v>1920</v>
          </cell>
          <cell r="H43" t="str">
            <v>Q1</v>
          </cell>
          <cell r="I43" t="str">
            <v>Jul-Aug-Sep</v>
          </cell>
          <cell r="J43">
            <v>35189.0450061667</v>
          </cell>
          <cell r="K43">
            <v>7488.4249938333032</v>
          </cell>
          <cell r="L43">
            <v>35698</v>
          </cell>
          <cell r="M43">
            <v>42677.47</v>
          </cell>
          <cell r="N43">
            <v>-6979.47</v>
          </cell>
          <cell r="O43" t="str">
            <v>Insufficient</v>
          </cell>
          <cell r="P43">
            <v>35698</v>
          </cell>
          <cell r="Q43">
            <v>13592</v>
          </cell>
          <cell r="R43">
            <v>0</v>
          </cell>
          <cell r="S43">
            <v>0</v>
          </cell>
          <cell r="T43">
            <v>132</v>
          </cell>
          <cell r="U43">
            <v>242</v>
          </cell>
          <cell r="V43">
            <v>374</v>
          </cell>
          <cell r="W43">
            <v>17951</v>
          </cell>
          <cell r="X43">
            <v>2414</v>
          </cell>
          <cell r="Y43">
            <v>0</v>
          </cell>
          <cell r="Z43">
            <v>20365</v>
          </cell>
          <cell r="AA43">
            <v>845</v>
          </cell>
          <cell r="AB43">
            <v>0</v>
          </cell>
          <cell r="AC43">
            <v>0</v>
          </cell>
          <cell r="AD43">
            <v>845</v>
          </cell>
          <cell r="AE43">
            <v>0</v>
          </cell>
          <cell r="AF43">
            <v>285</v>
          </cell>
          <cell r="AG43">
            <v>64</v>
          </cell>
          <cell r="AH43">
            <v>173</v>
          </cell>
          <cell r="AI43">
            <v>522</v>
          </cell>
          <cell r="AJ43">
            <v>0</v>
          </cell>
          <cell r="AK43">
            <v>21732</v>
          </cell>
        </row>
        <row r="44">
          <cell r="A44" t="str">
            <v>ü</v>
          </cell>
          <cell r="B44" t="str">
            <v>ü</v>
          </cell>
          <cell r="F44" t="str">
            <v>Marion</v>
          </cell>
          <cell r="G44">
            <v>1920</v>
          </cell>
          <cell r="H44" t="str">
            <v>Q1</v>
          </cell>
          <cell r="I44" t="str">
            <v>Jul-Aug-Sep</v>
          </cell>
          <cell r="J44">
            <v>89920.150559937436</v>
          </cell>
          <cell r="K44">
            <v>19135.509440062564</v>
          </cell>
          <cell r="L44">
            <v>64694</v>
          </cell>
          <cell r="M44">
            <v>109055.66</v>
          </cell>
          <cell r="N44">
            <v>-44361.66</v>
          </cell>
          <cell r="O44" t="str">
            <v>Insufficient</v>
          </cell>
          <cell r="P44">
            <v>64694</v>
          </cell>
          <cell r="Q44">
            <v>20889</v>
          </cell>
          <cell r="R44">
            <v>4371</v>
          </cell>
          <cell r="S44">
            <v>2385</v>
          </cell>
          <cell r="T44">
            <v>0</v>
          </cell>
          <cell r="U44">
            <v>0</v>
          </cell>
          <cell r="V44">
            <v>6756</v>
          </cell>
          <cell r="W44">
            <v>26595</v>
          </cell>
          <cell r="X44">
            <v>5190</v>
          </cell>
          <cell r="Y44">
            <v>0</v>
          </cell>
          <cell r="Z44">
            <v>31785</v>
          </cell>
          <cell r="AA44">
            <v>105</v>
          </cell>
          <cell r="AB44">
            <v>360</v>
          </cell>
          <cell r="AC44">
            <v>0</v>
          </cell>
          <cell r="AD44">
            <v>465</v>
          </cell>
          <cell r="AE44">
            <v>0</v>
          </cell>
          <cell r="AF44">
            <v>4799</v>
          </cell>
          <cell r="AG44">
            <v>0</v>
          </cell>
          <cell r="AH44">
            <v>0</v>
          </cell>
          <cell r="AI44">
            <v>4799</v>
          </cell>
          <cell r="AJ44">
            <v>0</v>
          </cell>
          <cell r="AK44">
            <v>37049</v>
          </cell>
        </row>
        <row r="45">
          <cell r="A45" t="str">
            <v>ü</v>
          </cell>
          <cell r="B45" t="str">
            <v>ü</v>
          </cell>
          <cell r="F45" t="str">
            <v>Martin</v>
          </cell>
          <cell r="G45">
            <v>1920</v>
          </cell>
          <cell r="H45" t="str">
            <v>Q1</v>
          </cell>
          <cell r="I45" t="str">
            <v>Jul-Aug-Sep</v>
          </cell>
          <cell r="J45">
            <v>30440.262420032464</v>
          </cell>
          <cell r="K45">
            <v>6477.8575799675373</v>
          </cell>
          <cell r="L45">
            <v>36756</v>
          </cell>
          <cell r="M45">
            <v>36918.120000000003</v>
          </cell>
          <cell r="N45">
            <v>-162.12</v>
          </cell>
          <cell r="O45" t="str">
            <v>Insufficient</v>
          </cell>
          <cell r="P45">
            <v>36756</v>
          </cell>
          <cell r="Q45">
            <v>20569</v>
          </cell>
          <cell r="R45">
            <v>2499</v>
          </cell>
          <cell r="S45">
            <v>884</v>
          </cell>
          <cell r="T45">
            <v>222</v>
          </cell>
          <cell r="U45">
            <v>37</v>
          </cell>
          <cell r="V45">
            <v>3642</v>
          </cell>
          <cell r="W45">
            <v>8585</v>
          </cell>
          <cell r="X45">
            <v>3550</v>
          </cell>
          <cell r="Y45">
            <v>0</v>
          </cell>
          <cell r="Z45">
            <v>12135</v>
          </cell>
          <cell r="AA45">
            <v>225</v>
          </cell>
          <cell r="AB45">
            <v>0</v>
          </cell>
          <cell r="AC45">
            <v>0</v>
          </cell>
          <cell r="AD45">
            <v>225</v>
          </cell>
          <cell r="AE45">
            <v>0</v>
          </cell>
          <cell r="AF45">
            <v>115</v>
          </cell>
          <cell r="AG45">
            <v>0</v>
          </cell>
          <cell r="AH45">
            <v>70</v>
          </cell>
          <cell r="AI45">
            <v>185</v>
          </cell>
          <cell r="AJ45">
            <v>0</v>
          </cell>
          <cell r="AK45">
            <v>12545</v>
          </cell>
        </row>
        <row r="46">
          <cell r="A46" t="str">
            <v>ü</v>
          </cell>
          <cell r="B46" t="str">
            <v>ü</v>
          </cell>
          <cell r="F46" t="str">
            <v>Miami-Dade</v>
          </cell>
          <cell r="G46">
            <v>1920</v>
          </cell>
          <cell r="H46" t="str">
            <v>Q1</v>
          </cell>
          <cell r="I46" t="str">
            <v>Jul-Aug-Sep</v>
          </cell>
          <cell r="J46">
            <v>231138.85319422022</v>
          </cell>
          <cell r="K46">
            <v>49187.636805779759</v>
          </cell>
          <cell r="L46">
            <v>278463</v>
          </cell>
          <cell r="M46">
            <v>280326.49</v>
          </cell>
          <cell r="N46">
            <v>-1863.49</v>
          </cell>
          <cell r="O46" t="str">
            <v>Insufficient</v>
          </cell>
          <cell r="P46">
            <v>278463</v>
          </cell>
          <cell r="Q46">
            <v>168963</v>
          </cell>
          <cell r="R46">
            <v>26005</v>
          </cell>
          <cell r="S46">
            <v>1400</v>
          </cell>
          <cell r="T46">
            <v>2550</v>
          </cell>
          <cell r="U46">
            <v>2706</v>
          </cell>
          <cell r="V46">
            <v>32661</v>
          </cell>
          <cell r="W46">
            <v>69528</v>
          </cell>
          <cell r="X46">
            <v>0</v>
          </cell>
          <cell r="Y46">
            <v>0</v>
          </cell>
          <cell r="Z46">
            <v>69528</v>
          </cell>
          <cell r="AA46">
            <v>0</v>
          </cell>
          <cell r="AB46">
            <v>0</v>
          </cell>
          <cell r="AC46">
            <v>0</v>
          </cell>
          <cell r="AD46">
            <v>0</v>
          </cell>
          <cell r="AE46">
            <v>0</v>
          </cell>
          <cell r="AF46">
            <v>3811</v>
          </cell>
          <cell r="AG46">
            <v>0</v>
          </cell>
          <cell r="AH46">
            <v>0</v>
          </cell>
          <cell r="AI46">
            <v>3811</v>
          </cell>
          <cell r="AJ46">
            <v>3500</v>
          </cell>
          <cell r="AK46">
            <v>76839</v>
          </cell>
        </row>
        <row r="47">
          <cell r="A47" t="str">
            <v>ü</v>
          </cell>
          <cell r="B47" t="str">
            <v>ü</v>
          </cell>
          <cell r="F47" t="str">
            <v>Monroe</v>
          </cell>
          <cell r="G47">
            <v>1920</v>
          </cell>
          <cell r="H47" t="str">
            <v>Q1</v>
          </cell>
          <cell r="I47" t="str">
            <v>Jul-Aug-Sep</v>
          </cell>
          <cell r="J47">
            <v>7360.5944564825395</v>
          </cell>
          <cell r="K47">
            <v>1566.3755435174596</v>
          </cell>
          <cell r="L47">
            <v>12605</v>
          </cell>
          <cell r="M47">
            <v>8926.9699999999993</v>
          </cell>
          <cell r="N47">
            <v>3678.03</v>
          </cell>
          <cell r="O47" t="str">
            <v>Unexpended</v>
          </cell>
          <cell r="P47">
            <v>12605</v>
          </cell>
          <cell r="Q47">
            <v>6027</v>
          </cell>
          <cell r="R47">
            <v>1070</v>
          </cell>
          <cell r="S47">
            <v>1967</v>
          </cell>
          <cell r="T47">
            <v>514</v>
          </cell>
          <cell r="U47">
            <v>204</v>
          </cell>
          <cell r="V47">
            <v>3755</v>
          </cell>
          <cell r="W47">
            <v>2585</v>
          </cell>
          <cell r="X47">
            <v>0</v>
          </cell>
          <cell r="Y47">
            <v>0</v>
          </cell>
          <cell r="Z47">
            <v>2585</v>
          </cell>
          <cell r="AA47">
            <v>0</v>
          </cell>
          <cell r="AB47">
            <v>0</v>
          </cell>
          <cell r="AC47">
            <v>0</v>
          </cell>
          <cell r="AD47">
            <v>0</v>
          </cell>
          <cell r="AE47">
            <v>238</v>
          </cell>
          <cell r="AF47">
            <v>0</v>
          </cell>
          <cell r="AG47">
            <v>0</v>
          </cell>
          <cell r="AH47">
            <v>0</v>
          </cell>
          <cell r="AI47">
            <v>238</v>
          </cell>
          <cell r="AJ47">
            <v>0</v>
          </cell>
          <cell r="AK47">
            <v>2823</v>
          </cell>
        </row>
        <row r="48">
          <cell r="A48" t="str">
            <v>ü</v>
          </cell>
          <cell r="B48" t="str">
            <v>ü</v>
          </cell>
          <cell r="F48" t="str">
            <v>Nassau</v>
          </cell>
          <cell r="G48">
            <v>1920</v>
          </cell>
          <cell r="H48" t="str">
            <v>Q1</v>
          </cell>
          <cell r="I48" t="str">
            <v>Jul-Aug-Sep</v>
          </cell>
          <cell r="J48">
            <v>26632.323133530019</v>
          </cell>
          <cell r="K48">
            <v>5667.5068664699838</v>
          </cell>
          <cell r="L48">
            <v>21773</v>
          </cell>
          <cell r="M48">
            <v>32299.83</v>
          </cell>
          <cell r="N48">
            <v>-10526.83</v>
          </cell>
          <cell r="O48" t="str">
            <v>Insufficient</v>
          </cell>
          <cell r="P48">
            <v>21773</v>
          </cell>
          <cell r="Q48">
            <v>17331</v>
          </cell>
          <cell r="R48">
            <v>592</v>
          </cell>
          <cell r="S48">
            <v>0</v>
          </cell>
          <cell r="T48">
            <v>100</v>
          </cell>
          <cell r="U48">
            <v>0</v>
          </cell>
          <cell r="V48">
            <v>692</v>
          </cell>
          <cell r="W48">
            <v>2250</v>
          </cell>
          <cell r="X48">
            <v>1050</v>
          </cell>
          <cell r="Y48">
            <v>450</v>
          </cell>
          <cell r="Z48">
            <v>3750</v>
          </cell>
          <cell r="AA48">
            <v>0</v>
          </cell>
          <cell r="AB48">
            <v>0</v>
          </cell>
          <cell r="AC48">
            <v>0</v>
          </cell>
          <cell r="AD48">
            <v>0</v>
          </cell>
          <cell r="AE48">
            <v>0</v>
          </cell>
          <cell r="AF48">
            <v>0</v>
          </cell>
          <cell r="AG48">
            <v>0</v>
          </cell>
          <cell r="AH48">
            <v>0</v>
          </cell>
          <cell r="AI48">
            <v>0</v>
          </cell>
          <cell r="AJ48">
            <v>0</v>
          </cell>
          <cell r="AK48">
            <v>3750</v>
          </cell>
        </row>
        <row r="49">
          <cell r="A49" t="str">
            <v>ü</v>
          </cell>
          <cell r="B49" t="str">
            <v>ü</v>
          </cell>
          <cell r="F49" t="str">
            <v>Okaloosa</v>
          </cell>
          <cell r="G49">
            <v>1920</v>
          </cell>
          <cell r="H49" t="str">
            <v>Q1</v>
          </cell>
          <cell r="I49" t="str">
            <v>Jul-Aug-Sep</v>
          </cell>
          <cell r="J49">
            <v>25651.539384286323</v>
          </cell>
          <cell r="K49">
            <v>5458.7906157136786</v>
          </cell>
          <cell r="L49">
            <v>27707</v>
          </cell>
          <cell r="M49">
            <v>31110.33</v>
          </cell>
          <cell r="N49">
            <v>-3403.33</v>
          </cell>
          <cell r="O49" t="str">
            <v>Insufficient</v>
          </cell>
          <cell r="P49">
            <v>27707</v>
          </cell>
          <cell r="Q49">
            <v>11721</v>
          </cell>
          <cell r="R49">
            <v>5642</v>
          </cell>
          <cell r="S49">
            <v>0</v>
          </cell>
          <cell r="T49">
            <v>107</v>
          </cell>
          <cell r="U49">
            <v>1875</v>
          </cell>
          <cell r="V49">
            <v>7624</v>
          </cell>
          <cell r="W49">
            <v>5220</v>
          </cell>
          <cell r="X49">
            <v>2790</v>
          </cell>
          <cell r="Y49">
            <v>0</v>
          </cell>
          <cell r="Z49">
            <v>8010</v>
          </cell>
          <cell r="AA49">
            <v>0</v>
          </cell>
          <cell r="AB49">
            <v>0</v>
          </cell>
          <cell r="AC49">
            <v>0</v>
          </cell>
          <cell r="AD49">
            <v>0</v>
          </cell>
          <cell r="AE49">
            <v>0</v>
          </cell>
          <cell r="AF49">
            <v>352</v>
          </cell>
          <cell r="AG49">
            <v>0</v>
          </cell>
          <cell r="AH49">
            <v>0</v>
          </cell>
          <cell r="AI49">
            <v>352</v>
          </cell>
          <cell r="AJ49">
            <v>0</v>
          </cell>
          <cell r="AK49">
            <v>8362</v>
          </cell>
        </row>
        <row r="50">
          <cell r="A50" t="str">
            <v>ü</v>
          </cell>
          <cell r="B50" t="str">
            <v>ü</v>
          </cell>
          <cell r="F50" t="str">
            <v>Okeechobee</v>
          </cell>
          <cell r="G50">
            <v>1920</v>
          </cell>
          <cell r="H50" t="str">
            <v>Q1</v>
          </cell>
          <cell r="I50" t="str">
            <v>Jul-Aug-Sep</v>
          </cell>
          <cell r="J50">
            <v>38684.526956161455</v>
          </cell>
          <cell r="K50">
            <v>8232.2830438385463</v>
          </cell>
          <cell r="L50">
            <v>21274</v>
          </cell>
          <cell r="M50">
            <v>46916.81</v>
          </cell>
          <cell r="N50">
            <v>-25642.81</v>
          </cell>
          <cell r="O50" t="str">
            <v>Insufficient</v>
          </cell>
          <cell r="P50">
            <v>21274</v>
          </cell>
          <cell r="Q50">
            <v>12859</v>
          </cell>
          <cell r="R50">
            <v>1695</v>
          </cell>
          <cell r="S50">
            <v>0</v>
          </cell>
          <cell r="T50">
            <v>420</v>
          </cell>
          <cell r="U50">
            <v>75</v>
          </cell>
          <cell r="V50">
            <v>2190</v>
          </cell>
          <cell r="W50">
            <v>5475</v>
          </cell>
          <cell r="X50">
            <v>570</v>
          </cell>
          <cell r="Y50">
            <v>0</v>
          </cell>
          <cell r="Z50">
            <v>6045</v>
          </cell>
          <cell r="AA50">
            <v>180</v>
          </cell>
          <cell r="AB50">
            <v>0</v>
          </cell>
          <cell r="AC50">
            <v>0</v>
          </cell>
          <cell r="AD50">
            <v>180</v>
          </cell>
          <cell r="AE50">
            <v>0</v>
          </cell>
          <cell r="AF50">
            <v>0</v>
          </cell>
          <cell r="AG50">
            <v>0</v>
          </cell>
          <cell r="AH50">
            <v>0</v>
          </cell>
          <cell r="AI50">
            <v>0</v>
          </cell>
          <cell r="AJ50">
            <v>0</v>
          </cell>
          <cell r="AK50">
            <v>6225</v>
          </cell>
        </row>
        <row r="51">
          <cell r="A51" t="str">
            <v>ü</v>
          </cell>
          <cell r="B51" t="str">
            <v>ü</v>
          </cell>
          <cell r="F51" t="str">
            <v>Orange</v>
          </cell>
          <cell r="G51">
            <v>1920</v>
          </cell>
          <cell r="H51" t="str">
            <v>Q1</v>
          </cell>
          <cell r="I51" t="str">
            <v>Jul-Aug-Sep</v>
          </cell>
          <cell r="J51">
            <v>149360.53525349835</v>
          </cell>
          <cell r="K51">
            <v>31784.754746501654</v>
          </cell>
          <cell r="L51">
            <v>168055</v>
          </cell>
          <cell r="M51">
            <v>181145.29</v>
          </cell>
          <cell r="N51">
            <v>-13090.29</v>
          </cell>
          <cell r="O51" t="str">
            <v>Insufficient</v>
          </cell>
          <cell r="P51">
            <v>168055</v>
          </cell>
          <cell r="Q51">
            <v>54761</v>
          </cell>
          <cell r="R51">
            <v>31189</v>
          </cell>
          <cell r="S51">
            <v>2414</v>
          </cell>
          <cell r="T51">
            <v>300</v>
          </cell>
          <cell r="U51">
            <v>3391</v>
          </cell>
          <cell r="V51">
            <v>37294</v>
          </cell>
          <cell r="W51">
            <v>48000</v>
          </cell>
          <cell r="X51">
            <v>24000</v>
          </cell>
          <cell r="Y51">
            <v>0</v>
          </cell>
          <cell r="Z51">
            <v>72000</v>
          </cell>
          <cell r="AA51">
            <v>0</v>
          </cell>
          <cell r="AB51">
            <v>0</v>
          </cell>
          <cell r="AC51">
            <v>0</v>
          </cell>
          <cell r="AD51">
            <v>0</v>
          </cell>
          <cell r="AE51">
            <v>0</v>
          </cell>
          <cell r="AF51">
            <v>3000</v>
          </cell>
          <cell r="AG51">
            <v>1000</v>
          </cell>
          <cell r="AH51">
            <v>0</v>
          </cell>
          <cell r="AI51">
            <v>4000</v>
          </cell>
          <cell r="AJ51">
            <v>0</v>
          </cell>
          <cell r="AK51">
            <v>76000</v>
          </cell>
        </row>
        <row r="52">
          <cell r="A52" t="str">
            <v>ü</v>
          </cell>
          <cell r="B52" t="str">
            <v>ü</v>
          </cell>
          <cell r="F52" t="str">
            <v>Osceola</v>
          </cell>
          <cell r="G52">
            <v>1920</v>
          </cell>
          <cell r="H52" t="str">
            <v>Q1</v>
          </cell>
          <cell r="I52" t="str">
            <v>Jul-Aug-Sep</v>
          </cell>
          <cell r="J52">
            <v>84348.680463382538</v>
          </cell>
          <cell r="K52">
            <v>17949.869536617469</v>
          </cell>
          <cell r="L52">
            <v>79721</v>
          </cell>
          <cell r="M52">
            <v>102298.55</v>
          </cell>
          <cell r="N52">
            <v>-22577.55</v>
          </cell>
          <cell r="O52" t="str">
            <v>Insufficient</v>
          </cell>
          <cell r="P52">
            <v>79721</v>
          </cell>
          <cell r="Q52">
            <v>0</v>
          </cell>
          <cell r="R52">
            <v>0</v>
          </cell>
          <cell r="S52">
            <v>0</v>
          </cell>
          <cell r="T52">
            <v>0</v>
          </cell>
          <cell r="U52">
            <v>42416</v>
          </cell>
          <cell r="V52">
            <v>42416</v>
          </cell>
          <cell r="W52">
            <v>35775</v>
          </cell>
          <cell r="X52">
            <v>0</v>
          </cell>
          <cell r="Y52">
            <v>0</v>
          </cell>
          <cell r="Z52">
            <v>35775</v>
          </cell>
          <cell r="AA52">
            <v>0</v>
          </cell>
          <cell r="AB52">
            <v>0</v>
          </cell>
          <cell r="AC52">
            <v>0</v>
          </cell>
          <cell r="AD52">
            <v>0</v>
          </cell>
          <cell r="AE52">
            <v>0</v>
          </cell>
          <cell r="AF52">
            <v>1530</v>
          </cell>
          <cell r="AG52">
            <v>0</v>
          </cell>
          <cell r="AH52">
            <v>0</v>
          </cell>
          <cell r="AI52">
            <v>1530</v>
          </cell>
          <cell r="AJ52">
            <v>0</v>
          </cell>
          <cell r="AK52">
            <v>37305</v>
          </cell>
        </row>
        <row r="53">
          <cell r="A53" t="str">
            <v>ü</v>
          </cell>
          <cell r="B53" t="str">
            <v>ü</v>
          </cell>
          <cell r="F53" t="str">
            <v>Palm Beach</v>
          </cell>
          <cell r="G53">
            <v>1920</v>
          </cell>
          <cell r="H53" t="str">
            <v>Q1</v>
          </cell>
          <cell r="I53" t="str">
            <v>Jul-Aug-Sep</v>
          </cell>
          <cell r="J53">
            <v>155410.90321419635</v>
          </cell>
          <cell r="K53">
            <v>33072.306785803637</v>
          </cell>
          <cell r="L53">
            <v>223212</v>
          </cell>
          <cell r="M53">
            <v>188483.21</v>
          </cell>
          <cell r="N53">
            <v>34728.79</v>
          </cell>
          <cell r="O53" t="str">
            <v>Unexpended</v>
          </cell>
          <cell r="P53">
            <v>223212</v>
          </cell>
          <cell r="Q53">
            <v>62903</v>
          </cell>
          <cell r="R53">
            <v>21258</v>
          </cell>
          <cell r="S53">
            <v>7784</v>
          </cell>
          <cell r="T53">
            <v>2607</v>
          </cell>
          <cell r="U53">
            <v>4833</v>
          </cell>
          <cell r="V53">
            <v>36482</v>
          </cell>
          <cell r="W53">
            <v>88575</v>
          </cell>
          <cell r="X53">
            <v>30210</v>
          </cell>
          <cell r="Y53">
            <v>0</v>
          </cell>
          <cell r="Z53">
            <v>118785</v>
          </cell>
          <cell r="AA53">
            <v>0</v>
          </cell>
          <cell r="AB53">
            <v>0</v>
          </cell>
          <cell r="AC53">
            <v>0</v>
          </cell>
          <cell r="AD53">
            <v>0</v>
          </cell>
          <cell r="AE53">
            <v>0</v>
          </cell>
          <cell r="AF53">
            <v>4794</v>
          </cell>
          <cell r="AG53">
            <v>248</v>
          </cell>
          <cell r="AI53">
            <v>5042</v>
          </cell>
          <cell r="AJ53">
            <v>0</v>
          </cell>
          <cell r="AK53">
            <v>123827</v>
          </cell>
        </row>
        <row r="54">
          <cell r="A54" t="str">
            <v>ü</v>
          </cell>
          <cell r="B54" t="str">
            <v>ü</v>
          </cell>
          <cell r="F54" t="str">
            <v>Pasco</v>
          </cell>
          <cell r="G54">
            <v>1920</v>
          </cell>
          <cell r="H54" t="str">
            <v>Q1</v>
          </cell>
          <cell r="I54" t="str">
            <v>Jul-Aug-Sep</v>
          </cell>
          <cell r="J54">
            <v>73256.407913308474</v>
          </cell>
          <cell r="K54">
            <v>15589.372086691526</v>
          </cell>
          <cell r="L54">
            <v>65663</v>
          </cell>
          <cell r="M54">
            <v>88845.78</v>
          </cell>
          <cell r="N54">
            <v>-23182.78</v>
          </cell>
          <cell r="O54" t="str">
            <v>Insufficient</v>
          </cell>
          <cell r="P54">
            <v>65663</v>
          </cell>
          <cell r="Q54">
            <v>32055</v>
          </cell>
          <cell r="R54">
            <v>42</v>
          </cell>
          <cell r="S54">
            <v>0</v>
          </cell>
          <cell r="T54">
            <v>915</v>
          </cell>
          <cell r="U54">
            <v>5714</v>
          </cell>
          <cell r="V54">
            <v>6671</v>
          </cell>
          <cell r="W54">
            <v>26850</v>
          </cell>
          <cell r="X54">
            <v>0</v>
          </cell>
          <cell r="Y54">
            <v>0</v>
          </cell>
          <cell r="Z54">
            <v>26850</v>
          </cell>
          <cell r="AA54">
            <v>87</v>
          </cell>
          <cell r="AB54">
            <v>0</v>
          </cell>
          <cell r="AC54">
            <v>0</v>
          </cell>
          <cell r="AD54">
            <v>87</v>
          </cell>
          <cell r="AE54">
            <v>0</v>
          </cell>
          <cell r="AF54">
            <v>0</v>
          </cell>
          <cell r="AG54">
            <v>0</v>
          </cell>
          <cell r="AH54">
            <v>0</v>
          </cell>
          <cell r="AI54">
            <v>0</v>
          </cell>
          <cell r="AJ54">
            <v>0</v>
          </cell>
          <cell r="AK54">
            <v>26937</v>
          </cell>
        </row>
        <row r="55">
          <cell r="A55" t="str">
            <v>ü</v>
          </cell>
          <cell r="B55" t="str">
            <v>ü</v>
          </cell>
          <cell r="F55" t="str">
            <v>Pinellas</v>
          </cell>
          <cell r="G55">
            <v>1920</v>
          </cell>
          <cell r="H55" t="str">
            <v>Q1</v>
          </cell>
          <cell r="I55" t="str">
            <v>Jul-Aug-Sep</v>
          </cell>
          <cell r="J55">
            <v>136707.47667361691</v>
          </cell>
          <cell r="K55">
            <v>29092.113326383082</v>
          </cell>
          <cell r="L55">
            <v>160080</v>
          </cell>
          <cell r="M55">
            <v>165799.59</v>
          </cell>
          <cell r="N55">
            <v>-5719.59</v>
          </cell>
          <cell r="O55" t="str">
            <v>Insufficient</v>
          </cell>
          <cell r="P55">
            <v>160080</v>
          </cell>
          <cell r="Q55">
            <v>72625</v>
          </cell>
          <cell r="R55">
            <v>12900</v>
          </cell>
          <cell r="S55">
            <v>200</v>
          </cell>
          <cell r="T55">
            <v>200</v>
          </cell>
          <cell r="U55">
            <v>0</v>
          </cell>
          <cell r="V55">
            <v>13300</v>
          </cell>
          <cell r="W55">
            <v>66000</v>
          </cell>
          <cell r="X55">
            <v>4400</v>
          </cell>
          <cell r="Y55">
            <v>0</v>
          </cell>
          <cell r="Z55">
            <v>70400</v>
          </cell>
          <cell r="AA55">
            <v>700</v>
          </cell>
          <cell r="AB55">
            <v>0</v>
          </cell>
          <cell r="AC55">
            <v>0</v>
          </cell>
          <cell r="AD55">
            <v>700</v>
          </cell>
          <cell r="AE55">
            <v>0</v>
          </cell>
          <cell r="AF55">
            <v>1825</v>
          </cell>
          <cell r="AG55">
            <v>330</v>
          </cell>
          <cell r="AH55">
            <v>900</v>
          </cell>
          <cell r="AI55">
            <v>3055</v>
          </cell>
          <cell r="AJ55">
            <v>0</v>
          </cell>
          <cell r="AK55">
            <v>74155</v>
          </cell>
        </row>
        <row r="56">
          <cell r="A56" t="str">
            <v>ü</v>
          </cell>
          <cell r="B56" t="str">
            <v>ü</v>
          </cell>
          <cell r="F56" t="str">
            <v>Polk</v>
          </cell>
          <cell r="G56">
            <v>1920</v>
          </cell>
          <cell r="H56" t="str">
            <v>Q1</v>
          </cell>
          <cell r="I56" t="str">
            <v>Jul-Aug-Sep</v>
          </cell>
          <cell r="J56">
            <v>70616.347492099216</v>
          </cell>
          <cell r="K56">
            <v>15027.552507900773</v>
          </cell>
          <cell r="L56">
            <v>88000</v>
          </cell>
          <cell r="M56">
            <v>85643.9</v>
          </cell>
          <cell r="N56">
            <v>2356.1</v>
          </cell>
          <cell r="O56" t="str">
            <v>Unexpended</v>
          </cell>
          <cell r="P56">
            <v>88000</v>
          </cell>
          <cell r="Q56">
            <v>24000</v>
          </cell>
          <cell r="R56">
            <v>8000</v>
          </cell>
          <cell r="S56">
            <v>5000</v>
          </cell>
          <cell r="T56">
            <v>1000</v>
          </cell>
          <cell r="U56">
            <v>0</v>
          </cell>
          <cell r="V56">
            <v>14000</v>
          </cell>
          <cell r="W56">
            <v>18500</v>
          </cell>
          <cell r="X56">
            <v>12000</v>
          </cell>
          <cell r="Y56">
            <v>16000</v>
          </cell>
          <cell r="Z56">
            <v>46500</v>
          </cell>
          <cell r="AA56">
            <v>500</v>
          </cell>
          <cell r="AB56">
            <v>1000</v>
          </cell>
          <cell r="AC56">
            <v>0</v>
          </cell>
          <cell r="AD56">
            <v>1500</v>
          </cell>
          <cell r="AE56">
            <v>0</v>
          </cell>
          <cell r="AF56">
            <v>1200</v>
          </cell>
          <cell r="AG56">
            <v>100</v>
          </cell>
          <cell r="AH56">
            <v>700</v>
          </cell>
          <cell r="AI56">
            <v>2000</v>
          </cell>
          <cell r="AJ56">
            <v>0</v>
          </cell>
          <cell r="AK56">
            <v>50000</v>
          </cell>
        </row>
        <row r="57">
          <cell r="A57" t="str">
            <v>ü</v>
          </cell>
          <cell r="B57" t="str">
            <v>ü</v>
          </cell>
          <cell r="F57" t="str">
            <v>Putnam</v>
          </cell>
          <cell r="G57">
            <v>1920</v>
          </cell>
          <cell r="H57" t="str">
            <v>Q1</v>
          </cell>
          <cell r="I57" t="str">
            <v>Jul-Aug-Sep</v>
          </cell>
          <cell r="J57">
            <v>25079.386671854467</v>
          </cell>
          <cell r="K57">
            <v>5337.0333281455332</v>
          </cell>
          <cell r="L57">
            <v>20930</v>
          </cell>
          <cell r="M57">
            <v>30416.42</v>
          </cell>
          <cell r="N57">
            <v>-9486.42</v>
          </cell>
          <cell r="O57" t="str">
            <v>Insufficient</v>
          </cell>
          <cell r="P57">
            <v>20930</v>
          </cell>
          <cell r="Q57">
            <v>15930</v>
          </cell>
          <cell r="R57">
            <v>850</v>
          </cell>
          <cell r="S57">
            <v>260</v>
          </cell>
          <cell r="T57">
            <v>400</v>
          </cell>
          <cell r="U57">
            <v>0</v>
          </cell>
          <cell r="V57">
            <v>1510</v>
          </cell>
          <cell r="W57">
            <v>2430</v>
          </cell>
          <cell r="X57">
            <v>360</v>
          </cell>
          <cell r="Y57">
            <v>0</v>
          </cell>
          <cell r="Z57">
            <v>2790</v>
          </cell>
          <cell r="AA57">
            <v>0</v>
          </cell>
          <cell r="AB57">
            <v>0</v>
          </cell>
          <cell r="AC57">
            <v>0</v>
          </cell>
          <cell r="AD57">
            <v>0</v>
          </cell>
          <cell r="AE57">
            <v>500</v>
          </cell>
          <cell r="AF57">
            <v>200</v>
          </cell>
          <cell r="AG57">
            <v>0</v>
          </cell>
          <cell r="AH57">
            <v>0</v>
          </cell>
          <cell r="AI57">
            <v>700</v>
          </cell>
          <cell r="AJ57">
            <v>0</v>
          </cell>
          <cell r="AK57">
            <v>3490</v>
          </cell>
        </row>
        <row r="58">
          <cell r="A58" t="str">
            <v>ü</v>
          </cell>
          <cell r="B58" t="str">
            <v>ü</v>
          </cell>
          <cell r="F58" t="str">
            <v>Santa Rosa</v>
          </cell>
          <cell r="G58">
            <v>1920</v>
          </cell>
          <cell r="H58" t="str">
            <v>Q1</v>
          </cell>
          <cell r="I58" t="str">
            <v>Jul-Aug-Sep</v>
          </cell>
          <cell r="J58">
            <v>46834.341069023634</v>
          </cell>
          <cell r="K58">
            <v>9966.6089309763611</v>
          </cell>
          <cell r="L58">
            <v>40005</v>
          </cell>
          <cell r="M58">
            <v>56800.95</v>
          </cell>
          <cell r="N58">
            <v>-16795.95</v>
          </cell>
          <cell r="O58" t="str">
            <v>Insufficient</v>
          </cell>
          <cell r="P58">
            <v>40005</v>
          </cell>
          <cell r="Q58">
            <v>25868</v>
          </cell>
          <cell r="R58">
            <v>1916</v>
          </cell>
          <cell r="S58">
            <v>634</v>
          </cell>
          <cell r="T58">
            <v>4</v>
          </cell>
          <cell r="U58">
            <v>1018</v>
          </cell>
          <cell r="V58">
            <v>3572</v>
          </cell>
          <cell r="W58">
            <v>7815</v>
          </cell>
          <cell r="X58">
            <v>1770</v>
          </cell>
          <cell r="Y58">
            <v>90</v>
          </cell>
          <cell r="Z58">
            <v>9675</v>
          </cell>
          <cell r="AA58">
            <v>225</v>
          </cell>
          <cell r="AB58">
            <v>0</v>
          </cell>
          <cell r="AC58">
            <v>0</v>
          </cell>
          <cell r="AD58">
            <v>225</v>
          </cell>
          <cell r="AE58">
            <v>0</v>
          </cell>
          <cell r="AF58">
            <v>600</v>
          </cell>
          <cell r="AG58">
            <v>35</v>
          </cell>
          <cell r="AH58">
            <v>30</v>
          </cell>
          <cell r="AI58">
            <v>665</v>
          </cell>
          <cell r="AJ58">
            <v>0</v>
          </cell>
          <cell r="AK58">
            <v>10565</v>
          </cell>
        </row>
        <row r="59">
          <cell r="A59" t="str">
            <v>ü</v>
          </cell>
          <cell r="B59" t="str">
            <v>ü</v>
          </cell>
          <cell r="F59" t="str">
            <v>Sarasota</v>
          </cell>
          <cell r="G59">
            <v>1920</v>
          </cell>
          <cell r="H59" t="str">
            <v>Q1</v>
          </cell>
          <cell r="I59" t="str">
            <v>Jul-Aug-Sep</v>
          </cell>
          <cell r="J59">
            <v>88534.652312603139</v>
          </cell>
          <cell r="K59">
            <v>18840.667687396864</v>
          </cell>
          <cell r="L59">
            <v>93579</v>
          </cell>
          <cell r="M59">
            <v>107375.32</v>
          </cell>
          <cell r="N59">
            <v>-13796.32</v>
          </cell>
          <cell r="O59" t="str">
            <v>Insufficient</v>
          </cell>
          <cell r="P59">
            <v>93579</v>
          </cell>
          <cell r="Q59">
            <v>37677</v>
          </cell>
          <cell r="R59">
            <v>13027</v>
          </cell>
          <cell r="S59">
            <v>150</v>
          </cell>
          <cell r="T59">
            <v>242</v>
          </cell>
          <cell r="U59">
            <v>1368</v>
          </cell>
          <cell r="V59">
            <v>14787</v>
          </cell>
          <cell r="W59">
            <v>38303</v>
          </cell>
          <cell r="X59">
            <v>1630</v>
          </cell>
          <cell r="Y59">
            <v>0</v>
          </cell>
          <cell r="Z59">
            <v>39933</v>
          </cell>
          <cell r="AA59">
            <v>815</v>
          </cell>
          <cell r="AB59">
            <v>0</v>
          </cell>
          <cell r="AC59">
            <v>0</v>
          </cell>
          <cell r="AD59">
            <v>815</v>
          </cell>
          <cell r="AE59">
            <v>0</v>
          </cell>
          <cell r="AF59">
            <v>367</v>
          </cell>
          <cell r="AG59">
            <v>0</v>
          </cell>
          <cell r="AH59">
            <v>0</v>
          </cell>
          <cell r="AI59">
            <v>367</v>
          </cell>
          <cell r="AJ59">
            <v>0</v>
          </cell>
          <cell r="AK59">
            <v>41115</v>
          </cell>
        </row>
        <row r="60">
          <cell r="A60" t="str">
            <v>ü</v>
          </cell>
          <cell r="B60" t="str">
            <v>ü</v>
          </cell>
          <cell r="F60" t="str">
            <v>Seminole</v>
          </cell>
          <cell r="G60">
            <v>1920</v>
          </cell>
          <cell r="H60" t="str">
            <v>Q1</v>
          </cell>
          <cell r="I60" t="str">
            <v>Jul-Aug-Sep</v>
          </cell>
          <cell r="J60">
            <v>50940.349565573662</v>
          </cell>
          <cell r="K60">
            <v>10840.390434426336</v>
          </cell>
          <cell r="L60">
            <v>51348</v>
          </cell>
          <cell r="M60">
            <v>61780.74</v>
          </cell>
          <cell r="N60">
            <v>-10432.74</v>
          </cell>
          <cell r="O60" t="str">
            <v>Insufficient</v>
          </cell>
          <cell r="P60">
            <v>51348</v>
          </cell>
          <cell r="Q60">
            <v>27883</v>
          </cell>
          <cell r="R60">
            <v>5817</v>
          </cell>
          <cell r="S60">
            <v>2405</v>
          </cell>
          <cell r="T60">
            <v>167</v>
          </cell>
          <cell r="U60">
            <v>0</v>
          </cell>
          <cell r="V60">
            <v>8389</v>
          </cell>
          <cell r="W60">
            <v>12450</v>
          </cell>
          <cell r="X60">
            <v>2400</v>
          </cell>
          <cell r="Y60">
            <v>0</v>
          </cell>
          <cell r="Z60">
            <v>14850</v>
          </cell>
          <cell r="AA60">
            <v>120</v>
          </cell>
          <cell r="AB60">
            <v>0</v>
          </cell>
          <cell r="AC60">
            <v>0</v>
          </cell>
          <cell r="AD60">
            <v>120</v>
          </cell>
          <cell r="AE60">
            <v>0</v>
          </cell>
          <cell r="AF60">
            <v>106</v>
          </cell>
          <cell r="AG60">
            <v>0</v>
          </cell>
          <cell r="AH60">
            <v>0</v>
          </cell>
          <cell r="AI60">
            <v>106</v>
          </cell>
          <cell r="AJ60">
            <v>0</v>
          </cell>
          <cell r="AK60">
            <v>15076</v>
          </cell>
        </row>
        <row r="61">
          <cell r="A61" t="str">
            <v>ü</v>
          </cell>
          <cell r="B61" t="str">
            <v>ü</v>
          </cell>
          <cell r="F61" t="str">
            <v>St. Johns</v>
          </cell>
          <cell r="G61">
            <v>1920</v>
          </cell>
          <cell r="H61" t="str">
            <v>Q1</v>
          </cell>
          <cell r="I61" t="str">
            <v>Jul-Aug-Sep</v>
          </cell>
          <cell r="J61">
            <v>21779.137993104705</v>
          </cell>
          <cell r="K61">
            <v>4634.7220068952947</v>
          </cell>
          <cell r="L61">
            <v>18150</v>
          </cell>
          <cell r="M61">
            <v>26413.86</v>
          </cell>
          <cell r="N61">
            <v>-8263.86</v>
          </cell>
          <cell r="O61" t="str">
            <v>Insufficient</v>
          </cell>
          <cell r="P61">
            <v>18150</v>
          </cell>
          <cell r="Q61">
            <v>11000</v>
          </cell>
          <cell r="R61">
            <v>800</v>
          </cell>
          <cell r="S61">
            <v>0</v>
          </cell>
          <cell r="T61">
            <v>350</v>
          </cell>
          <cell r="U61">
            <v>0</v>
          </cell>
          <cell r="V61">
            <v>1150</v>
          </cell>
          <cell r="W61">
            <v>4000</v>
          </cell>
          <cell r="X61">
            <v>1500</v>
          </cell>
          <cell r="Y61">
            <v>0</v>
          </cell>
          <cell r="Z61">
            <v>5500</v>
          </cell>
          <cell r="AA61">
            <v>0</v>
          </cell>
          <cell r="AB61">
            <v>0</v>
          </cell>
          <cell r="AC61">
            <v>0</v>
          </cell>
          <cell r="AD61">
            <v>0</v>
          </cell>
          <cell r="AE61">
            <v>0</v>
          </cell>
          <cell r="AF61">
            <v>200</v>
          </cell>
          <cell r="AG61">
            <v>0</v>
          </cell>
          <cell r="AH61">
            <v>300</v>
          </cell>
          <cell r="AI61">
            <v>500</v>
          </cell>
          <cell r="AJ61">
            <v>0</v>
          </cell>
          <cell r="AK61">
            <v>6000</v>
          </cell>
        </row>
        <row r="62">
          <cell r="A62" t="str">
            <v>ü</v>
          </cell>
          <cell r="B62" t="str">
            <v>ü</v>
          </cell>
          <cell r="F62" t="str">
            <v>St. Lucie</v>
          </cell>
          <cell r="G62">
            <v>1920</v>
          </cell>
          <cell r="H62" t="str">
            <v>Q1</v>
          </cell>
          <cell r="I62" t="str">
            <v>Jul-Aug-Sep</v>
          </cell>
          <cell r="J62">
            <v>112696.64544508516</v>
          </cell>
          <cell r="K62">
            <v>23982.474554914836</v>
          </cell>
          <cell r="L62">
            <v>78649</v>
          </cell>
          <cell r="M62">
            <v>136679.12</v>
          </cell>
          <cell r="N62">
            <v>-58030.12</v>
          </cell>
          <cell r="O62" t="str">
            <v>Insufficient</v>
          </cell>
          <cell r="P62">
            <v>78649</v>
          </cell>
          <cell r="Q62">
            <v>29611</v>
          </cell>
          <cell r="R62">
            <v>8000</v>
          </cell>
          <cell r="S62">
            <v>8963</v>
          </cell>
          <cell r="T62">
            <v>525</v>
          </cell>
          <cell r="U62">
            <v>300</v>
          </cell>
          <cell r="V62">
            <v>17788</v>
          </cell>
          <cell r="W62">
            <v>25000</v>
          </cell>
          <cell r="X62">
            <v>5000</v>
          </cell>
          <cell r="Y62">
            <v>0</v>
          </cell>
          <cell r="Z62">
            <v>30000</v>
          </cell>
          <cell r="AA62">
            <v>0</v>
          </cell>
          <cell r="AB62">
            <v>0</v>
          </cell>
          <cell r="AC62">
            <v>0</v>
          </cell>
          <cell r="AD62">
            <v>0</v>
          </cell>
          <cell r="AE62">
            <v>0</v>
          </cell>
          <cell r="AF62">
            <v>1250</v>
          </cell>
          <cell r="AG62">
            <v>0</v>
          </cell>
          <cell r="AH62">
            <v>0</v>
          </cell>
          <cell r="AI62">
            <v>1250</v>
          </cell>
          <cell r="AJ62">
            <v>0</v>
          </cell>
          <cell r="AK62">
            <v>31250</v>
          </cell>
        </row>
        <row r="63">
          <cell r="A63" t="str">
            <v>ü</v>
          </cell>
          <cell r="B63" t="str">
            <v>ü</v>
          </cell>
          <cell r="F63" t="str">
            <v>Sumter</v>
          </cell>
          <cell r="G63">
            <v>1920</v>
          </cell>
          <cell r="H63" t="str">
            <v>Q1</v>
          </cell>
          <cell r="I63" t="str">
            <v>Jul-Aug-Sep</v>
          </cell>
          <cell r="J63">
            <v>21856.47108082355</v>
          </cell>
          <cell r="K63">
            <v>4651.1789191764501</v>
          </cell>
          <cell r="L63">
            <v>17400</v>
          </cell>
          <cell r="M63">
            <v>26507.65</v>
          </cell>
          <cell r="N63">
            <v>-9107.65</v>
          </cell>
          <cell r="O63" t="str">
            <v>Insufficient</v>
          </cell>
          <cell r="P63">
            <v>17400</v>
          </cell>
          <cell r="Q63">
            <v>13800</v>
          </cell>
          <cell r="R63">
            <v>0</v>
          </cell>
          <cell r="S63">
            <v>0</v>
          </cell>
          <cell r="T63">
            <v>0</v>
          </cell>
          <cell r="U63">
            <v>0</v>
          </cell>
          <cell r="V63">
            <v>0</v>
          </cell>
          <cell r="W63">
            <v>0</v>
          </cell>
          <cell r="X63">
            <v>0</v>
          </cell>
          <cell r="Y63">
            <v>0</v>
          </cell>
          <cell r="Z63">
            <v>0</v>
          </cell>
          <cell r="AA63">
            <v>0</v>
          </cell>
          <cell r="AB63">
            <v>0</v>
          </cell>
          <cell r="AC63">
            <v>3300</v>
          </cell>
          <cell r="AD63">
            <v>3300</v>
          </cell>
          <cell r="AE63">
            <v>0</v>
          </cell>
          <cell r="AF63">
            <v>300</v>
          </cell>
          <cell r="AG63">
            <v>0</v>
          </cell>
          <cell r="AH63">
            <v>0</v>
          </cell>
          <cell r="AI63">
            <v>300</v>
          </cell>
          <cell r="AJ63">
            <v>0</v>
          </cell>
          <cell r="AK63">
            <v>3600</v>
          </cell>
        </row>
        <row r="64">
          <cell r="A64" t="str">
            <v>ü</v>
          </cell>
          <cell r="B64" t="str">
            <v>ü</v>
          </cell>
          <cell r="F64" t="str">
            <v>Suwannee</v>
          </cell>
          <cell r="G64">
            <v>1920</v>
          </cell>
          <cell r="H64" t="str">
            <v>Q1</v>
          </cell>
          <cell r="I64" t="str">
            <v>Jul-Aug-Sep</v>
          </cell>
          <cell r="J64">
            <v>6753.4649919338981</v>
          </cell>
          <cell r="K64">
            <v>1437.1750080661013</v>
          </cell>
          <cell r="L64">
            <v>5920</v>
          </cell>
          <cell r="M64">
            <v>8190.6399999999994</v>
          </cell>
          <cell r="N64">
            <v>-2270.64</v>
          </cell>
          <cell r="O64" t="str">
            <v>Insufficient</v>
          </cell>
          <cell r="P64">
            <v>5920</v>
          </cell>
          <cell r="Q64">
            <v>3635</v>
          </cell>
          <cell r="R64">
            <v>375</v>
          </cell>
          <cell r="S64">
            <v>50</v>
          </cell>
          <cell r="T64">
            <v>60</v>
          </cell>
          <cell r="U64">
            <v>0</v>
          </cell>
          <cell r="V64">
            <v>485</v>
          </cell>
          <cell r="W64">
            <v>1800</v>
          </cell>
          <cell r="X64">
            <v>0</v>
          </cell>
          <cell r="Y64">
            <v>0</v>
          </cell>
          <cell r="Z64">
            <v>1800</v>
          </cell>
          <cell r="AA64">
            <v>0</v>
          </cell>
          <cell r="AB64">
            <v>0</v>
          </cell>
          <cell r="AC64">
            <v>0</v>
          </cell>
          <cell r="AD64">
            <v>0</v>
          </cell>
          <cell r="AE64">
            <v>0</v>
          </cell>
          <cell r="AF64">
            <v>0</v>
          </cell>
          <cell r="AG64">
            <v>0</v>
          </cell>
          <cell r="AH64">
            <v>0</v>
          </cell>
          <cell r="AI64">
            <v>0</v>
          </cell>
          <cell r="AJ64">
            <v>0</v>
          </cell>
          <cell r="AK64">
            <v>1800</v>
          </cell>
        </row>
        <row r="65">
          <cell r="A65" t="str">
            <v>ü</v>
          </cell>
          <cell r="B65" t="str">
            <v>ü</v>
          </cell>
          <cell r="F65" t="str">
            <v>Taylor</v>
          </cell>
          <cell r="G65">
            <v>1920</v>
          </cell>
          <cell r="H65" t="str">
            <v>Q1</v>
          </cell>
          <cell r="I65" t="str">
            <v>Jul-Aug-Sep</v>
          </cell>
          <cell r="J65">
            <v>6116.8831562015785</v>
          </cell>
          <cell r="K65">
            <v>1301.7068437984212</v>
          </cell>
          <cell r="L65">
            <v>3804</v>
          </cell>
          <cell r="M65">
            <v>7418.59</v>
          </cell>
          <cell r="N65">
            <v>-3614.59</v>
          </cell>
          <cell r="O65" t="str">
            <v>Insufficient</v>
          </cell>
          <cell r="P65">
            <v>3804</v>
          </cell>
          <cell r="Q65">
            <v>2004</v>
          </cell>
          <cell r="R65">
            <v>415</v>
          </cell>
          <cell r="S65">
            <v>115</v>
          </cell>
          <cell r="T65">
            <v>0</v>
          </cell>
          <cell r="U65">
            <v>0</v>
          </cell>
          <cell r="V65">
            <v>530</v>
          </cell>
          <cell r="W65">
            <v>1000</v>
          </cell>
          <cell r="X65">
            <v>0</v>
          </cell>
          <cell r="Y65">
            <v>0</v>
          </cell>
          <cell r="Z65">
            <v>1000</v>
          </cell>
          <cell r="AA65">
            <v>270</v>
          </cell>
          <cell r="AB65">
            <v>0</v>
          </cell>
          <cell r="AC65">
            <v>0</v>
          </cell>
          <cell r="AD65">
            <v>270</v>
          </cell>
          <cell r="AE65">
            <v>0</v>
          </cell>
          <cell r="AF65">
            <v>0</v>
          </cell>
          <cell r="AG65">
            <v>0</v>
          </cell>
          <cell r="AH65">
            <v>0</v>
          </cell>
          <cell r="AI65">
            <v>0</v>
          </cell>
          <cell r="AJ65">
            <v>0</v>
          </cell>
          <cell r="AK65">
            <v>1270</v>
          </cell>
        </row>
        <row r="66">
          <cell r="A66" t="str">
            <v>ü</v>
          </cell>
          <cell r="B66" t="str">
            <v>ü</v>
          </cell>
          <cell r="F66" t="str">
            <v>Union</v>
          </cell>
          <cell r="G66">
            <v>1920</v>
          </cell>
          <cell r="H66" t="str">
            <v>Q1</v>
          </cell>
          <cell r="I66" t="str">
            <v>Jul-Aug-Sep</v>
          </cell>
          <cell r="J66">
            <v>3769.1037130771615</v>
          </cell>
          <cell r="K66">
            <v>802.08628692283912</v>
          </cell>
          <cell r="L66">
            <v>1502</v>
          </cell>
          <cell r="M66">
            <v>4571.1900000000005</v>
          </cell>
          <cell r="N66">
            <v>-3069.19</v>
          </cell>
          <cell r="O66" t="str">
            <v>Insufficient</v>
          </cell>
          <cell r="P66">
            <v>1502</v>
          </cell>
          <cell r="Q66">
            <v>1102</v>
          </cell>
          <cell r="R66">
            <v>150</v>
          </cell>
          <cell r="S66">
            <v>0</v>
          </cell>
          <cell r="T66">
            <v>30</v>
          </cell>
          <cell r="U66">
            <v>0</v>
          </cell>
          <cell r="V66">
            <v>180</v>
          </cell>
          <cell r="W66">
            <v>150</v>
          </cell>
          <cell r="X66">
            <v>0</v>
          </cell>
          <cell r="Y66">
            <v>0</v>
          </cell>
          <cell r="Z66">
            <v>150</v>
          </cell>
          <cell r="AA66">
            <v>0</v>
          </cell>
          <cell r="AB66">
            <v>0</v>
          </cell>
          <cell r="AC66">
            <v>0</v>
          </cell>
          <cell r="AD66">
            <v>0</v>
          </cell>
          <cell r="AE66">
            <v>0</v>
          </cell>
          <cell r="AF66">
            <v>70</v>
          </cell>
          <cell r="AG66">
            <v>0</v>
          </cell>
          <cell r="AH66">
            <v>0</v>
          </cell>
          <cell r="AI66">
            <v>70</v>
          </cell>
          <cell r="AJ66">
            <v>0</v>
          </cell>
          <cell r="AK66">
            <v>220</v>
          </cell>
        </row>
        <row r="67">
          <cell r="A67" t="str">
            <v>ü</v>
          </cell>
          <cell r="B67" t="str">
            <v>ü</v>
          </cell>
          <cell r="F67" t="str">
            <v>Volusia</v>
          </cell>
          <cell r="G67">
            <v>1920</v>
          </cell>
          <cell r="H67" t="str">
            <v>Q1</v>
          </cell>
          <cell r="I67" t="str">
            <v>Jul-Aug-Sep</v>
          </cell>
          <cell r="J67">
            <v>49802.492000246806</v>
          </cell>
          <cell r="K67">
            <v>10598.247999753194</v>
          </cell>
          <cell r="L67">
            <v>65950</v>
          </cell>
          <cell r="M67">
            <v>60400.74</v>
          </cell>
          <cell r="N67">
            <v>5549.26</v>
          </cell>
          <cell r="O67" t="str">
            <v>Unexpended</v>
          </cell>
          <cell r="P67">
            <v>65950</v>
          </cell>
          <cell r="Q67">
            <v>34500</v>
          </cell>
          <cell r="R67">
            <v>0</v>
          </cell>
          <cell r="S67">
            <v>0</v>
          </cell>
          <cell r="T67">
            <v>100</v>
          </cell>
          <cell r="U67">
            <v>200</v>
          </cell>
          <cell r="V67">
            <v>300</v>
          </cell>
          <cell r="W67">
            <v>25650</v>
          </cell>
          <cell r="X67">
            <v>5100</v>
          </cell>
          <cell r="Y67">
            <v>0</v>
          </cell>
          <cell r="Z67">
            <v>30750</v>
          </cell>
          <cell r="AA67">
            <v>0</v>
          </cell>
          <cell r="AB67">
            <v>0</v>
          </cell>
          <cell r="AC67">
            <v>0</v>
          </cell>
          <cell r="AD67">
            <v>0</v>
          </cell>
          <cell r="AE67">
            <v>0</v>
          </cell>
          <cell r="AF67">
            <v>400</v>
          </cell>
          <cell r="AG67">
            <v>0</v>
          </cell>
          <cell r="AH67">
            <v>0</v>
          </cell>
          <cell r="AI67">
            <v>400</v>
          </cell>
          <cell r="AJ67">
            <v>0</v>
          </cell>
          <cell r="AK67">
            <v>31150</v>
          </cell>
        </row>
        <row r="68">
          <cell r="A68" t="str">
            <v>ü</v>
          </cell>
          <cell r="B68" t="str">
            <v>ü</v>
          </cell>
          <cell r="F68" t="str">
            <v>Wakulla</v>
          </cell>
          <cell r="G68">
            <v>1920</v>
          </cell>
          <cell r="H68" t="str">
            <v>Q1</v>
          </cell>
          <cell r="I68" t="str">
            <v>Jul-Aug-Sep</v>
          </cell>
          <cell r="J68">
            <v>3747.1875869276041</v>
          </cell>
          <cell r="K68">
            <v>797.42241307239544</v>
          </cell>
          <cell r="L68">
            <v>9119</v>
          </cell>
          <cell r="M68">
            <v>4544.6099999999997</v>
          </cell>
          <cell r="N68">
            <v>4574.3900000000003</v>
          </cell>
          <cell r="O68" t="str">
            <v>Unexpended</v>
          </cell>
          <cell r="P68">
            <v>9119</v>
          </cell>
          <cell r="Q68">
            <v>8834</v>
          </cell>
          <cell r="R68">
            <v>35</v>
          </cell>
          <cell r="S68">
            <v>0</v>
          </cell>
          <cell r="T68">
            <v>100</v>
          </cell>
          <cell r="U68">
            <v>0</v>
          </cell>
          <cell r="V68">
            <v>135</v>
          </cell>
          <cell r="W68">
            <v>120</v>
          </cell>
          <cell r="X68">
            <v>30</v>
          </cell>
          <cell r="Y68">
            <v>0</v>
          </cell>
          <cell r="Z68">
            <v>150</v>
          </cell>
          <cell r="AA68">
            <v>0</v>
          </cell>
          <cell r="AB68">
            <v>0</v>
          </cell>
          <cell r="AC68">
            <v>0</v>
          </cell>
          <cell r="AD68">
            <v>0</v>
          </cell>
          <cell r="AE68">
            <v>0</v>
          </cell>
          <cell r="AF68">
            <v>0</v>
          </cell>
          <cell r="AG68">
            <v>0</v>
          </cell>
          <cell r="AH68">
            <v>0</v>
          </cell>
          <cell r="AI68">
            <v>0</v>
          </cell>
          <cell r="AJ68">
            <v>0</v>
          </cell>
          <cell r="AK68">
            <v>150</v>
          </cell>
        </row>
        <row r="69">
          <cell r="A69" t="str">
            <v>ü</v>
          </cell>
          <cell r="B69" t="str">
            <v>ü</v>
          </cell>
          <cell r="F69" t="str">
            <v>Walton</v>
          </cell>
          <cell r="G69">
            <v>1920</v>
          </cell>
          <cell r="H69" t="str">
            <v>Q1</v>
          </cell>
          <cell r="I69" t="str">
            <v>Jul-Aug-Sep</v>
          </cell>
          <cell r="J69">
            <v>20306.717322193042</v>
          </cell>
          <cell r="K69">
            <v>4321.3826778069542</v>
          </cell>
          <cell r="L69">
            <v>16800</v>
          </cell>
          <cell r="M69">
            <v>24628.1</v>
          </cell>
          <cell r="N69">
            <v>-7828.1</v>
          </cell>
          <cell r="O69" t="str">
            <v>Insufficient</v>
          </cell>
          <cell r="P69">
            <v>16800</v>
          </cell>
          <cell r="Q69">
            <v>12000</v>
          </cell>
          <cell r="R69">
            <v>900</v>
          </cell>
          <cell r="S69">
            <v>0</v>
          </cell>
          <cell r="T69">
            <v>0</v>
          </cell>
          <cell r="U69">
            <v>0</v>
          </cell>
          <cell r="V69">
            <v>900</v>
          </cell>
          <cell r="W69">
            <v>2500</v>
          </cell>
          <cell r="X69">
            <v>0</v>
          </cell>
          <cell r="Y69">
            <v>0</v>
          </cell>
          <cell r="Z69">
            <v>2500</v>
          </cell>
          <cell r="AA69">
            <v>1000</v>
          </cell>
          <cell r="AB69">
            <v>0</v>
          </cell>
          <cell r="AC69">
            <v>0</v>
          </cell>
          <cell r="AD69">
            <v>1000</v>
          </cell>
          <cell r="AE69">
            <v>0</v>
          </cell>
          <cell r="AF69">
            <v>300</v>
          </cell>
          <cell r="AG69">
            <v>0</v>
          </cell>
          <cell r="AH69">
            <v>100</v>
          </cell>
          <cell r="AI69">
            <v>400</v>
          </cell>
          <cell r="AJ69">
            <v>0</v>
          </cell>
          <cell r="AK69">
            <v>3900</v>
          </cell>
        </row>
        <row r="70">
          <cell r="A70" t="str">
            <v>ü</v>
          </cell>
          <cell r="B70" t="str">
            <v>ü</v>
          </cell>
          <cell r="F70" t="str">
            <v>Washington</v>
          </cell>
          <cell r="G70">
            <v>1920</v>
          </cell>
          <cell r="H70" t="str">
            <v>Q1</v>
          </cell>
          <cell r="I70" t="str">
            <v>Jul-Aug-Sep</v>
          </cell>
          <cell r="J70">
            <v>8859.7382894900293</v>
          </cell>
          <cell r="K70">
            <v>1885.4017105099711</v>
          </cell>
          <cell r="L70">
            <v>10700</v>
          </cell>
          <cell r="M70">
            <v>10745.14</v>
          </cell>
          <cell r="N70">
            <v>-45.14</v>
          </cell>
          <cell r="O70" t="str">
            <v>Insufficient</v>
          </cell>
          <cell r="P70">
            <v>10700</v>
          </cell>
          <cell r="Q70">
            <v>7250</v>
          </cell>
          <cell r="R70">
            <v>1000</v>
          </cell>
          <cell r="S70">
            <v>0</v>
          </cell>
          <cell r="T70">
            <v>500</v>
          </cell>
          <cell r="U70">
            <v>0</v>
          </cell>
          <cell r="V70">
            <v>1500</v>
          </cell>
          <cell r="W70">
            <v>1500</v>
          </cell>
          <cell r="X70">
            <v>0</v>
          </cell>
          <cell r="Y70">
            <v>0</v>
          </cell>
          <cell r="Z70">
            <v>1500</v>
          </cell>
          <cell r="AA70">
            <v>450</v>
          </cell>
          <cell r="AB70">
            <v>0</v>
          </cell>
          <cell r="AC70">
            <v>0</v>
          </cell>
          <cell r="AD70">
            <v>450</v>
          </cell>
          <cell r="AE70">
            <v>0</v>
          </cell>
          <cell r="AF70">
            <v>0</v>
          </cell>
          <cell r="AG70">
            <v>0</v>
          </cell>
          <cell r="AH70">
            <v>0</v>
          </cell>
          <cell r="AI70">
            <v>0</v>
          </cell>
          <cell r="AJ70">
            <v>0</v>
          </cell>
          <cell r="AK70">
            <v>1950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s w JAC Endorsement"/>
      <sheetName val="Sheet1"/>
      <sheetName val="Adj Endorsement Amts"/>
      <sheetName val="CCOC Format Prorated"/>
      <sheetName val="Cross-Walk_2_for Adjs"/>
      <sheetName val="Cross-Walk"/>
    </sheetNames>
    <sheetDataSet>
      <sheetData sheetId="0" refreshError="1"/>
      <sheetData sheetId="1" refreshError="1"/>
      <sheetData sheetId="2" refreshError="1"/>
      <sheetData sheetId="3" refreshError="1"/>
      <sheetData sheetId="4">
        <row r="2">
          <cell r="A2" t="str">
            <v>Alachua</v>
          </cell>
          <cell r="B2">
            <v>54200</v>
          </cell>
          <cell r="C2">
            <v>21664.51</v>
          </cell>
          <cell r="D2">
            <v>0</v>
          </cell>
          <cell r="E2">
            <v>75864.509999999995</v>
          </cell>
        </row>
        <row r="3">
          <cell r="A3" t="str">
            <v>Baker</v>
          </cell>
          <cell r="B3">
            <v>4395</v>
          </cell>
          <cell r="C3">
            <v>5762.02</v>
          </cell>
          <cell r="D3">
            <v>0</v>
          </cell>
          <cell r="E3">
            <v>10157.02</v>
          </cell>
        </row>
        <row r="4">
          <cell r="A4" t="str">
            <v>Bay</v>
          </cell>
          <cell r="B4">
            <v>48450</v>
          </cell>
          <cell r="C4">
            <v>1144.1500000000001</v>
          </cell>
          <cell r="D4">
            <v>0</v>
          </cell>
          <cell r="E4">
            <v>49594.15</v>
          </cell>
        </row>
        <row r="5">
          <cell r="A5" t="str">
            <v>Bradford</v>
          </cell>
          <cell r="B5">
            <v>6011</v>
          </cell>
          <cell r="C5">
            <v>0</v>
          </cell>
          <cell r="D5">
            <v>15742.31</v>
          </cell>
          <cell r="E5">
            <v>0</v>
          </cell>
        </row>
        <row r="6">
          <cell r="A6" t="str">
            <v>Brevard</v>
          </cell>
          <cell r="B6">
            <v>111355</v>
          </cell>
          <cell r="C6">
            <v>7510.75</v>
          </cell>
          <cell r="D6">
            <v>0</v>
          </cell>
          <cell r="E6">
            <v>118865.75</v>
          </cell>
        </row>
        <row r="7">
          <cell r="A7" t="str">
            <v>Broward</v>
          </cell>
          <cell r="B7">
            <v>198060</v>
          </cell>
          <cell r="C7">
            <v>26249.35</v>
          </cell>
          <cell r="D7">
            <v>0</v>
          </cell>
          <cell r="E7">
            <v>224309.35</v>
          </cell>
        </row>
        <row r="8">
          <cell r="A8" t="str">
            <v>Calhoun</v>
          </cell>
          <cell r="B8">
            <v>4035</v>
          </cell>
          <cell r="C8">
            <v>477.25</v>
          </cell>
          <cell r="D8">
            <v>0</v>
          </cell>
          <cell r="E8">
            <v>4512.25</v>
          </cell>
        </row>
        <row r="9">
          <cell r="A9" t="str">
            <v>Charlotte</v>
          </cell>
          <cell r="B9">
            <v>38292</v>
          </cell>
          <cell r="C9">
            <v>928.02</v>
          </cell>
          <cell r="D9">
            <v>0</v>
          </cell>
          <cell r="E9">
            <v>39220.019999999997</v>
          </cell>
        </row>
        <row r="10">
          <cell r="A10" t="str">
            <v>Citrus</v>
          </cell>
          <cell r="B10">
            <v>16950</v>
          </cell>
          <cell r="C10">
            <v>6716.07</v>
          </cell>
          <cell r="D10">
            <v>0</v>
          </cell>
          <cell r="E10">
            <v>23666.07</v>
          </cell>
        </row>
        <row r="11">
          <cell r="A11" t="str">
            <v>Clay</v>
          </cell>
          <cell r="B11">
            <v>20422</v>
          </cell>
          <cell r="C11">
            <v>0</v>
          </cell>
          <cell r="D11">
            <v>3991.32</v>
          </cell>
          <cell r="E11">
            <v>16430.68</v>
          </cell>
        </row>
        <row r="12">
          <cell r="A12" t="str">
            <v>Collier</v>
          </cell>
          <cell r="B12">
            <v>61570</v>
          </cell>
          <cell r="C12">
            <v>8129.18</v>
          </cell>
          <cell r="D12">
            <v>0</v>
          </cell>
          <cell r="E12">
            <v>69699.179999999993</v>
          </cell>
        </row>
        <row r="13">
          <cell r="A13" t="str">
            <v>Columbia</v>
          </cell>
          <cell r="B13">
            <v>15352</v>
          </cell>
          <cell r="C13">
            <v>0</v>
          </cell>
          <cell r="D13">
            <v>686.06</v>
          </cell>
          <cell r="E13">
            <v>14665.94</v>
          </cell>
        </row>
        <row r="14">
          <cell r="A14" t="str">
            <v>Dade</v>
          </cell>
          <cell r="B14">
            <v>302112</v>
          </cell>
          <cell r="C14">
            <v>0</v>
          </cell>
          <cell r="D14">
            <v>67227.48</v>
          </cell>
          <cell r="E14">
            <v>234884.52</v>
          </cell>
        </row>
        <row r="15">
          <cell r="A15" t="str">
            <v>Desoto</v>
          </cell>
          <cell r="B15">
            <v>8150</v>
          </cell>
          <cell r="C15">
            <v>1905.75</v>
          </cell>
          <cell r="D15">
            <v>0</v>
          </cell>
          <cell r="E15">
            <v>10055.75</v>
          </cell>
        </row>
        <row r="16">
          <cell r="A16" t="str">
            <v>Dixie</v>
          </cell>
          <cell r="B16">
            <v>2715</v>
          </cell>
          <cell r="C16">
            <v>0</v>
          </cell>
          <cell r="D16">
            <v>7490.42</v>
          </cell>
          <cell r="E16">
            <v>0</v>
          </cell>
        </row>
        <row r="17">
          <cell r="A17" t="str">
            <v>Duval</v>
          </cell>
          <cell r="B17">
            <v>132428</v>
          </cell>
          <cell r="C17">
            <v>15309.21</v>
          </cell>
          <cell r="D17">
            <v>0</v>
          </cell>
          <cell r="E17">
            <v>147737.21</v>
          </cell>
        </row>
        <row r="18">
          <cell r="A18" t="str">
            <v>Escambia</v>
          </cell>
          <cell r="B18">
            <v>69521</v>
          </cell>
          <cell r="C18">
            <v>10426.120000000001</v>
          </cell>
          <cell r="D18">
            <v>0</v>
          </cell>
          <cell r="E18">
            <v>79947.12</v>
          </cell>
        </row>
        <row r="19">
          <cell r="A19" t="str">
            <v>Flagler</v>
          </cell>
          <cell r="B19">
            <v>15700</v>
          </cell>
          <cell r="C19">
            <v>0</v>
          </cell>
          <cell r="D19">
            <v>3513.66</v>
          </cell>
          <cell r="E19">
            <v>12186.34</v>
          </cell>
        </row>
        <row r="20">
          <cell r="A20" t="str">
            <v>Franklin</v>
          </cell>
          <cell r="B20">
            <v>4825</v>
          </cell>
          <cell r="C20">
            <v>0</v>
          </cell>
          <cell r="D20">
            <v>988.8</v>
          </cell>
          <cell r="E20">
            <v>3836.2</v>
          </cell>
        </row>
        <row r="21">
          <cell r="A21" t="str">
            <v>Gadsden</v>
          </cell>
          <cell r="B21">
            <v>13767</v>
          </cell>
          <cell r="C21">
            <v>0</v>
          </cell>
          <cell r="D21">
            <v>1941.33</v>
          </cell>
          <cell r="E21">
            <v>11825.67</v>
          </cell>
        </row>
        <row r="22">
          <cell r="A22" t="str">
            <v>Gilchrist</v>
          </cell>
          <cell r="B22">
            <v>5648</v>
          </cell>
          <cell r="C22">
            <v>0</v>
          </cell>
          <cell r="D22">
            <v>14004.36</v>
          </cell>
          <cell r="E22">
            <v>0</v>
          </cell>
        </row>
        <row r="23">
          <cell r="A23" t="str">
            <v>Glades</v>
          </cell>
          <cell r="B23">
            <v>4875</v>
          </cell>
          <cell r="C23">
            <v>0</v>
          </cell>
          <cell r="D23">
            <v>183.01</v>
          </cell>
          <cell r="E23">
            <v>4691.99</v>
          </cell>
        </row>
        <row r="24">
          <cell r="A24" t="str">
            <v>Gulf</v>
          </cell>
          <cell r="B24">
            <v>6498</v>
          </cell>
          <cell r="C24">
            <v>0</v>
          </cell>
          <cell r="D24">
            <v>273.25</v>
          </cell>
          <cell r="E24">
            <v>6224.75</v>
          </cell>
        </row>
        <row r="25">
          <cell r="A25" t="str">
            <v>Hamilton</v>
          </cell>
          <cell r="B25">
            <v>3668</v>
          </cell>
          <cell r="C25">
            <v>1733.43</v>
          </cell>
          <cell r="D25">
            <v>0</v>
          </cell>
          <cell r="E25">
            <v>5401.43</v>
          </cell>
        </row>
        <row r="26">
          <cell r="A26" t="str">
            <v>Hardee</v>
          </cell>
          <cell r="B26">
            <v>8675</v>
          </cell>
          <cell r="C26">
            <v>6647.7</v>
          </cell>
          <cell r="D26">
            <v>0</v>
          </cell>
          <cell r="E26">
            <v>15322.7</v>
          </cell>
        </row>
        <row r="27">
          <cell r="A27" t="str">
            <v>Hendry</v>
          </cell>
          <cell r="B27">
            <v>16000</v>
          </cell>
          <cell r="C27">
            <v>6530.19</v>
          </cell>
          <cell r="D27">
            <v>0</v>
          </cell>
          <cell r="E27">
            <v>22530.19</v>
          </cell>
        </row>
        <row r="28">
          <cell r="A28" t="str">
            <v>Hernando</v>
          </cell>
          <cell r="B28">
            <v>42350</v>
          </cell>
          <cell r="C28">
            <v>6649.47</v>
          </cell>
          <cell r="D28">
            <v>0</v>
          </cell>
          <cell r="E28">
            <v>48999.47</v>
          </cell>
        </row>
        <row r="29">
          <cell r="A29" t="str">
            <v>Highlands</v>
          </cell>
          <cell r="B29">
            <v>21610</v>
          </cell>
          <cell r="C29">
            <v>0</v>
          </cell>
          <cell r="D29">
            <v>7031.2</v>
          </cell>
          <cell r="E29">
            <v>14578.8</v>
          </cell>
        </row>
        <row r="30">
          <cell r="A30" t="str">
            <v>Hillsborough</v>
          </cell>
          <cell r="B30">
            <v>133105</v>
          </cell>
          <cell r="C30">
            <v>0</v>
          </cell>
          <cell r="D30">
            <v>21953.1</v>
          </cell>
          <cell r="E30">
            <v>111151.9</v>
          </cell>
        </row>
        <row r="31">
          <cell r="A31" t="str">
            <v>Holmes</v>
          </cell>
          <cell r="B31">
            <v>5156</v>
          </cell>
          <cell r="C31">
            <v>0</v>
          </cell>
          <cell r="D31">
            <v>1793.59</v>
          </cell>
          <cell r="E31">
            <v>3362.41</v>
          </cell>
        </row>
        <row r="32">
          <cell r="A32" t="str">
            <v>Indian River</v>
          </cell>
          <cell r="B32">
            <v>32449</v>
          </cell>
          <cell r="C32">
            <v>8723.77</v>
          </cell>
          <cell r="D32">
            <v>0</v>
          </cell>
          <cell r="E32">
            <v>41172.769999999997</v>
          </cell>
        </row>
        <row r="33">
          <cell r="A33" t="str">
            <v>Jackson</v>
          </cell>
          <cell r="B33">
            <v>8300</v>
          </cell>
          <cell r="C33">
            <v>2365.04</v>
          </cell>
          <cell r="D33">
            <v>0</v>
          </cell>
          <cell r="E33">
            <v>10665.04</v>
          </cell>
        </row>
        <row r="34">
          <cell r="A34" t="str">
            <v>Jefferson</v>
          </cell>
          <cell r="B34">
            <v>9531</v>
          </cell>
          <cell r="C34">
            <v>7079.87</v>
          </cell>
          <cell r="D34">
            <v>0</v>
          </cell>
          <cell r="E34">
            <v>16610.87</v>
          </cell>
        </row>
        <row r="35">
          <cell r="A35" t="str">
            <v>Lafayette</v>
          </cell>
          <cell r="B35">
            <v>2650</v>
          </cell>
          <cell r="C35">
            <v>1495.65</v>
          </cell>
          <cell r="D35">
            <v>0</v>
          </cell>
          <cell r="E35">
            <v>4145.6499999999996</v>
          </cell>
        </row>
        <row r="36">
          <cell r="A36" t="str">
            <v>Lake</v>
          </cell>
          <cell r="B36">
            <v>57441</v>
          </cell>
          <cell r="C36">
            <v>0</v>
          </cell>
          <cell r="D36">
            <v>4486.96</v>
          </cell>
          <cell r="E36">
            <v>52954.04</v>
          </cell>
        </row>
        <row r="37">
          <cell r="A37" t="str">
            <v>Lee</v>
          </cell>
          <cell r="B37">
            <v>62112</v>
          </cell>
          <cell r="C37">
            <v>0</v>
          </cell>
          <cell r="D37">
            <v>5152.1400000000003</v>
          </cell>
          <cell r="E37">
            <v>56959.86</v>
          </cell>
        </row>
        <row r="38">
          <cell r="A38" t="str">
            <v>Leon</v>
          </cell>
          <cell r="B38">
            <v>51500</v>
          </cell>
          <cell r="C38">
            <v>32293.38</v>
          </cell>
          <cell r="D38">
            <v>0</v>
          </cell>
          <cell r="E38">
            <v>83793.38</v>
          </cell>
        </row>
        <row r="39">
          <cell r="A39" t="str">
            <v>Levy</v>
          </cell>
          <cell r="B39">
            <v>15287</v>
          </cell>
          <cell r="C39">
            <v>0</v>
          </cell>
          <cell r="D39">
            <v>6708.44</v>
          </cell>
          <cell r="E39">
            <v>8578.56</v>
          </cell>
        </row>
        <row r="40">
          <cell r="A40" t="str">
            <v>Liberty</v>
          </cell>
          <cell r="B40">
            <v>3972</v>
          </cell>
          <cell r="C40">
            <v>1623.14</v>
          </cell>
          <cell r="D40">
            <v>0</v>
          </cell>
          <cell r="E40">
            <v>5595.14</v>
          </cell>
        </row>
        <row r="41">
          <cell r="A41" t="str">
            <v>Madison</v>
          </cell>
          <cell r="B41">
            <v>8510</v>
          </cell>
          <cell r="C41">
            <v>0</v>
          </cell>
          <cell r="D41">
            <v>3329.36</v>
          </cell>
          <cell r="E41">
            <v>5180.6400000000003</v>
          </cell>
        </row>
        <row r="42">
          <cell r="A42" t="str">
            <v>Manatee</v>
          </cell>
          <cell r="B42">
            <v>37088</v>
          </cell>
          <cell r="C42">
            <v>0</v>
          </cell>
          <cell r="D42">
            <v>2581.71</v>
          </cell>
          <cell r="E42">
            <v>34506.29</v>
          </cell>
        </row>
        <row r="43">
          <cell r="A43" t="str">
            <v>Marion</v>
          </cell>
          <cell r="B43">
            <v>54134</v>
          </cell>
          <cell r="C43">
            <v>329.96</v>
          </cell>
          <cell r="D43">
            <v>0</v>
          </cell>
          <cell r="E43">
            <v>54463.96</v>
          </cell>
        </row>
        <row r="44">
          <cell r="A44" t="str">
            <v>Martin</v>
          </cell>
          <cell r="B44">
            <v>34425</v>
          </cell>
          <cell r="C44">
            <v>5264.94</v>
          </cell>
          <cell r="D44">
            <v>0</v>
          </cell>
          <cell r="E44">
            <v>39689.94</v>
          </cell>
        </row>
        <row r="45">
          <cell r="A45" t="str">
            <v>Monroe</v>
          </cell>
          <cell r="B45">
            <v>44933</v>
          </cell>
          <cell r="C45">
            <v>24337.31</v>
          </cell>
          <cell r="D45">
            <v>0</v>
          </cell>
          <cell r="E45">
            <v>69270.31</v>
          </cell>
        </row>
        <row r="46">
          <cell r="A46" t="str">
            <v>Nassau</v>
          </cell>
          <cell r="B46">
            <v>15374</v>
          </cell>
          <cell r="C46">
            <v>1243.07</v>
          </cell>
          <cell r="D46">
            <v>0</v>
          </cell>
          <cell r="E46">
            <v>16617.07</v>
          </cell>
        </row>
        <row r="47">
          <cell r="A47" t="str">
            <v>Okaloosa</v>
          </cell>
          <cell r="B47">
            <v>23163</v>
          </cell>
          <cell r="C47">
            <v>1672.33</v>
          </cell>
          <cell r="D47">
            <v>0</v>
          </cell>
          <cell r="E47">
            <v>24835.33</v>
          </cell>
        </row>
        <row r="48">
          <cell r="A48" t="str">
            <v>Okeechobee</v>
          </cell>
          <cell r="B48">
            <v>15680</v>
          </cell>
          <cell r="C48">
            <v>5439.37</v>
          </cell>
          <cell r="D48">
            <v>0</v>
          </cell>
          <cell r="E48">
            <v>21119.37</v>
          </cell>
        </row>
        <row r="49">
          <cell r="A49" t="str">
            <v>Orange</v>
          </cell>
          <cell r="B49">
            <v>189055</v>
          </cell>
          <cell r="C49">
            <v>16850.16</v>
          </cell>
          <cell r="D49">
            <v>0</v>
          </cell>
          <cell r="E49">
            <v>205905.16</v>
          </cell>
        </row>
        <row r="50">
          <cell r="A50" t="str">
            <v>Osceola</v>
          </cell>
          <cell r="B50">
            <v>67353</v>
          </cell>
          <cell r="C50">
            <v>0</v>
          </cell>
          <cell r="D50">
            <v>979.13</v>
          </cell>
          <cell r="E50">
            <v>66373.87</v>
          </cell>
        </row>
        <row r="51">
          <cell r="A51" t="str">
            <v>Palm Beach</v>
          </cell>
          <cell r="B51">
            <v>204808</v>
          </cell>
          <cell r="C51">
            <v>10933.52</v>
          </cell>
          <cell r="D51">
            <v>0</v>
          </cell>
          <cell r="E51">
            <v>215741.52</v>
          </cell>
        </row>
        <row r="52">
          <cell r="A52" t="str">
            <v>Pasco</v>
          </cell>
          <cell r="B52">
            <v>30747</v>
          </cell>
          <cell r="C52">
            <v>7453.6</v>
          </cell>
          <cell r="D52">
            <v>0</v>
          </cell>
          <cell r="E52">
            <v>38200.6</v>
          </cell>
        </row>
        <row r="53">
          <cell r="A53" t="str">
            <v>Pinellas</v>
          </cell>
          <cell r="B53">
            <v>165710</v>
          </cell>
          <cell r="C53">
            <v>0</v>
          </cell>
          <cell r="D53">
            <v>16703.439999999999</v>
          </cell>
          <cell r="E53">
            <v>149006.56</v>
          </cell>
        </row>
        <row r="54">
          <cell r="A54" t="str">
            <v>Polk</v>
          </cell>
          <cell r="B54">
            <v>85600</v>
          </cell>
          <cell r="C54">
            <v>4585.1499999999996</v>
          </cell>
          <cell r="D54">
            <v>0</v>
          </cell>
          <cell r="E54">
            <v>90185.15</v>
          </cell>
        </row>
        <row r="55">
          <cell r="A55" t="str">
            <v>Putnam</v>
          </cell>
          <cell r="B55">
            <v>27600</v>
          </cell>
          <cell r="C55">
            <v>0</v>
          </cell>
          <cell r="D55">
            <v>12843.84</v>
          </cell>
          <cell r="E55">
            <v>14756.16</v>
          </cell>
        </row>
        <row r="56">
          <cell r="A56" t="str">
            <v>Santa Rosa</v>
          </cell>
          <cell r="B56">
            <v>38830</v>
          </cell>
          <cell r="C56">
            <v>11731.22</v>
          </cell>
          <cell r="D56">
            <v>0</v>
          </cell>
          <cell r="E56">
            <v>50561.22</v>
          </cell>
        </row>
        <row r="57">
          <cell r="A57" t="str">
            <v>Sarasota</v>
          </cell>
          <cell r="B57">
            <v>87928</v>
          </cell>
          <cell r="C57">
            <v>0</v>
          </cell>
          <cell r="D57">
            <v>3669.46</v>
          </cell>
          <cell r="E57">
            <v>84258.54</v>
          </cell>
        </row>
        <row r="58">
          <cell r="A58" t="str">
            <v>Seminole</v>
          </cell>
          <cell r="B58">
            <v>59231</v>
          </cell>
          <cell r="C58">
            <v>32144.26</v>
          </cell>
          <cell r="D58">
            <v>0</v>
          </cell>
          <cell r="E58">
            <v>91375.26</v>
          </cell>
        </row>
        <row r="59">
          <cell r="A59" t="str">
            <v>St. Johns</v>
          </cell>
          <cell r="B59">
            <v>19700</v>
          </cell>
          <cell r="C59">
            <v>4561.53</v>
          </cell>
          <cell r="D59">
            <v>0</v>
          </cell>
          <cell r="E59">
            <v>24261.53</v>
          </cell>
        </row>
        <row r="60">
          <cell r="A60" t="str">
            <v>St. Lucie</v>
          </cell>
          <cell r="B60">
            <v>77975</v>
          </cell>
          <cell r="C60">
            <v>0</v>
          </cell>
          <cell r="D60">
            <v>16783.97</v>
          </cell>
          <cell r="E60">
            <v>61191.03</v>
          </cell>
        </row>
        <row r="61">
          <cell r="A61" t="str">
            <v>Sumter</v>
          </cell>
          <cell r="B61">
            <v>16125</v>
          </cell>
          <cell r="C61">
            <v>0</v>
          </cell>
          <cell r="D61">
            <v>0</v>
          </cell>
          <cell r="E61">
            <v>16125</v>
          </cell>
        </row>
        <row r="62">
          <cell r="A62" t="str">
            <v>Suwannee</v>
          </cell>
          <cell r="B62">
            <v>5262</v>
          </cell>
          <cell r="C62">
            <v>0</v>
          </cell>
          <cell r="D62">
            <v>1575.74</v>
          </cell>
          <cell r="E62">
            <v>3686.26</v>
          </cell>
        </row>
        <row r="63">
          <cell r="A63" t="str">
            <v>Taylor</v>
          </cell>
          <cell r="B63">
            <v>2978</v>
          </cell>
          <cell r="C63">
            <v>470.08</v>
          </cell>
          <cell r="D63">
            <v>0</v>
          </cell>
          <cell r="E63">
            <v>3448.08</v>
          </cell>
        </row>
        <row r="64">
          <cell r="A64" t="str">
            <v>Union</v>
          </cell>
          <cell r="B64">
            <v>3510.6675</v>
          </cell>
          <cell r="C64">
            <v>0</v>
          </cell>
          <cell r="D64">
            <v>0</v>
          </cell>
          <cell r="E64">
            <v>1799.7275</v>
          </cell>
        </row>
        <row r="65">
          <cell r="A65" t="str">
            <v>Volusia</v>
          </cell>
          <cell r="B65">
            <v>85100</v>
          </cell>
          <cell r="C65">
            <v>4536.0200000000004</v>
          </cell>
          <cell r="D65">
            <v>0</v>
          </cell>
          <cell r="E65">
            <v>89636.02</v>
          </cell>
        </row>
        <row r="66">
          <cell r="A66" t="str">
            <v>Wakulla</v>
          </cell>
          <cell r="B66">
            <v>9709</v>
          </cell>
          <cell r="C66">
            <v>731.66</v>
          </cell>
          <cell r="D66">
            <v>0</v>
          </cell>
          <cell r="E66">
            <v>10440.66</v>
          </cell>
        </row>
        <row r="67">
          <cell r="A67" t="str">
            <v>Walton</v>
          </cell>
          <cell r="B67">
            <v>13400</v>
          </cell>
          <cell r="C67">
            <v>0</v>
          </cell>
          <cell r="D67">
            <v>5089.3900000000003</v>
          </cell>
          <cell r="E67">
            <v>8310.61</v>
          </cell>
        </row>
        <row r="68">
          <cell r="A68" t="str">
            <v>Washington</v>
          </cell>
          <cell r="B68">
            <v>10539</v>
          </cell>
          <cell r="C68">
            <v>0</v>
          </cell>
          <cell r="D68">
            <v>2047.29</v>
          </cell>
          <cell r="E68">
            <v>8491.7099999999991</v>
          </cell>
        </row>
      </sheetData>
      <sheetData sheetId="5">
        <row r="5">
          <cell r="A5" t="str">
            <v>Alachua</v>
          </cell>
          <cell r="B5">
            <v>16300</v>
          </cell>
          <cell r="C5">
            <v>20300</v>
          </cell>
          <cell r="D5">
            <v>4000</v>
          </cell>
          <cell r="E5">
            <v>0</v>
          </cell>
          <cell r="F5">
            <v>30000</v>
          </cell>
          <cell r="G5">
            <v>3900</v>
          </cell>
        </row>
        <row r="6">
          <cell r="A6" t="str">
            <v>Baker</v>
          </cell>
          <cell r="B6">
            <v>700</v>
          </cell>
          <cell r="C6">
            <v>900</v>
          </cell>
          <cell r="D6">
            <v>200</v>
          </cell>
          <cell r="E6">
            <v>0</v>
          </cell>
          <cell r="F6">
            <v>3100</v>
          </cell>
          <cell r="G6">
            <v>395</v>
          </cell>
        </row>
        <row r="7">
          <cell r="A7" t="str">
            <v>Bay</v>
          </cell>
          <cell r="B7">
            <v>13500</v>
          </cell>
          <cell r="C7">
            <v>13650</v>
          </cell>
          <cell r="D7">
            <v>150</v>
          </cell>
          <cell r="E7">
            <v>0</v>
          </cell>
          <cell r="F7">
            <v>25000</v>
          </cell>
          <cell r="G7">
            <v>9800</v>
          </cell>
        </row>
        <row r="8">
          <cell r="A8" t="str">
            <v>Bradford</v>
          </cell>
          <cell r="B8">
            <v>2300</v>
          </cell>
          <cell r="C8">
            <v>2800</v>
          </cell>
          <cell r="D8">
            <v>500</v>
          </cell>
          <cell r="E8">
            <v>0</v>
          </cell>
          <cell r="F8">
            <v>2600</v>
          </cell>
          <cell r="G8">
            <v>611</v>
          </cell>
        </row>
        <row r="9">
          <cell r="A9" t="str">
            <v>Brevard</v>
          </cell>
          <cell r="B9">
            <v>57000</v>
          </cell>
          <cell r="C9">
            <v>58700</v>
          </cell>
          <cell r="D9">
            <v>1700</v>
          </cell>
          <cell r="E9">
            <v>0</v>
          </cell>
          <cell r="F9">
            <v>46000</v>
          </cell>
          <cell r="G9">
            <v>6655</v>
          </cell>
        </row>
        <row r="10">
          <cell r="A10" t="str">
            <v>Broward</v>
          </cell>
          <cell r="B10">
            <v>105130</v>
          </cell>
          <cell r="C10">
            <v>111840</v>
          </cell>
          <cell r="D10">
            <v>1120</v>
          </cell>
          <cell r="E10">
            <v>5590</v>
          </cell>
          <cell r="F10">
            <v>61500</v>
          </cell>
          <cell r="G10">
            <v>24720</v>
          </cell>
        </row>
        <row r="11">
          <cell r="A11" t="str">
            <v>Calhoun</v>
          </cell>
          <cell r="B11">
            <v>2400</v>
          </cell>
          <cell r="C11">
            <v>2400</v>
          </cell>
          <cell r="D11">
            <v>0</v>
          </cell>
          <cell r="E11">
            <v>0</v>
          </cell>
          <cell r="F11">
            <v>1410</v>
          </cell>
          <cell r="G11">
            <v>225</v>
          </cell>
        </row>
        <row r="12">
          <cell r="A12" t="str">
            <v>Charlotte</v>
          </cell>
          <cell r="B12">
            <v>11865</v>
          </cell>
          <cell r="C12">
            <v>11965</v>
          </cell>
          <cell r="D12">
            <v>100</v>
          </cell>
          <cell r="E12">
            <v>0</v>
          </cell>
          <cell r="F12">
            <v>20327</v>
          </cell>
          <cell r="G12">
            <v>6000</v>
          </cell>
        </row>
        <row r="13">
          <cell r="A13" t="str">
            <v>Citrus</v>
          </cell>
          <cell r="B13">
            <v>8320</v>
          </cell>
          <cell r="C13">
            <v>8320</v>
          </cell>
          <cell r="D13">
            <v>0</v>
          </cell>
          <cell r="E13">
            <v>0</v>
          </cell>
          <cell r="F13">
            <v>7200</v>
          </cell>
          <cell r="G13">
            <v>1430</v>
          </cell>
        </row>
        <row r="14">
          <cell r="A14" t="str">
            <v>Clay</v>
          </cell>
          <cell r="B14">
            <v>5000</v>
          </cell>
          <cell r="C14">
            <v>5200</v>
          </cell>
          <cell r="D14">
            <v>200</v>
          </cell>
          <cell r="E14">
            <v>0</v>
          </cell>
          <cell r="F14">
            <v>10402</v>
          </cell>
          <cell r="G14">
            <v>4820</v>
          </cell>
        </row>
        <row r="15">
          <cell r="A15" t="str">
            <v>Collier</v>
          </cell>
          <cell r="B15">
            <v>18750</v>
          </cell>
          <cell r="C15">
            <v>20000</v>
          </cell>
          <cell r="D15">
            <v>1250</v>
          </cell>
          <cell r="E15">
            <v>0</v>
          </cell>
          <cell r="F15">
            <v>34931</v>
          </cell>
          <cell r="G15">
            <v>6639</v>
          </cell>
        </row>
        <row r="16">
          <cell r="A16" t="str">
            <v>Columbia</v>
          </cell>
          <cell r="B16">
            <v>3500</v>
          </cell>
          <cell r="C16">
            <v>3600</v>
          </cell>
          <cell r="D16">
            <v>100</v>
          </cell>
          <cell r="E16">
            <v>0</v>
          </cell>
          <cell r="F16">
            <v>10652</v>
          </cell>
          <cell r="G16">
            <v>1100</v>
          </cell>
        </row>
        <row r="17">
          <cell r="A17" t="str">
            <v>Dade</v>
          </cell>
          <cell r="B17">
            <v>68268</v>
          </cell>
          <cell r="C17">
            <v>75851</v>
          </cell>
          <cell r="D17">
            <v>4083</v>
          </cell>
          <cell r="E17">
            <v>3500</v>
          </cell>
          <cell r="F17">
            <v>198661</v>
          </cell>
          <cell r="G17">
            <v>27600</v>
          </cell>
        </row>
        <row r="18">
          <cell r="A18" t="str">
            <v>Desoto</v>
          </cell>
          <cell r="B18">
            <v>2350</v>
          </cell>
          <cell r="C18">
            <v>2500</v>
          </cell>
          <cell r="D18">
            <v>150</v>
          </cell>
          <cell r="E18">
            <v>0</v>
          </cell>
          <cell r="F18">
            <v>4100</v>
          </cell>
          <cell r="G18">
            <v>1550</v>
          </cell>
        </row>
        <row r="19">
          <cell r="A19" t="str">
            <v>Dixie</v>
          </cell>
          <cell r="B19">
            <v>1500</v>
          </cell>
          <cell r="C19">
            <v>1500</v>
          </cell>
          <cell r="D19">
            <v>0</v>
          </cell>
          <cell r="E19">
            <v>0</v>
          </cell>
          <cell r="F19">
            <v>1000</v>
          </cell>
          <cell r="G19">
            <v>215</v>
          </cell>
        </row>
        <row r="20">
          <cell r="A20" t="str">
            <v>Duval</v>
          </cell>
          <cell r="B20">
            <v>57330</v>
          </cell>
          <cell r="C20">
            <v>58680</v>
          </cell>
          <cell r="D20">
            <v>1350</v>
          </cell>
          <cell r="E20">
            <v>0</v>
          </cell>
          <cell r="F20">
            <v>63485</v>
          </cell>
          <cell r="G20">
            <v>10263</v>
          </cell>
        </row>
        <row r="21">
          <cell r="A21" t="str">
            <v>Escambia</v>
          </cell>
          <cell r="B21">
            <v>26730</v>
          </cell>
          <cell r="C21">
            <v>29047</v>
          </cell>
          <cell r="D21">
            <v>2317</v>
          </cell>
          <cell r="E21">
            <v>0</v>
          </cell>
          <cell r="F21">
            <v>30562</v>
          </cell>
          <cell r="G21">
            <v>9912</v>
          </cell>
        </row>
        <row r="22">
          <cell r="A22" t="str">
            <v>Flagler</v>
          </cell>
          <cell r="B22">
            <v>5000</v>
          </cell>
          <cell r="C22">
            <v>5500</v>
          </cell>
          <cell r="D22">
            <v>500</v>
          </cell>
          <cell r="E22">
            <v>0</v>
          </cell>
          <cell r="F22">
            <v>9500</v>
          </cell>
          <cell r="G22">
            <v>700</v>
          </cell>
        </row>
        <row r="23">
          <cell r="A23" t="str">
            <v>Franklin</v>
          </cell>
          <cell r="B23">
            <v>1125</v>
          </cell>
          <cell r="C23">
            <v>1125</v>
          </cell>
          <cell r="D23">
            <v>0</v>
          </cell>
          <cell r="E23">
            <v>0</v>
          </cell>
          <cell r="F23">
            <v>2400</v>
          </cell>
          <cell r="G23">
            <v>1300</v>
          </cell>
        </row>
        <row r="24">
          <cell r="A24" t="str">
            <v>Gadsden</v>
          </cell>
          <cell r="B24">
            <v>3060</v>
          </cell>
          <cell r="C24">
            <v>3100</v>
          </cell>
          <cell r="D24">
            <v>40</v>
          </cell>
          <cell r="E24">
            <v>0</v>
          </cell>
          <cell r="F24">
            <v>8284</v>
          </cell>
          <cell r="G24">
            <v>2383</v>
          </cell>
        </row>
        <row r="25">
          <cell r="A25" t="str">
            <v>Gilchrist</v>
          </cell>
          <cell r="B25">
            <v>3720</v>
          </cell>
          <cell r="C25">
            <v>4568</v>
          </cell>
          <cell r="D25">
            <v>848</v>
          </cell>
          <cell r="E25">
            <v>0</v>
          </cell>
          <cell r="F25">
            <v>600</v>
          </cell>
          <cell r="G25">
            <v>480</v>
          </cell>
        </row>
        <row r="26">
          <cell r="A26" t="str">
            <v>Glades</v>
          </cell>
          <cell r="B26">
            <v>450</v>
          </cell>
          <cell r="C26">
            <v>450</v>
          </cell>
          <cell r="D26">
            <v>0</v>
          </cell>
          <cell r="E26">
            <v>0</v>
          </cell>
          <cell r="F26">
            <v>4000</v>
          </cell>
          <cell r="G26">
            <v>425</v>
          </cell>
        </row>
        <row r="27">
          <cell r="A27" t="str">
            <v>Gulf</v>
          </cell>
          <cell r="B27">
            <v>1035</v>
          </cell>
          <cell r="C27">
            <v>1035</v>
          </cell>
          <cell r="D27">
            <v>0</v>
          </cell>
          <cell r="E27">
            <v>0</v>
          </cell>
          <cell r="F27">
            <v>4463</v>
          </cell>
          <cell r="G27">
            <v>1000</v>
          </cell>
        </row>
        <row r="28">
          <cell r="A28" t="str">
            <v>Hamilton</v>
          </cell>
          <cell r="B28">
            <v>1200</v>
          </cell>
          <cell r="C28">
            <v>1200</v>
          </cell>
          <cell r="D28">
            <v>0</v>
          </cell>
          <cell r="E28">
            <v>0</v>
          </cell>
          <cell r="F28">
            <v>1003</v>
          </cell>
          <cell r="G28">
            <v>1465</v>
          </cell>
        </row>
        <row r="29">
          <cell r="A29" t="str">
            <v>Hardee</v>
          </cell>
          <cell r="B29">
            <v>1365</v>
          </cell>
          <cell r="C29">
            <v>1445</v>
          </cell>
          <cell r="D29">
            <v>80</v>
          </cell>
          <cell r="E29">
            <v>0</v>
          </cell>
          <cell r="F29">
            <v>6500</v>
          </cell>
          <cell r="G29">
            <v>730</v>
          </cell>
        </row>
        <row r="30">
          <cell r="A30" t="str">
            <v>Hendry</v>
          </cell>
          <cell r="B30">
            <v>4875</v>
          </cell>
          <cell r="C30">
            <v>4875</v>
          </cell>
          <cell r="D30">
            <v>0</v>
          </cell>
          <cell r="E30">
            <v>0</v>
          </cell>
          <cell r="F30">
            <v>9000</v>
          </cell>
          <cell r="G30">
            <v>2125</v>
          </cell>
        </row>
        <row r="31">
          <cell r="A31" t="str">
            <v>Hernando</v>
          </cell>
          <cell r="B31">
            <v>8800</v>
          </cell>
          <cell r="C31">
            <v>10400</v>
          </cell>
          <cell r="D31">
            <v>1600</v>
          </cell>
          <cell r="E31">
            <v>0</v>
          </cell>
          <cell r="F31">
            <v>23750</v>
          </cell>
          <cell r="G31">
            <v>8200</v>
          </cell>
        </row>
        <row r="32">
          <cell r="A32" t="str">
            <v>Highlands</v>
          </cell>
          <cell r="B32">
            <v>4800</v>
          </cell>
          <cell r="C32">
            <v>5550</v>
          </cell>
          <cell r="D32">
            <v>750</v>
          </cell>
          <cell r="E32">
            <v>0</v>
          </cell>
          <cell r="F32">
            <v>14000</v>
          </cell>
          <cell r="G32">
            <v>2060</v>
          </cell>
        </row>
        <row r="33">
          <cell r="A33" t="str">
            <v>Hillsborough</v>
          </cell>
          <cell r="B33">
            <v>69690</v>
          </cell>
          <cell r="C33">
            <v>70920</v>
          </cell>
          <cell r="D33">
            <v>0</v>
          </cell>
          <cell r="E33">
            <v>1230</v>
          </cell>
          <cell r="F33">
            <v>45535</v>
          </cell>
          <cell r="G33">
            <v>16650</v>
          </cell>
        </row>
        <row r="34">
          <cell r="A34" t="str">
            <v>Holmes</v>
          </cell>
          <cell r="B34">
            <v>2370</v>
          </cell>
          <cell r="C34">
            <v>2370</v>
          </cell>
          <cell r="D34">
            <v>0</v>
          </cell>
          <cell r="E34">
            <v>0</v>
          </cell>
          <cell r="F34">
            <v>2486</v>
          </cell>
          <cell r="G34">
            <v>300</v>
          </cell>
        </row>
        <row r="35">
          <cell r="A35" t="str">
            <v>Indian River</v>
          </cell>
          <cell r="B35">
            <v>7710</v>
          </cell>
          <cell r="C35">
            <v>7810</v>
          </cell>
          <cell r="D35">
            <v>100</v>
          </cell>
          <cell r="E35">
            <v>0</v>
          </cell>
          <cell r="F35">
            <v>20816</v>
          </cell>
          <cell r="G35">
            <v>3823</v>
          </cell>
        </row>
        <row r="36">
          <cell r="A36" t="str">
            <v>Jackson</v>
          </cell>
          <cell r="B36">
            <v>2700</v>
          </cell>
          <cell r="C36">
            <v>2700</v>
          </cell>
          <cell r="D36">
            <v>0</v>
          </cell>
          <cell r="E36">
            <v>0</v>
          </cell>
          <cell r="F36">
            <v>5100</v>
          </cell>
          <cell r="G36">
            <v>500</v>
          </cell>
        </row>
        <row r="37">
          <cell r="A37" t="str">
            <v>Jefferson</v>
          </cell>
          <cell r="B37">
            <v>1830</v>
          </cell>
          <cell r="C37">
            <v>2030</v>
          </cell>
          <cell r="D37">
            <v>200</v>
          </cell>
          <cell r="E37">
            <v>0</v>
          </cell>
          <cell r="F37">
            <v>7455</v>
          </cell>
          <cell r="G37">
            <v>46</v>
          </cell>
        </row>
        <row r="38">
          <cell r="A38" t="str">
            <v>Lafayette</v>
          </cell>
          <cell r="B38">
            <v>510</v>
          </cell>
          <cell r="C38">
            <v>510</v>
          </cell>
          <cell r="D38">
            <v>0</v>
          </cell>
          <cell r="E38">
            <v>0</v>
          </cell>
          <cell r="F38">
            <v>2000</v>
          </cell>
          <cell r="G38">
            <v>140</v>
          </cell>
        </row>
        <row r="39">
          <cell r="A39" t="str">
            <v>Lake</v>
          </cell>
          <cell r="B39">
            <v>8750</v>
          </cell>
          <cell r="C39">
            <v>9875</v>
          </cell>
          <cell r="D39">
            <v>1125</v>
          </cell>
          <cell r="E39">
            <v>0</v>
          </cell>
          <cell r="F39">
            <v>40097</v>
          </cell>
          <cell r="G39">
            <v>7469</v>
          </cell>
        </row>
        <row r="40">
          <cell r="A40" t="str">
            <v>Lee</v>
          </cell>
          <cell r="B40">
            <v>7020</v>
          </cell>
          <cell r="C40">
            <v>7745</v>
          </cell>
          <cell r="D40">
            <v>725</v>
          </cell>
          <cell r="E40">
            <v>0</v>
          </cell>
          <cell r="F40">
            <v>26667</v>
          </cell>
          <cell r="G40">
            <v>27700</v>
          </cell>
        </row>
        <row r="41">
          <cell r="A41" t="str">
            <v>Leon</v>
          </cell>
          <cell r="B41">
            <v>23000</v>
          </cell>
          <cell r="C41">
            <v>23500</v>
          </cell>
          <cell r="D41">
            <v>500</v>
          </cell>
          <cell r="E41">
            <v>0</v>
          </cell>
          <cell r="F41">
            <v>28000</v>
          </cell>
          <cell r="G41">
            <v>0</v>
          </cell>
        </row>
        <row r="42">
          <cell r="A42" t="str">
            <v>Levy</v>
          </cell>
          <cell r="B42">
            <v>730</v>
          </cell>
          <cell r="C42">
            <v>780</v>
          </cell>
          <cell r="D42">
            <v>50</v>
          </cell>
          <cell r="E42">
            <v>0</v>
          </cell>
          <cell r="F42">
            <v>13920</v>
          </cell>
          <cell r="G42">
            <v>587</v>
          </cell>
        </row>
        <row r="43">
          <cell r="A43" t="str">
            <v>Liberty</v>
          </cell>
          <cell r="B43">
            <v>2115</v>
          </cell>
          <cell r="C43">
            <v>2139</v>
          </cell>
          <cell r="D43">
            <v>24</v>
          </cell>
          <cell r="E43">
            <v>0</v>
          </cell>
          <cell r="F43">
            <v>1218</v>
          </cell>
          <cell r="G43">
            <v>615</v>
          </cell>
        </row>
        <row r="44">
          <cell r="A44" t="str">
            <v>Madison</v>
          </cell>
          <cell r="B44">
            <v>7020</v>
          </cell>
          <cell r="C44">
            <v>7020</v>
          </cell>
          <cell r="D44">
            <v>0</v>
          </cell>
          <cell r="E44">
            <v>0</v>
          </cell>
          <cell r="F44">
            <v>970</v>
          </cell>
          <cell r="G44">
            <v>520</v>
          </cell>
        </row>
        <row r="45">
          <cell r="A45" t="str">
            <v>Manatee</v>
          </cell>
          <cell r="B45">
            <v>22335</v>
          </cell>
          <cell r="C45">
            <v>23012</v>
          </cell>
          <cell r="D45">
            <v>677</v>
          </cell>
          <cell r="E45">
            <v>0</v>
          </cell>
          <cell r="F45">
            <v>13817</v>
          </cell>
          <cell r="G45">
            <v>259</v>
          </cell>
        </row>
        <row r="46">
          <cell r="A46" t="str">
            <v>Marion</v>
          </cell>
          <cell r="B46">
            <v>19845</v>
          </cell>
          <cell r="C46">
            <v>22671</v>
          </cell>
          <cell r="D46">
            <v>2826</v>
          </cell>
          <cell r="E46">
            <v>0</v>
          </cell>
          <cell r="F46">
            <v>25944</v>
          </cell>
          <cell r="G46">
            <v>5519</v>
          </cell>
        </row>
        <row r="47">
          <cell r="A47" t="str">
            <v>Martin</v>
          </cell>
          <cell r="B47">
            <v>8194</v>
          </cell>
          <cell r="C47">
            <v>8439</v>
          </cell>
          <cell r="D47">
            <v>245</v>
          </cell>
          <cell r="E47">
            <v>0</v>
          </cell>
          <cell r="F47">
            <v>22449</v>
          </cell>
          <cell r="G47">
            <v>3537</v>
          </cell>
        </row>
        <row r="48">
          <cell r="A48" t="str">
            <v>Monroe</v>
          </cell>
          <cell r="B48">
            <v>13740</v>
          </cell>
          <cell r="C48">
            <v>14193</v>
          </cell>
          <cell r="D48">
            <v>453</v>
          </cell>
          <cell r="E48">
            <v>0</v>
          </cell>
          <cell r="F48">
            <v>23063</v>
          </cell>
          <cell r="G48">
            <v>7677</v>
          </cell>
        </row>
        <row r="49">
          <cell r="A49" t="str">
            <v>Nassau</v>
          </cell>
          <cell r="B49">
            <v>3750</v>
          </cell>
          <cell r="C49">
            <v>3750</v>
          </cell>
          <cell r="D49">
            <v>0</v>
          </cell>
          <cell r="E49">
            <v>0</v>
          </cell>
          <cell r="F49">
            <v>8899</v>
          </cell>
          <cell r="G49">
            <v>2725</v>
          </cell>
        </row>
        <row r="50">
          <cell r="A50" t="str">
            <v>Okaloosa</v>
          </cell>
          <cell r="B50">
            <v>9105</v>
          </cell>
          <cell r="C50">
            <v>9466</v>
          </cell>
          <cell r="D50">
            <v>361</v>
          </cell>
          <cell r="E50">
            <v>0</v>
          </cell>
          <cell r="F50">
            <v>12640</v>
          </cell>
          <cell r="G50">
            <v>1057</v>
          </cell>
        </row>
        <row r="51">
          <cell r="A51" t="str">
            <v>Okeechobee</v>
          </cell>
          <cell r="B51">
            <v>2805</v>
          </cell>
          <cell r="C51">
            <v>2805</v>
          </cell>
          <cell r="D51">
            <v>0</v>
          </cell>
          <cell r="E51">
            <v>0</v>
          </cell>
          <cell r="F51">
            <v>11108</v>
          </cell>
          <cell r="G51">
            <v>1767</v>
          </cell>
        </row>
        <row r="52">
          <cell r="A52" t="str">
            <v>Orange</v>
          </cell>
          <cell r="B52">
            <v>90000</v>
          </cell>
          <cell r="C52">
            <v>100000</v>
          </cell>
          <cell r="D52">
            <v>10000</v>
          </cell>
          <cell r="E52">
            <v>0</v>
          </cell>
          <cell r="F52">
            <v>54761</v>
          </cell>
          <cell r="G52">
            <v>34294</v>
          </cell>
        </row>
        <row r="53">
          <cell r="A53" t="str">
            <v>Osceola</v>
          </cell>
          <cell r="B53">
            <v>24510</v>
          </cell>
          <cell r="C53">
            <v>24937</v>
          </cell>
          <cell r="D53">
            <v>427</v>
          </cell>
          <cell r="E53">
            <v>0</v>
          </cell>
          <cell r="F53">
            <v>42416</v>
          </cell>
          <cell r="G53">
            <v>0</v>
          </cell>
        </row>
        <row r="54">
          <cell r="A54" t="str">
            <v>Palm Beach</v>
          </cell>
          <cell r="B54">
            <v>109425</v>
          </cell>
          <cell r="C54">
            <v>115450</v>
          </cell>
          <cell r="D54">
            <v>6025</v>
          </cell>
          <cell r="E54">
            <v>0</v>
          </cell>
          <cell r="F54">
            <v>58683</v>
          </cell>
          <cell r="G54">
            <v>30675</v>
          </cell>
        </row>
        <row r="55">
          <cell r="A55" t="str">
            <v>Pasco</v>
          </cell>
          <cell r="B55">
            <v>3795</v>
          </cell>
          <cell r="C55">
            <v>3863</v>
          </cell>
          <cell r="D55">
            <v>68</v>
          </cell>
          <cell r="E55">
            <v>0</v>
          </cell>
          <cell r="F55">
            <v>23559</v>
          </cell>
          <cell r="G55">
            <v>3325</v>
          </cell>
        </row>
        <row r="56">
          <cell r="A56" t="str">
            <v>Pinellas</v>
          </cell>
          <cell r="B56">
            <v>77650</v>
          </cell>
          <cell r="C56">
            <v>80503</v>
          </cell>
          <cell r="D56">
            <v>2853</v>
          </cell>
          <cell r="E56">
            <v>0</v>
          </cell>
          <cell r="F56">
            <v>70722</v>
          </cell>
          <cell r="G56">
            <v>14485</v>
          </cell>
        </row>
        <row r="57">
          <cell r="A57" t="str">
            <v>Polk</v>
          </cell>
          <cell r="B57">
            <v>45000</v>
          </cell>
          <cell r="C57">
            <v>46800</v>
          </cell>
          <cell r="D57">
            <v>1800</v>
          </cell>
          <cell r="E57">
            <v>0</v>
          </cell>
          <cell r="F57">
            <v>22500</v>
          </cell>
          <cell r="G57">
            <v>16300</v>
          </cell>
        </row>
        <row r="58">
          <cell r="A58" t="str">
            <v>Putnam</v>
          </cell>
          <cell r="B58">
            <v>5600</v>
          </cell>
          <cell r="C58">
            <v>7800</v>
          </cell>
          <cell r="D58">
            <v>2200</v>
          </cell>
          <cell r="E58">
            <v>0</v>
          </cell>
          <cell r="F58">
            <v>17000</v>
          </cell>
          <cell r="G58">
            <v>2800</v>
          </cell>
        </row>
        <row r="59">
          <cell r="A59" t="str">
            <v>Santa Rosa</v>
          </cell>
          <cell r="B59">
            <v>10450</v>
          </cell>
          <cell r="C59">
            <v>11760</v>
          </cell>
          <cell r="D59">
            <v>1310</v>
          </cell>
          <cell r="E59">
            <v>0</v>
          </cell>
          <cell r="F59">
            <v>23497</v>
          </cell>
          <cell r="G59">
            <v>3573</v>
          </cell>
        </row>
        <row r="60">
          <cell r="A60" t="str">
            <v>Sarasota</v>
          </cell>
          <cell r="B60">
            <v>36442</v>
          </cell>
          <cell r="C60">
            <v>36656</v>
          </cell>
          <cell r="D60">
            <v>214</v>
          </cell>
          <cell r="E60">
            <v>0</v>
          </cell>
          <cell r="F60">
            <v>37182</v>
          </cell>
          <cell r="G60">
            <v>14090</v>
          </cell>
        </row>
        <row r="61">
          <cell r="A61" t="str">
            <v>Seminole</v>
          </cell>
          <cell r="B61">
            <v>22180</v>
          </cell>
          <cell r="C61">
            <v>22414</v>
          </cell>
          <cell r="D61">
            <v>234</v>
          </cell>
          <cell r="E61">
            <v>0</v>
          </cell>
          <cell r="F61">
            <v>30223</v>
          </cell>
          <cell r="G61">
            <v>6594</v>
          </cell>
        </row>
        <row r="62">
          <cell r="A62" t="str">
            <v>St. Johns</v>
          </cell>
          <cell r="B62">
            <v>4500</v>
          </cell>
          <cell r="C62">
            <v>4950</v>
          </cell>
          <cell r="D62">
            <v>450</v>
          </cell>
          <cell r="E62">
            <v>0</v>
          </cell>
          <cell r="F62">
            <v>14000</v>
          </cell>
          <cell r="G62">
            <v>750</v>
          </cell>
        </row>
        <row r="63">
          <cell r="A63" t="str">
            <v>St. Lucie</v>
          </cell>
          <cell r="B63">
            <v>31250</v>
          </cell>
          <cell r="C63">
            <v>31900</v>
          </cell>
          <cell r="D63">
            <v>650</v>
          </cell>
          <cell r="E63">
            <v>0</v>
          </cell>
          <cell r="F63">
            <v>31800</v>
          </cell>
          <cell r="G63">
            <v>14275</v>
          </cell>
        </row>
        <row r="64">
          <cell r="A64" t="str">
            <v>Sumter</v>
          </cell>
          <cell r="B64">
            <v>3200</v>
          </cell>
          <cell r="C64">
            <v>3725</v>
          </cell>
          <cell r="D64">
            <v>525</v>
          </cell>
          <cell r="E64">
            <v>0</v>
          </cell>
          <cell r="F64">
            <v>12000</v>
          </cell>
          <cell r="G64">
            <v>400</v>
          </cell>
        </row>
        <row r="65">
          <cell r="A65" t="str">
            <v>Suwannee</v>
          </cell>
          <cell r="B65">
            <v>825</v>
          </cell>
          <cell r="C65">
            <v>825</v>
          </cell>
          <cell r="D65">
            <v>0</v>
          </cell>
          <cell r="E65">
            <v>0</v>
          </cell>
          <cell r="F65">
            <v>3882</v>
          </cell>
          <cell r="G65">
            <v>555</v>
          </cell>
        </row>
        <row r="66">
          <cell r="A66" t="str">
            <v>Taylor</v>
          </cell>
          <cell r="B66">
            <v>1050</v>
          </cell>
          <cell r="C66">
            <v>1100</v>
          </cell>
          <cell r="D66">
            <v>50</v>
          </cell>
          <cell r="E66">
            <v>0</v>
          </cell>
          <cell r="F66">
            <v>1290</v>
          </cell>
          <cell r="G66">
            <v>588</v>
          </cell>
        </row>
        <row r="67">
          <cell r="A67" t="str">
            <v>Union</v>
          </cell>
          <cell r="B67">
            <v>739.87</v>
          </cell>
          <cell r="C67">
            <v>0</v>
          </cell>
          <cell r="D67">
            <v>140.91999999999999</v>
          </cell>
          <cell r="E67">
            <v>0</v>
          </cell>
          <cell r="F67">
            <v>786.84</v>
          </cell>
          <cell r="G67">
            <v>132.1</v>
          </cell>
        </row>
        <row r="68">
          <cell r="A68" t="str">
            <v>Volusia</v>
          </cell>
          <cell r="B68">
            <v>35000</v>
          </cell>
          <cell r="C68">
            <v>35450</v>
          </cell>
          <cell r="D68">
            <v>450</v>
          </cell>
          <cell r="E68">
            <v>0</v>
          </cell>
          <cell r="F68">
            <v>49500</v>
          </cell>
          <cell r="G68">
            <v>150</v>
          </cell>
        </row>
        <row r="69">
          <cell r="A69" t="str">
            <v>Wakulla</v>
          </cell>
          <cell r="B69">
            <v>150</v>
          </cell>
          <cell r="C69">
            <v>150</v>
          </cell>
          <cell r="D69">
            <v>0</v>
          </cell>
          <cell r="E69">
            <v>0</v>
          </cell>
          <cell r="F69">
            <v>9427</v>
          </cell>
          <cell r="G69">
            <v>132</v>
          </cell>
        </row>
        <row r="70">
          <cell r="A70" t="str">
            <v>Walton</v>
          </cell>
          <cell r="B70">
            <v>1500</v>
          </cell>
          <cell r="C70">
            <v>1900</v>
          </cell>
          <cell r="D70">
            <v>400</v>
          </cell>
          <cell r="E70">
            <v>0</v>
          </cell>
          <cell r="F70">
            <v>10000</v>
          </cell>
          <cell r="G70">
            <v>1500</v>
          </cell>
        </row>
        <row r="71">
          <cell r="A71" t="str">
            <v>Washington</v>
          </cell>
          <cell r="B71">
            <v>2355</v>
          </cell>
          <cell r="C71">
            <v>2355</v>
          </cell>
          <cell r="D71">
            <v>0</v>
          </cell>
          <cell r="E71">
            <v>0</v>
          </cell>
          <cell r="F71">
            <v>7170</v>
          </cell>
          <cell r="G71">
            <v>1014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imates w JAC Endorsement"/>
      <sheetName val="Sheet1"/>
      <sheetName val="Adj Endorsement Amts"/>
      <sheetName val="CCOC Format Prorated"/>
      <sheetName val="Cross-Walk_2_for Adjs"/>
      <sheetName val="Cross-Walk"/>
    </sheetNames>
    <sheetDataSet>
      <sheetData sheetId="0" refreshError="1"/>
      <sheetData sheetId="1" refreshError="1"/>
      <sheetData sheetId="2" refreshError="1"/>
      <sheetData sheetId="3" refreshError="1"/>
      <sheetData sheetId="4">
        <row r="2">
          <cell r="A2" t="str">
            <v>Alachua</v>
          </cell>
          <cell r="B2">
            <v>54200</v>
          </cell>
          <cell r="C2">
            <v>21664.51</v>
          </cell>
          <cell r="D2">
            <v>0</v>
          </cell>
          <cell r="E2">
            <v>75864.509999999995</v>
          </cell>
        </row>
        <row r="3">
          <cell r="A3" t="str">
            <v>Baker</v>
          </cell>
          <cell r="B3">
            <v>4395</v>
          </cell>
          <cell r="C3">
            <v>5762.02</v>
          </cell>
          <cell r="D3">
            <v>0</v>
          </cell>
          <cell r="E3">
            <v>10157.02</v>
          </cell>
        </row>
        <row r="4">
          <cell r="A4" t="str">
            <v>Bay</v>
          </cell>
          <cell r="B4">
            <v>48450</v>
          </cell>
          <cell r="C4">
            <v>1144.1500000000001</v>
          </cell>
          <cell r="D4">
            <v>0</v>
          </cell>
          <cell r="E4">
            <v>49594.15</v>
          </cell>
        </row>
        <row r="5">
          <cell r="A5" t="str">
            <v>Bradford</v>
          </cell>
          <cell r="B5">
            <v>6011</v>
          </cell>
          <cell r="C5">
            <v>0</v>
          </cell>
          <cell r="D5">
            <v>15742.31</v>
          </cell>
          <cell r="E5">
            <v>0</v>
          </cell>
        </row>
        <row r="6">
          <cell r="A6" t="str">
            <v>Brevard</v>
          </cell>
          <cell r="B6">
            <v>111355</v>
          </cell>
          <cell r="C6">
            <v>7510.75</v>
          </cell>
          <cell r="D6">
            <v>0</v>
          </cell>
          <cell r="E6">
            <v>118865.75</v>
          </cell>
        </row>
        <row r="7">
          <cell r="A7" t="str">
            <v>Broward</v>
          </cell>
          <cell r="B7">
            <v>198060</v>
          </cell>
          <cell r="C7">
            <v>26249.35</v>
          </cell>
          <cell r="D7">
            <v>0</v>
          </cell>
          <cell r="E7">
            <v>224309.35</v>
          </cell>
        </row>
        <row r="8">
          <cell r="A8" t="str">
            <v>Calhoun</v>
          </cell>
          <cell r="B8">
            <v>4035</v>
          </cell>
          <cell r="C8">
            <v>477.25</v>
          </cell>
          <cell r="D8">
            <v>0</v>
          </cell>
          <cell r="E8">
            <v>4512.25</v>
          </cell>
        </row>
        <row r="9">
          <cell r="A9" t="str">
            <v>Charlotte</v>
          </cell>
          <cell r="B9">
            <v>38292</v>
          </cell>
          <cell r="C9">
            <v>928.02</v>
          </cell>
          <cell r="D9">
            <v>0</v>
          </cell>
          <cell r="E9">
            <v>39220.019999999997</v>
          </cell>
        </row>
        <row r="10">
          <cell r="A10" t="str">
            <v>Citrus</v>
          </cell>
          <cell r="B10">
            <v>16950</v>
          </cell>
          <cell r="C10">
            <v>6716.07</v>
          </cell>
          <cell r="D10">
            <v>0</v>
          </cell>
          <cell r="E10">
            <v>23666.07</v>
          </cell>
        </row>
        <row r="11">
          <cell r="A11" t="str">
            <v>Clay</v>
          </cell>
          <cell r="B11">
            <v>20422</v>
          </cell>
          <cell r="C11">
            <v>0</v>
          </cell>
          <cell r="D11">
            <v>3991.32</v>
          </cell>
          <cell r="E11">
            <v>16430.68</v>
          </cell>
        </row>
        <row r="12">
          <cell r="A12" t="str">
            <v>Collier</v>
          </cell>
          <cell r="B12">
            <v>61570</v>
          </cell>
          <cell r="C12">
            <v>8129.18</v>
          </cell>
          <cell r="D12">
            <v>0</v>
          </cell>
          <cell r="E12">
            <v>69699.179999999993</v>
          </cell>
        </row>
        <row r="13">
          <cell r="A13" t="str">
            <v>Columbia</v>
          </cell>
          <cell r="B13">
            <v>15352</v>
          </cell>
          <cell r="C13">
            <v>0</v>
          </cell>
          <cell r="D13">
            <v>686.06</v>
          </cell>
          <cell r="E13">
            <v>14665.94</v>
          </cell>
        </row>
        <row r="14">
          <cell r="A14" t="str">
            <v>Dade</v>
          </cell>
          <cell r="B14">
            <v>302112</v>
          </cell>
          <cell r="C14">
            <v>0</v>
          </cell>
          <cell r="D14">
            <v>67227.48</v>
          </cell>
          <cell r="E14">
            <v>234884.52</v>
          </cell>
        </row>
        <row r="15">
          <cell r="A15" t="str">
            <v>Desoto</v>
          </cell>
          <cell r="B15">
            <v>8150</v>
          </cell>
          <cell r="C15">
            <v>1905.75</v>
          </cell>
          <cell r="D15">
            <v>0</v>
          </cell>
          <cell r="E15">
            <v>10055.75</v>
          </cell>
        </row>
        <row r="16">
          <cell r="A16" t="str">
            <v>Dixie</v>
          </cell>
          <cell r="B16">
            <v>2715</v>
          </cell>
          <cell r="C16">
            <v>0</v>
          </cell>
          <cell r="D16">
            <v>7490.42</v>
          </cell>
          <cell r="E16">
            <v>0</v>
          </cell>
        </row>
        <row r="17">
          <cell r="A17" t="str">
            <v>Duval</v>
          </cell>
          <cell r="B17">
            <v>132428</v>
          </cell>
          <cell r="C17">
            <v>15309.21</v>
          </cell>
          <cell r="D17">
            <v>0</v>
          </cell>
          <cell r="E17">
            <v>147737.21</v>
          </cell>
        </row>
        <row r="18">
          <cell r="A18" t="str">
            <v>Escambia</v>
          </cell>
          <cell r="B18">
            <v>69521</v>
          </cell>
          <cell r="C18">
            <v>10426.120000000001</v>
          </cell>
          <cell r="D18">
            <v>0</v>
          </cell>
          <cell r="E18">
            <v>79947.12</v>
          </cell>
        </row>
        <row r="19">
          <cell r="A19" t="str">
            <v>Flagler</v>
          </cell>
          <cell r="B19">
            <v>15700</v>
          </cell>
          <cell r="C19">
            <v>0</v>
          </cell>
          <cell r="D19">
            <v>3513.66</v>
          </cell>
          <cell r="E19">
            <v>12186.34</v>
          </cell>
        </row>
        <row r="20">
          <cell r="A20" t="str">
            <v>Franklin</v>
          </cell>
          <cell r="B20">
            <v>4825</v>
          </cell>
          <cell r="C20">
            <v>0</v>
          </cell>
          <cell r="D20">
            <v>988.8</v>
          </cell>
          <cell r="E20">
            <v>3836.2</v>
          </cell>
        </row>
        <row r="21">
          <cell r="A21" t="str">
            <v>Gadsden</v>
          </cell>
          <cell r="B21">
            <v>13767</v>
          </cell>
          <cell r="C21">
            <v>0</v>
          </cell>
          <cell r="D21">
            <v>1941.33</v>
          </cell>
          <cell r="E21">
            <v>11825.67</v>
          </cell>
        </row>
        <row r="22">
          <cell r="A22" t="str">
            <v>Gilchrist</v>
          </cell>
          <cell r="B22">
            <v>5648</v>
          </cell>
          <cell r="C22">
            <v>0</v>
          </cell>
          <cell r="D22">
            <v>14004.36</v>
          </cell>
          <cell r="E22">
            <v>0</v>
          </cell>
        </row>
        <row r="23">
          <cell r="A23" t="str">
            <v>Glades</v>
          </cell>
          <cell r="B23">
            <v>4875</v>
          </cell>
          <cell r="C23">
            <v>0</v>
          </cell>
          <cell r="D23">
            <v>183.01</v>
          </cell>
          <cell r="E23">
            <v>4691.99</v>
          </cell>
        </row>
        <row r="24">
          <cell r="A24" t="str">
            <v>Gulf</v>
          </cell>
          <cell r="B24">
            <v>6498</v>
          </cell>
          <cell r="C24">
            <v>0</v>
          </cell>
          <cell r="D24">
            <v>273.25</v>
          </cell>
          <cell r="E24">
            <v>6224.75</v>
          </cell>
        </row>
        <row r="25">
          <cell r="A25" t="str">
            <v>Hamilton</v>
          </cell>
          <cell r="B25">
            <v>3668</v>
          </cell>
          <cell r="C25">
            <v>1733.43</v>
          </cell>
          <cell r="D25">
            <v>0</v>
          </cell>
          <cell r="E25">
            <v>5401.43</v>
          </cell>
        </row>
        <row r="26">
          <cell r="A26" t="str">
            <v>Hardee</v>
          </cell>
          <cell r="B26">
            <v>8675</v>
          </cell>
          <cell r="C26">
            <v>6647.7</v>
          </cell>
          <cell r="D26">
            <v>0</v>
          </cell>
          <cell r="E26">
            <v>15322.7</v>
          </cell>
        </row>
        <row r="27">
          <cell r="A27" t="str">
            <v>Hendry</v>
          </cell>
          <cell r="B27">
            <v>16000</v>
          </cell>
          <cell r="C27">
            <v>6530.19</v>
          </cell>
          <cell r="D27">
            <v>0</v>
          </cell>
          <cell r="E27">
            <v>22530.19</v>
          </cell>
        </row>
        <row r="28">
          <cell r="A28" t="str">
            <v>Hernando</v>
          </cell>
          <cell r="B28">
            <v>42350</v>
          </cell>
          <cell r="C28">
            <v>6649.47</v>
          </cell>
          <cell r="D28">
            <v>0</v>
          </cell>
          <cell r="E28">
            <v>48999.47</v>
          </cell>
        </row>
        <row r="29">
          <cell r="A29" t="str">
            <v>Highlands</v>
          </cell>
          <cell r="B29">
            <v>21610</v>
          </cell>
          <cell r="C29">
            <v>0</v>
          </cell>
          <cell r="D29">
            <v>7031.2</v>
          </cell>
          <cell r="E29">
            <v>14578.8</v>
          </cell>
        </row>
        <row r="30">
          <cell r="A30" t="str">
            <v>Hillsborough</v>
          </cell>
          <cell r="B30">
            <v>133105</v>
          </cell>
          <cell r="C30">
            <v>0</v>
          </cell>
          <cell r="D30">
            <v>21953.1</v>
          </cell>
          <cell r="E30">
            <v>111151.9</v>
          </cell>
        </row>
        <row r="31">
          <cell r="A31" t="str">
            <v>Holmes</v>
          </cell>
          <cell r="B31">
            <v>5156</v>
          </cell>
          <cell r="C31">
            <v>0</v>
          </cell>
          <cell r="D31">
            <v>1793.59</v>
          </cell>
          <cell r="E31">
            <v>3362.41</v>
          </cell>
        </row>
        <row r="32">
          <cell r="A32" t="str">
            <v>Indian River</v>
          </cell>
          <cell r="B32">
            <v>32449</v>
          </cell>
          <cell r="C32">
            <v>8723.77</v>
          </cell>
          <cell r="D32">
            <v>0</v>
          </cell>
          <cell r="E32">
            <v>41172.769999999997</v>
          </cell>
        </row>
        <row r="33">
          <cell r="A33" t="str">
            <v>Jackson</v>
          </cell>
          <cell r="B33">
            <v>8300</v>
          </cell>
          <cell r="C33">
            <v>2365.04</v>
          </cell>
          <cell r="D33">
            <v>0</v>
          </cell>
          <cell r="E33">
            <v>10665.04</v>
          </cell>
        </row>
        <row r="34">
          <cell r="A34" t="str">
            <v>Jefferson</v>
          </cell>
          <cell r="B34">
            <v>9531</v>
          </cell>
          <cell r="C34">
            <v>7079.87</v>
          </cell>
          <cell r="D34">
            <v>0</v>
          </cell>
          <cell r="E34">
            <v>16610.87</v>
          </cell>
        </row>
        <row r="35">
          <cell r="A35" t="str">
            <v>Lafayette</v>
          </cell>
          <cell r="B35">
            <v>2650</v>
          </cell>
          <cell r="C35">
            <v>1495.65</v>
          </cell>
          <cell r="D35">
            <v>0</v>
          </cell>
          <cell r="E35">
            <v>4145.6499999999996</v>
          </cell>
        </row>
        <row r="36">
          <cell r="A36" t="str">
            <v>Lake</v>
          </cell>
          <cell r="B36">
            <v>57441</v>
          </cell>
          <cell r="C36">
            <v>0</v>
          </cell>
          <cell r="D36">
            <v>4486.96</v>
          </cell>
          <cell r="E36">
            <v>52954.04</v>
          </cell>
        </row>
        <row r="37">
          <cell r="A37" t="str">
            <v>Lee</v>
          </cell>
          <cell r="B37">
            <v>62112</v>
          </cell>
          <cell r="C37">
            <v>0</v>
          </cell>
          <cell r="D37">
            <v>5152.1400000000003</v>
          </cell>
          <cell r="E37">
            <v>56959.86</v>
          </cell>
        </row>
        <row r="38">
          <cell r="A38" t="str">
            <v>Leon</v>
          </cell>
          <cell r="B38">
            <v>51500</v>
          </cell>
          <cell r="C38">
            <v>32293.38</v>
          </cell>
          <cell r="D38">
            <v>0</v>
          </cell>
          <cell r="E38">
            <v>83793.38</v>
          </cell>
        </row>
        <row r="39">
          <cell r="A39" t="str">
            <v>Levy</v>
          </cell>
          <cell r="B39">
            <v>15287</v>
          </cell>
          <cell r="C39">
            <v>0</v>
          </cell>
          <cell r="D39">
            <v>6708.44</v>
          </cell>
          <cell r="E39">
            <v>8578.56</v>
          </cell>
        </row>
        <row r="40">
          <cell r="A40" t="str">
            <v>Liberty</v>
          </cell>
          <cell r="B40">
            <v>3972</v>
          </cell>
          <cell r="C40">
            <v>1623.14</v>
          </cell>
          <cell r="D40">
            <v>0</v>
          </cell>
          <cell r="E40">
            <v>5595.14</v>
          </cell>
        </row>
        <row r="41">
          <cell r="A41" t="str">
            <v>Madison</v>
          </cell>
          <cell r="B41">
            <v>8510</v>
          </cell>
          <cell r="C41">
            <v>0</v>
          </cell>
          <cell r="D41">
            <v>3329.36</v>
          </cell>
          <cell r="E41">
            <v>5180.6400000000003</v>
          </cell>
        </row>
        <row r="42">
          <cell r="A42" t="str">
            <v>Manatee</v>
          </cell>
          <cell r="B42">
            <v>37088</v>
          </cell>
          <cell r="C42">
            <v>0</v>
          </cell>
          <cell r="D42">
            <v>2581.71</v>
          </cell>
          <cell r="E42">
            <v>34506.29</v>
          </cell>
        </row>
        <row r="43">
          <cell r="A43" t="str">
            <v>Marion</v>
          </cell>
          <cell r="B43">
            <v>54134</v>
          </cell>
          <cell r="C43">
            <v>329.96</v>
          </cell>
          <cell r="D43">
            <v>0</v>
          </cell>
          <cell r="E43">
            <v>54463.96</v>
          </cell>
        </row>
        <row r="44">
          <cell r="A44" t="str">
            <v>Martin</v>
          </cell>
          <cell r="B44">
            <v>34425</v>
          </cell>
          <cell r="C44">
            <v>5264.94</v>
          </cell>
          <cell r="D44">
            <v>0</v>
          </cell>
          <cell r="E44">
            <v>39689.94</v>
          </cell>
        </row>
        <row r="45">
          <cell r="A45" t="str">
            <v>Monroe</v>
          </cell>
          <cell r="B45">
            <v>44933</v>
          </cell>
          <cell r="C45">
            <v>24337.31</v>
          </cell>
          <cell r="D45">
            <v>0</v>
          </cell>
          <cell r="E45">
            <v>69270.31</v>
          </cell>
        </row>
        <row r="46">
          <cell r="A46" t="str">
            <v>Nassau</v>
          </cell>
          <cell r="B46">
            <v>15374</v>
          </cell>
          <cell r="C46">
            <v>1243.07</v>
          </cell>
          <cell r="D46">
            <v>0</v>
          </cell>
          <cell r="E46">
            <v>16617.07</v>
          </cell>
        </row>
        <row r="47">
          <cell r="A47" t="str">
            <v>Okaloosa</v>
          </cell>
          <cell r="B47">
            <v>23163</v>
          </cell>
          <cell r="C47">
            <v>1672.33</v>
          </cell>
          <cell r="D47">
            <v>0</v>
          </cell>
          <cell r="E47">
            <v>24835.33</v>
          </cell>
        </row>
        <row r="48">
          <cell r="A48" t="str">
            <v>Okeechobee</v>
          </cell>
          <cell r="B48">
            <v>15680</v>
          </cell>
          <cell r="C48">
            <v>5439.37</v>
          </cell>
          <cell r="D48">
            <v>0</v>
          </cell>
          <cell r="E48">
            <v>21119.37</v>
          </cell>
        </row>
        <row r="49">
          <cell r="A49" t="str">
            <v>Orange</v>
          </cell>
          <cell r="B49">
            <v>189055</v>
          </cell>
          <cell r="C49">
            <v>16850.16</v>
          </cell>
          <cell r="D49">
            <v>0</v>
          </cell>
          <cell r="E49">
            <v>205905.16</v>
          </cell>
        </row>
        <row r="50">
          <cell r="A50" t="str">
            <v>Osceola</v>
          </cell>
          <cell r="B50">
            <v>67353</v>
          </cell>
          <cell r="C50">
            <v>0</v>
          </cell>
          <cell r="D50">
            <v>979.13</v>
          </cell>
          <cell r="E50">
            <v>66373.87</v>
          </cell>
        </row>
        <row r="51">
          <cell r="A51" t="str">
            <v>Palm Beach</v>
          </cell>
          <cell r="B51">
            <v>204808</v>
          </cell>
          <cell r="C51">
            <v>10933.52</v>
          </cell>
          <cell r="D51">
            <v>0</v>
          </cell>
          <cell r="E51">
            <v>215741.52</v>
          </cell>
        </row>
        <row r="52">
          <cell r="A52" t="str">
            <v>Pasco</v>
          </cell>
          <cell r="B52">
            <v>30747</v>
          </cell>
          <cell r="C52">
            <v>7453.6</v>
          </cell>
          <cell r="D52">
            <v>0</v>
          </cell>
          <cell r="E52">
            <v>38200.6</v>
          </cell>
        </row>
        <row r="53">
          <cell r="A53" t="str">
            <v>Pinellas</v>
          </cell>
          <cell r="B53">
            <v>165710</v>
          </cell>
          <cell r="C53">
            <v>0</v>
          </cell>
          <cell r="D53">
            <v>16703.439999999999</v>
          </cell>
          <cell r="E53">
            <v>149006.56</v>
          </cell>
        </row>
        <row r="54">
          <cell r="A54" t="str">
            <v>Polk</v>
          </cell>
          <cell r="B54">
            <v>85600</v>
          </cell>
          <cell r="C54">
            <v>4585.1499999999996</v>
          </cell>
          <cell r="D54">
            <v>0</v>
          </cell>
          <cell r="E54">
            <v>90185.15</v>
          </cell>
        </row>
        <row r="55">
          <cell r="A55" t="str">
            <v>Putnam</v>
          </cell>
          <cell r="B55">
            <v>27600</v>
          </cell>
          <cell r="C55">
            <v>0</v>
          </cell>
          <cell r="D55">
            <v>12843.84</v>
          </cell>
          <cell r="E55">
            <v>14756.16</v>
          </cell>
        </row>
        <row r="56">
          <cell r="A56" t="str">
            <v>Santa Rosa</v>
          </cell>
          <cell r="B56">
            <v>38830</v>
          </cell>
          <cell r="C56">
            <v>11731.22</v>
          </cell>
          <cell r="D56">
            <v>0</v>
          </cell>
          <cell r="E56">
            <v>50561.22</v>
          </cell>
        </row>
        <row r="57">
          <cell r="A57" t="str">
            <v>Sarasota</v>
          </cell>
          <cell r="B57">
            <v>87928</v>
          </cell>
          <cell r="C57">
            <v>0</v>
          </cell>
          <cell r="D57">
            <v>3669.46</v>
          </cell>
          <cell r="E57">
            <v>84258.54</v>
          </cell>
        </row>
        <row r="58">
          <cell r="A58" t="str">
            <v>Seminole</v>
          </cell>
          <cell r="B58">
            <v>59231</v>
          </cell>
          <cell r="C58">
            <v>32144.26</v>
          </cell>
          <cell r="D58">
            <v>0</v>
          </cell>
          <cell r="E58">
            <v>91375.26</v>
          </cell>
        </row>
        <row r="59">
          <cell r="A59" t="str">
            <v>St. Johns</v>
          </cell>
          <cell r="B59">
            <v>19700</v>
          </cell>
          <cell r="C59">
            <v>4561.53</v>
          </cell>
          <cell r="D59">
            <v>0</v>
          </cell>
          <cell r="E59">
            <v>24261.53</v>
          </cell>
        </row>
        <row r="60">
          <cell r="A60" t="str">
            <v>St. Lucie</v>
          </cell>
          <cell r="B60">
            <v>77975</v>
          </cell>
          <cell r="C60">
            <v>0</v>
          </cell>
          <cell r="D60">
            <v>16783.97</v>
          </cell>
          <cell r="E60">
            <v>61191.03</v>
          </cell>
        </row>
        <row r="61">
          <cell r="A61" t="str">
            <v>Sumter</v>
          </cell>
          <cell r="B61">
            <v>16125</v>
          </cell>
          <cell r="C61">
            <v>0</v>
          </cell>
          <cell r="D61">
            <v>0</v>
          </cell>
          <cell r="E61">
            <v>16125</v>
          </cell>
        </row>
        <row r="62">
          <cell r="A62" t="str">
            <v>Suwannee</v>
          </cell>
          <cell r="B62">
            <v>5262</v>
          </cell>
          <cell r="C62">
            <v>0</v>
          </cell>
          <cell r="D62">
            <v>1575.74</v>
          </cell>
          <cell r="E62">
            <v>3686.26</v>
          </cell>
        </row>
        <row r="63">
          <cell r="A63" t="str">
            <v>Taylor</v>
          </cell>
          <cell r="B63">
            <v>2978</v>
          </cell>
          <cell r="C63">
            <v>470.08</v>
          </cell>
          <cell r="D63">
            <v>0</v>
          </cell>
          <cell r="E63">
            <v>3448.08</v>
          </cell>
        </row>
        <row r="64">
          <cell r="A64" t="str">
            <v>Union</v>
          </cell>
          <cell r="B64">
            <v>3510.6675</v>
          </cell>
          <cell r="C64">
            <v>0</v>
          </cell>
          <cell r="D64">
            <v>0</v>
          </cell>
          <cell r="E64">
            <v>1799.7275</v>
          </cell>
        </row>
        <row r="65">
          <cell r="A65" t="str">
            <v>Volusia</v>
          </cell>
          <cell r="B65">
            <v>85100</v>
          </cell>
          <cell r="C65">
            <v>4536.0200000000004</v>
          </cell>
          <cell r="D65">
            <v>0</v>
          </cell>
          <cell r="E65">
            <v>89636.02</v>
          </cell>
        </row>
        <row r="66">
          <cell r="A66" t="str">
            <v>Wakulla</v>
          </cell>
          <cell r="B66">
            <v>9709</v>
          </cell>
          <cell r="C66">
            <v>731.66</v>
          </cell>
          <cell r="D66">
            <v>0</v>
          </cell>
          <cell r="E66">
            <v>10440.66</v>
          </cell>
        </row>
        <row r="67">
          <cell r="A67" t="str">
            <v>Walton</v>
          </cell>
          <cell r="B67">
            <v>13400</v>
          </cell>
          <cell r="C67">
            <v>0</v>
          </cell>
          <cell r="D67">
            <v>5089.3900000000003</v>
          </cell>
          <cell r="E67">
            <v>8310.61</v>
          </cell>
        </row>
        <row r="68">
          <cell r="A68" t="str">
            <v>Washington</v>
          </cell>
          <cell r="B68">
            <v>10539</v>
          </cell>
          <cell r="C68">
            <v>0</v>
          </cell>
          <cell r="D68">
            <v>2047.29</v>
          </cell>
          <cell r="E68">
            <v>8491.7099999999991</v>
          </cell>
        </row>
      </sheetData>
      <sheetData sheetId="5">
        <row r="5">
          <cell r="A5" t="str">
            <v>Alachua</v>
          </cell>
          <cell r="B5">
            <v>16300</v>
          </cell>
          <cell r="C5">
            <v>20300</v>
          </cell>
          <cell r="D5">
            <v>4000</v>
          </cell>
          <cell r="E5">
            <v>0</v>
          </cell>
          <cell r="F5">
            <v>30000</v>
          </cell>
          <cell r="G5">
            <v>3900</v>
          </cell>
        </row>
        <row r="6">
          <cell r="A6" t="str">
            <v>Baker</v>
          </cell>
          <cell r="B6">
            <v>700</v>
          </cell>
          <cell r="C6">
            <v>900</v>
          </cell>
          <cell r="D6">
            <v>200</v>
          </cell>
          <cell r="E6">
            <v>0</v>
          </cell>
          <cell r="F6">
            <v>3100</v>
          </cell>
          <cell r="G6">
            <v>395</v>
          </cell>
        </row>
        <row r="7">
          <cell r="A7" t="str">
            <v>Bay</v>
          </cell>
          <cell r="B7">
            <v>13500</v>
          </cell>
          <cell r="C7">
            <v>13650</v>
          </cell>
          <cell r="D7">
            <v>150</v>
          </cell>
          <cell r="E7">
            <v>0</v>
          </cell>
          <cell r="F7">
            <v>25000</v>
          </cell>
          <cell r="G7">
            <v>9800</v>
          </cell>
        </row>
        <row r="8">
          <cell r="A8" t="str">
            <v>Bradford</v>
          </cell>
          <cell r="B8">
            <v>2300</v>
          </cell>
          <cell r="C8">
            <v>2800</v>
          </cell>
          <cell r="D8">
            <v>500</v>
          </cell>
          <cell r="E8">
            <v>0</v>
          </cell>
          <cell r="F8">
            <v>2600</v>
          </cell>
          <cell r="G8">
            <v>611</v>
          </cell>
        </row>
        <row r="9">
          <cell r="A9" t="str">
            <v>Brevard</v>
          </cell>
          <cell r="B9">
            <v>57000</v>
          </cell>
          <cell r="C9">
            <v>58700</v>
          </cell>
          <cell r="D9">
            <v>1700</v>
          </cell>
          <cell r="E9">
            <v>0</v>
          </cell>
          <cell r="F9">
            <v>46000</v>
          </cell>
          <cell r="G9">
            <v>6655</v>
          </cell>
        </row>
        <row r="10">
          <cell r="A10" t="str">
            <v>Broward</v>
          </cell>
          <cell r="B10">
            <v>105130</v>
          </cell>
          <cell r="C10">
            <v>111840</v>
          </cell>
          <cell r="D10">
            <v>1120</v>
          </cell>
          <cell r="E10">
            <v>5590</v>
          </cell>
          <cell r="F10">
            <v>61500</v>
          </cell>
          <cell r="G10">
            <v>24720</v>
          </cell>
        </row>
        <row r="11">
          <cell r="A11" t="str">
            <v>Calhoun</v>
          </cell>
          <cell r="B11">
            <v>2400</v>
          </cell>
          <cell r="C11">
            <v>2400</v>
          </cell>
          <cell r="D11">
            <v>0</v>
          </cell>
          <cell r="E11">
            <v>0</v>
          </cell>
          <cell r="F11">
            <v>1410</v>
          </cell>
          <cell r="G11">
            <v>225</v>
          </cell>
        </row>
        <row r="12">
          <cell r="A12" t="str">
            <v>Charlotte</v>
          </cell>
          <cell r="B12">
            <v>11865</v>
          </cell>
          <cell r="C12">
            <v>11965</v>
          </cell>
          <cell r="D12">
            <v>100</v>
          </cell>
          <cell r="E12">
            <v>0</v>
          </cell>
          <cell r="F12">
            <v>20327</v>
          </cell>
          <cell r="G12">
            <v>6000</v>
          </cell>
        </row>
        <row r="13">
          <cell r="A13" t="str">
            <v>Citrus</v>
          </cell>
          <cell r="B13">
            <v>8320</v>
          </cell>
          <cell r="C13">
            <v>8320</v>
          </cell>
          <cell r="D13">
            <v>0</v>
          </cell>
          <cell r="E13">
            <v>0</v>
          </cell>
          <cell r="F13">
            <v>7200</v>
          </cell>
          <cell r="G13">
            <v>1430</v>
          </cell>
        </row>
        <row r="14">
          <cell r="A14" t="str">
            <v>Clay</v>
          </cell>
          <cell r="B14">
            <v>5000</v>
          </cell>
          <cell r="C14">
            <v>5200</v>
          </cell>
          <cell r="D14">
            <v>200</v>
          </cell>
          <cell r="E14">
            <v>0</v>
          </cell>
          <cell r="F14">
            <v>10402</v>
          </cell>
          <cell r="G14">
            <v>4820</v>
          </cell>
        </row>
        <row r="15">
          <cell r="A15" t="str">
            <v>Collier</v>
          </cell>
          <cell r="B15">
            <v>18750</v>
          </cell>
          <cell r="C15">
            <v>20000</v>
          </cell>
          <cell r="D15">
            <v>1250</v>
          </cell>
          <cell r="E15">
            <v>0</v>
          </cell>
          <cell r="F15">
            <v>34931</v>
          </cell>
          <cell r="G15">
            <v>6639</v>
          </cell>
        </row>
        <row r="16">
          <cell r="A16" t="str">
            <v>Columbia</v>
          </cell>
          <cell r="B16">
            <v>3500</v>
          </cell>
          <cell r="C16">
            <v>3600</v>
          </cell>
          <cell r="D16">
            <v>100</v>
          </cell>
          <cell r="E16">
            <v>0</v>
          </cell>
          <cell r="F16">
            <v>10652</v>
          </cell>
          <cell r="G16">
            <v>1100</v>
          </cell>
        </row>
        <row r="17">
          <cell r="A17" t="str">
            <v>Dade</v>
          </cell>
          <cell r="B17">
            <v>68268</v>
          </cell>
          <cell r="C17">
            <v>75851</v>
          </cell>
          <cell r="D17">
            <v>4083</v>
          </cell>
          <cell r="E17">
            <v>3500</v>
          </cell>
          <cell r="F17">
            <v>198661</v>
          </cell>
          <cell r="G17">
            <v>27600</v>
          </cell>
        </row>
        <row r="18">
          <cell r="A18" t="str">
            <v>Desoto</v>
          </cell>
          <cell r="B18">
            <v>2350</v>
          </cell>
          <cell r="C18">
            <v>2500</v>
          </cell>
          <cell r="D18">
            <v>150</v>
          </cell>
          <cell r="E18">
            <v>0</v>
          </cell>
          <cell r="F18">
            <v>4100</v>
          </cell>
          <cell r="G18">
            <v>1550</v>
          </cell>
        </row>
        <row r="19">
          <cell r="A19" t="str">
            <v>Dixie</v>
          </cell>
          <cell r="B19">
            <v>1500</v>
          </cell>
          <cell r="C19">
            <v>1500</v>
          </cell>
          <cell r="D19">
            <v>0</v>
          </cell>
          <cell r="E19">
            <v>0</v>
          </cell>
          <cell r="F19">
            <v>1000</v>
          </cell>
          <cell r="G19">
            <v>215</v>
          </cell>
        </row>
        <row r="20">
          <cell r="A20" t="str">
            <v>Duval</v>
          </cell>
          <cell r="B20">
            <v>57330</v>
          </cell>
          <cell r="C20">
            <v>58680</v>
          </cell>
          <cell r="D20">
            <v>1350</v>
          </cell>
          <cell r="E20">
            <v>0</v>
          </cell>
          <cell r="F20">
            <v>63485</v>
          </cell>
          <cell r="G20">
            <v>10263</v>
          </cell>
        </row>
        <row r="21">
          <cell r="A21" t="str">
            <v>Escambia</v>
          </cell>
          <cell r="B21">
            <v>26730</v>
          </cell>
          <cell r="C21">
            <v>29047</v>
          </cell>
          <cell r="D21">
            <v>2317</v>
          </cell>
          <cell r="E21">
            <v>0</v>
          </cell>
          <cell r="F21">
            <v>30562</v>
          </cell>
          <cell r="G21">
            <v>9912</v>
          </cell>
        </row>
        <row r="22">
          <cell r="A22" t="str">
            <v>Flagler</v>
          </cell>
          <cell r="B22">
            <v>5000</v>
          </cell>
          <cell r="C22">
            <v>5500</v>
          </cell>
          <cell r="D22">
            <v>500</v>
          </cell>
          <cell r="E22">
            <v>0</v>
          </cell>
          <cell r="F22">
            <v>9500</v>
          </cell>
          <cell r="G22">
            <v>700</v>
          </cell>
        </row>
        <row r="23">
          <cell r="A23" t="str">
            <v>Franklin</v>
          </cell>
          <cell r="B23">
            <v>1125</v>
          </cell>
          <cell r="C23">
            <v>1125</v>
          </cell>
          <cell r="D23">
            <v>0</v>
          </cell>
          <cell r="E23">
            <v>0</v>
          </cell>
          <cell r="F23">
            <v>2400</v>
          </cell>
          <cell r="G23">
            <v>1300</v>
          </cell>
        </row>
        <row r="24">
          <cell r="A24" t="str">
            <v>Gadsden</v>
          </cell>
          <cell r="B24">
            <v>3060</v>
          </cell>
          <cell r="C24">
            <v>3100</v>
          </cell>
          <cell r="D24">
            <v>40</v>
          </cell>
          <cell r="E24">
            <v>0</v>
          </cell>
          <cell r="F24">
            <v>8284</v>
          </cell>
          <cell r="G24">
            <v>2383</v>
          </cell>
        </row>
        <row r="25">
          <cell r="A25" t="str">
            <v>Gilchrist</v>
          </cell>
          <cell r="B25">
            <v>3720</v>
          </cell>
          <cell r="C25">
            <v>4568</v>
          </cell>
          <cell r="D25">
            <v>848</v>
          </cell>
          <cell r="E25">
            <v>0</v>
          </cell>
          <cell r="F25">
            <v>600</v>
          </cell>
          <cell r="G25">
            <v>480</v>
          </cell>
        </row>
        <row r="26">
          <cell r="A26" t="str">
            <v>Glades</v>
          </cell>
          <cell r="B26">
            <v>450</v>
          </cell>
          <cell r="C26">
            <v>450</v>
          </cell>
          <cell r="D26">
            <v>0</v>
          </cell>
          <cell r="E26">
            <v>0</v>
          </cell>
          <cell r="F26">
            <v>4000</v>
          </cell>
          <cell r="G26">
            <v>425</v>
          </cell>
        </row>
        <row r="27">
          <cell r="A27" t="str">
            <v>Gulf</v>
          </cell>
          <cell r="B27">
            <v>1035</v>
          </cell>
          <cell r="C27">
            <v>1035</v>
          </cell>
          <cell r="D27">
            <v>0</v>
          </cell>
          <cell r="E27">
            <v>0</v>
          </cell>
          <cell r="F27">
            <v>4463</v>
          </cell>
          <cell r="G27">
            <v>1000</v>
          </cell>
        </row>
        <row r="28">
          <cell r="A28" t="str">
            <v>Hamilton</v>
          </cell>
          <cell r="B28">
            <v>1200</v>
          </cell>
          <cell r="C28">
            <v>1200</v>
          </cell>
          <cell r="D28">
            <v>0</v>
          </cell>
          <cell r="E28">
            <v>0</v>
          </cell>
          <cell r="F28">
            <v>1003</v>
          </cell>
          <cell r="G28">
            <v>1465</v>
          </cell>
        </row>
        <row r="29">
          <cell r="A29" t="str">
            <v>Hardee</v>
          </cell>
          <cell r="B29">
            <v>1365</v>
          </cell>
          <cell r="C29">
            <v>1445</v>
          </cell>
          <cell r="D29">
            <v>80</v>
          </cell>
          <cell r="E29">
            <v>0</v>
          </cell>
          <cell r="F29">
            <v>6500</v>
          </cell>
          <cell r="G29">
            <v>730</v>
          </cell>
        </row>
        <row r="30">
          <cell r="A30" t="str">
            <v>Hendry</v>
          </cell>
          <cell r="B30">
            <v>4875</v>
          </cell>
          <cell r="C30">
            <v>4875</v>
          </cell>
          <cell r="D30">
            <v>0</v>
          </cell>
          <cell r="E30">
            <v>0</v>
          </cell>
          <cell r="F30">
            <v>9000</v>
          </cell>
          <cell r="G30">
            <v>2125</v>
          </cell>
        </row>
        <row r="31">
          <cell r="A31" t="str">
            <v>Hernando</v>
          </cell>
          <cell r="B31">
            <v>8800</v>
          </cell>
          <cell r="C31">
            <v>10400</v>
          </cell>
          <cell r="D31">
            <v>1600</v>
          </cell>
          <cell r="E31">
            <v>0</v>
          </cell>
          <cell r="F31">
            <v>23750</v>
          </cell>
          <cell r="G31">
            <v>8200</v>
          </cell>
        </row>
        <row r="32">
          <cell r="A32" t="str">
            <v>Highlands</v>
          </cell>
          <cell r="B32">
            <v>4800</v>
          </cell>
          <cell r="C32">
            <v>5550</v>
          </cell>
          <cell r="D32">
            <v>750</v>
          </cell>
          <cell r="E32">
            <v>0</v>
          </cell>
          <cell r="F32">
            <v>14000</v>
          </cell>
          <cell r="G32">
            <v>2060</v>
          </cell>
        </row>
        <row r="33">
          <cell r="A33" t="str">
            <v>Hillsborough</v>
          </cell>
          <cell r="B33">
            <v>69690</v>
          </cell>
          <cell r="C33">
            <v>70920</v>
          </cell>
          <cell r="D33">
            <v>0</v>
          </cell>
          <cell r="E33">
            <v>1230</v>
          </cell>
          <cell r="F33">
            <v>45535</v>
          </cell>
          <cell r="G33">
            <v>16650</v>
          </cell>
        </row>
        <row r="34">
          <cell r="A34" t="str">
            <v>Holmes</v>
          </cell>
          <cell r="B34">
            <v>2370</v>
          </cell>
          <cell r="C34">
            <v>2370</v>
          </cell>
          <cell r="D34">
            <v>0</v>
          </cell>
          <cell r="E34">
            <v>0</v>
          </cell>
          <cell r="F34">
            <v>2486</v>
          </cell>
          <cell r="G34">
            <v>300</v>
          </cell>
        </row>
        <row r="35">
          <cell r="A35" t="str">
            <v>Indian River</v>
          </cell>
          <cell r="B35">
            <v>7710</v>
          </cell>
          <cell r="C35">
            <v>7810</v>
          </cell>
          <cell r="D35">
            <v>100</v>
          </cell>
          <cell r="E35">
            <v>0</v>
          </cell>
          <cell r="F35">
            <v>20816</v>
          </cell>
          <cell r="G35">
            <v>3823</v>
          </cell>
        </row>
        <row r="36">
          <cell r="A36" t="str">
            <v>Jackson</v>
          </cell>
          <cell r="B36">
            <v>2700</v>
          </cell>
          <cell r="C36">
            <v>2700</v>
          </cell>
          <cell r="D36">
            <v>0</v>
          </cell>
          <cell r="E36">
            <v>0</v>
          </cell>
          <cell r="F36">
            <v>5100</v>
          </cell>
          <cell r="G36">
            <v>500</v>
          </cell>
        </row>
        <row r="37">
          <cell r="A37" t="str">
            <v>Jefferson</v>
          </cell>
          <cell r="B37">
            <v>1830</v>
          </cell>
          <cell r="C37">
            <v>2030</v>
          </cell>
          <cell r="D37">
            <v>200</v>
          </cell>
          <cell r="E37">
            <v>0</v>
          </cell>
          <cell r="F37">
            <v>7455</v>
          </cell>
          <cell r="G37">
            <v>46</v>
          </cell>
        </row>
        <row r="38">
          <cell r="A38" t="str">
            <v>Lafayette</v>
          </cell>
          <cell r="B38">
            <v>510</v>
          </cell>
          <cell r="C38">
            <v>510</v>
          </cell>
          <cell r="D38">
            <v>0</v>
          </cell>
          <cell r="E38">
            <v>0</v>
          </cell>
          <cell r="F38">
            <v>2000</v>
          </cell>
          <cell r="G38">
            <v>140</v>
          </cell>
        </row>
        <row r="39">
          <cell r="A39" t="str">
            <v>Lake</v>
          </cell>
          <cell r="B39">
            <v>8750</v>
          </cell>
          <cell r="C39">
            <v>9875</v>
          </cell>
          <cell r="D39">
            <v>1125</v>
          </cell>
          <cell r="E39">
            <v>0</v>
          </cell>
          <cell r="F39">
            <v>40097</v>
          </cell>
          <cell r="G39">
            <v>7469</v>
          </cell>
        </row>
        <row r="40">
          <cell r="A40" t="str">
            <v>Lee</v>
          </cell>
          <cell r="B40">
            <v>7020</v>
          </cell>
          <cell r="C40">
            <v>7745</v>
          </cell>
          <cell r="D40">
            <v>725</v>
          </cell>
          <cell r="E40">
            <v>0</v>
          </cell>
          <cell r="F40">
            <v>26667</v>
          </cell>
          <cell r="G40">
            <v>27700</v>
          </cell>
        </row>
        <row r="41">
          <cell r="A41" t="str">
            <v>Leon</v>
          </cell>
          <cell r="B41">
            <v>23000</v>
          </cell>
          <cell r="C41">
            <v>23500</v>
          </cell>
          <cell r="D41">
            <v>500</v>
          </cell>
          <cell r="E41">
            <v>0</v>
          </cell>
          <cell r="F41">
            <v>28000</v>
          </cell>
          <cell r="G41">
            <v>0</v>
          </cell>
        </row>
        <row r="42">
          <cell r="A42" t="str">
            <v>Levy</v>
          </cell>
          <cell r="B42">
            <v>730</v>
          </cell>
          <cell r="C42">
            <v>780</v>
          </cell>
          <cell r="D42">
            <v>50</v>
          </cell>
          <cell r="E42">
            <v>0</v>
          </cell>
          <cell r="F42">
            <v>13920</v>
          </cell>
          <cell r="G42">
            <v>587</v>
          </cell>
        </row>
        <row r="43">
          <cell r="A43" t="str">
            <v>Liberty</v>
          </cell>
          <cell r="B43">
            <v>2115</v>
          </cell>
          <cell r="C43">
            <v>2139</v>
          </cell>
          <cell r="D43">
            <v>24</v>
          </cell>
          <cell r="E43">
            <v>0</v>
          </cell>
          <cell r="F43">
            <v>1218</v>
          </cell>
          <cell r="G43">
            <v>615</v>
          </cell>
        </row>
        <row r="44">
          <cell r="A44" t="str">
            <v>Madison</v>
          </cell>
          <cell r="B44">
            <v>7020</v>
          </cell>
          <cell r="C44">
            <v>7020</v>
          </cell>
          <cell r="D44">
            <v>0</v>
          </cell>
          <cell r="E44">
            <v>0</v>
          </cell>
          <cell r="F44">
            <v>970</v>
          </cell>
          <cell r="G44">
            <v>520</v>
          </cell>
        </row>
        <row r="45">
          <cell r="A45" t="str">
            <v>Manatee</v>
          </cell>
          <cell r="B45">
            <v>22335</v>
          </cell>
          <cell r="C45">
            <v>23012</v>
          </cell>
          <cell r="D45">
            <v>677</v>
          </cell>
          <cell r="E45">
            <v>0</v>
          </cell>
          <cell r="F45">
            <v>13817</v>
          </cell>
          <cell r="G45">
            <v>259</v>
          </cell>
        </row>
        <row r="46">
          <cell r="A46" t="str">
            <v>Marion</v>
          </cell>
          <cell r="B46">
            <v>19845</v>
          </cell>
          <cell r="C46">
            <v>22671</v>
          </cell>
          <cell r="D46">
            <v>2826</v>
          </cell>
          <cell r="E46">
            <v>0</v>
          </cell>
          <cell r="F46">
            <v>25944</v>
          </cell>
          <cell r="G46">
            <v>5519</v>
          </cell>
        </row>
        <row r="47">
          <cell r="A47" t="str">
            <v>Martin</v>
          </cell>
          <cell r="B47">
            <v>8194</v>
          </cell>
          <cell r="C47">
            <v>8439</v>
          </cell>
          <cell r="D47">
            <v>245</v>
          </cell>
          <cell r="E47">
            <v>0</v>
          </cell>
          <cell r="F47">
            <v>22449</v>
          </cell>
          <cell r="G47">
            <v>3537</v>
          </cell>
        </row>
        <row r="48">
          <cell r="A48" t="str">
            <v>Monroe</v>
          </cell>
          <cell r="B48">
            <v>13740</v>
          </cell>
          <cell r="C48">
            <v>14193</v>
          </cell>
          <cell r="D48">
            <v>453</v>
          </cell>
          <cell r="E48">
            <v>0</v>
          </cell>
          <cell r="F48">
            <v>23063</v>
          </cell>
          <cell r="G48">
            <v>7677</v>
          </cell>
        </row>
        <row r="49">
          <cell r="A49" t="str">
            <v>Nassau</v>
          </cell>
          <cell r="B49">
            <v>3750</v>
          </cell>
          <cell r="C49">
            <v>3750</v>
          </cell>
          <cell r="D49">
            <v>0</v>
          </cell>
          <cell r="E49">
            <v>0</v>
          </cell>
          <cell r="F49">
            <v>8899</v>
          </cell>
          <cell r="G49">
            <v>2725</v>
          </cell>
        </row>
        <row r="50">
          <cell r="A50" t="str">
            <v>Okaloosa</v>
          </cell>
          <cell r="B50">
            <v>9105</v>
          </cell>
          <cell r="C50">
            <v>9466</v>
          </cell>
          <cell r="D50">
            <v>361</v>
          </cell>
          <cell r="E50">
            <v>0</v>
          </cell>
          <cell r="F50">
            <v>12640</v>
          </cell>
          <cell r="G50">
            <v>1057</v>
          </cell>
        </row>
        <row r="51">
          <cell r="A51" t="str">
            <v>Okeechobee</v>
          </cell>
          <cell r="B51">
            <v>2805</v>
          </cell>
          <cell r="C51">
            <v>2805</v>
          </cell>
          <cell r="D51">
            <v>0</v>
          </cell>
          <cell r="E51">
            <v>0</v>
          </cell>
          <cell r="F51">
            <v>11108</v>
          </cell>
          <cell r="G51">
            <v>1767</v>
          </cell>
        </row>
        <row r="52">
          <cell r="A52" t="str">
            <v>Orange</v>
          </cell>
          <cell r="B52">
            <v>90000</v>
          </cell>
          <cell r="C52">
            <v>100000</v>
          </cell>
          <cell r="D52">
            <v>10000</v>
          </cell>
          <cell r="E52">
            <v>0</v>
          </cell>
          <cell r="F52">
            <v>54761</v>
          </cell>
          <cell r="G52">
            <v>34294</v>
          </cell>
        </row>
        <row r="53">
          <cell r="A53" t="str">
            <v>Osceola</v>
          </cell>
          <cell r="B53">
            <v>24510</v>
          </cell>
          <cell r="C53">
            <v>24937</v>
          </cell>
          <cell r="D53">
            <v>427</v>
          </cell>
          <cell r="E53">
            <v>0</v>
          </cell>
          <cell r="F53">
            <v>42416</v>
          </cell>
          <cell r="G53">
            <v>0</v>
          </cell>
        </row>
        <row r="54">
          <cell r="A54" t="str">
            <v>Palm Beach</v>
          </cell>
          <cell r="B54">
            <v>109425</v>
          </cell>
          <cell r="C54">
            <v>115450</v>
          </cell>
          <cell r="D54">
            <v>6025</v>
          </cell>
          <cell r="E54">
            <v>0</v>
          </cell>
          <cell r="F54">
            <v>58683</v>
          </cell>
          <cell r="G54">
            <v>30675</v>
          </cell>
        </row>
        <row r="55">
          <cell r="A55" t="str">
            <v>Pasco</v>
          </cell>
          <cell r="B55">
            <v>3795</v>
          </cell>
          <cell r="C55">
            <v>3863</v>
          </cell>
          <cell r="D55">
            <v>68</v>
          </cell>
          <cell r="E55">
            <v>0</v>
          </cell>
          <cell r="F55">
            <v>23559</v>
          </cell>
          <cell r="G55">
            <v>3325</v>
          </cell>
        </row>
        <row r="56">
          <cell r="A56" t="str">
            <v>Pinellas</v>
          </cell>
          <cell r="B56">
            <v>77650</v>
          </cell>
          <cell r="C56">
            <v>80503</v>
          </cell>
          <cell r="D56">
            <v>2853</v>
          </cell>
          <cell r="E56">
            <v>0</v>
          </cell>
          <cell r="F56">
            <v>70722</v>
          </cell>
          <cell r="G56">
            <v>14485</v>
          </cell>
        </row>
        <row r="57">
          <cell r="A57" t="str">
            <v>Polk</v>
          </cell>
          <cell r="B57">
            <v>45000</v>
          </cell>
          <cell r="C57">
            <v>46800</v>
          </cell>
          <cell r="D57">
            <v>1800</v>
          </cell>
          <cell r="E57">
            <v>0</v>
          </cell>
          <cell r="F57">
            <v>22500</v>
          </cell>
          <cell r="G57">
            <v>16300</v>
          </cell>
        </row>
        <row r="58">
          <cell r="A58" t="str">
            <v>Putnam</v>
          </cell>
          <cell r="B58">
            <v>5600</v>
          </cell>
          <cell r="C58">
            <v>7800</v>
          </cell>
          <cell r="D58">
            <v>2200</v>
          </cell>
          <cell r="E58">
            <v>0</v>
          </cell>
          <cell r="F58">
            <v>17000</v>
          </cell>
          <cell r="G58">
            <v>2800</v>
          </cell>
        </row>
        <row r="59">
          <cell r="A59" t="str">
            <v>Santa Rosa</v>
          </cell>
          <cell r="B59">
            <v>10450</v>
          </cell>
          <cell r="C59">
            <v>11760</v>
          </cell>
          <cell r="D59">
            <v>1310</v>
          </cell>
          <cell r="E59">
            <v>0</v>
          </cell>
          <cell r="F59">
            <v>23497</v>
          </cell>
          <cell r="G59">
            <v>3573</v>
          </cell>
        </row>
        <row r="60">
          <cell r="A60" t="str">
            <v>Sarasota</v>
          </cell>
          <cell r="B60">
            <v>36442</v>
          </cell>
          <cell r="C60">
            <v>36656</v>
          </cell>
          <cell r="D60">
            <v>214</v>
          </cell>
          <cell r="E60">
            <v>0</v>
          </cell>
          <cell r="F60">
            <v>37182</v>
          </cell>
          <cell r="G60">
            <v>14090</v>
          </cell>
        </row>
        <row r="61">
          <cell r="A61" t="str">
            <v>Seminole</v>
          </cell>
          <cell r="B61">
            <v>22180</v>
          </cell>
          <cell r="C61">
            <v>22414</v>
          </cell>
          <cell r="D61">
            <v>234</v>
          </cell>
          <cell r="E61">
            <v>0</v>
          </cell>
          <cell r="F61">
            <v>30223</v>
          </cell>
          <cell r="G61">
            <v>6594</v>
          </cell>
        </row>
        <row r="62">
          <cell r="A62" t="str">
            <v>St. Johns</v>
          </cell>
          <cell r="B62">
            <v>4500</v>
          </cell>
          <cell r="C62">
            <v>4950</v>
          </cell>
          <cell r="D62">
            <v>450</v>
          </cell>
          <cell r="E62">
            <v>0</v>
          </cell>
          <cell r="F62">
            <v>14000</v>
          </cell>
          <cell r="G62">
            <v>750</v>
          </cell>
        </row>
        <row r="63">
          <cell r="A63" t="str">
            <v>St. Lucie</v>
          </cell>
          <cell r="B63">
            <v>31250</v>
          </cell>
          <cell r="C63">
            <v>31900</v>
          </cell>
          <cell r="D63">
            <v>650</v>
          </cell>
          <cell r="E63">
            <v>0</v>
          </cell>
          <cell r="F63">
            <v>31800</v>
          </cell>
          <cell r="G63">
            <v>14275</v>
          </cell>
        </row>
        <row r="64">
          <cell r="A64" t="str">
            <v>Sumter</v>
          </cell>
          <cell r="B64">
            <v>3200</v>
          </cell>
          <cell r="C64">
            <v>3725</v>
          </cell>
          <cell r="D64">
            <v>525</v>
          </cell>
          <cell r="E64">
            <v>0</v>
          </cell>
          <cell r="F64">
            <v>12000</v>
          </cell>
          <cell r="G64">
            <v>400</v>
          </cell>
        </row>
        <row r="65">
          <cell r="A65" t="str">
            <v>Suwannee</v>
          </cell>
          <cell r="B65">
            <v>825</v>
          </cell>
          <cell r="C65">
            <v>825</v>
          </cell>
          <cell r="D65">
            <v>0</v>
          </cell>
          <cell r="E65">
            <v>0</v>
          </cell>
          <cell r="F65">
            <v>3882</v>
          </cell>
          <cell r="G65">
            <v>555</v>
          </cell>
        </row>
        <row r="66">
          <cell r="A66" t="str">
            <v>Taylor</v>
          </cell>
          <cell r="B66">
            <v>1050</v>
          </cell>
          <cell r="C66">
            <v>1100</v>
          </cell>
          <cell r="D66">
            <v>50</v>
          </cell>
          <cell r="E66">
            <v>0</v>
          </cell>
          <cell r="F66">
            <v>1290</v>
          </cell>
          <cell r="G66">
            <v>588</v>
          </cell>
        </row>
        <row r="67">
          <cell r="A67" t="str">
            <v>Union</v>
          </cell>
          <cell r="B67">
            <v>739.87</v>
          </cell>
          <cell r="C67">
            <v>0</v>
          </cell>
          <cell r="D67">
            <v>140.91999999999999</v>
          </cell>
          <cell r="E67">
            <v>0</v>
          </cell>
          <cell r="F67">
            <v>786.84</v>
          </cell>
          <cell r="G67">
            <v>132.1</v>
          </cell>
        </row>
        <row r="68">
          <cell r="A68" t="str">
            <v>Volusia</v>
          </cell>
          <cell r="B68">
            <v>35000</v>
          </cell>
          <cell r="C68">
            <v>35450</v>
          </cell>
          <cell r="D68">
            <v>450</v>
          </cell>
          <cell r="E68">
            <v>0</v>
          </cell>
          <cell r="F68">
            <v>49500</v>
          </cell>
          <cell r="G68">
            <v>150</v>
          </cell>
        </row>
        <row r="69">
          <cell r="A69" t="str">
            <v>Wakulla</v>
          </cell>
          <cell r="B69">
            <v>150</v>
          </cell>
          <cell r="C69">
            <v>150</v>
          </cell>
          <cell r="D69">
            <v>0</v>
          </cell>
          <cell r="E69">
            <v>0</v>
          </cell>
          <cell r="F69">
            <v>9427</v>
          </cell>
          <cell r="G69">
            <v>132</v>
          </cell>
        </row>
        <row r="70">
          <cell r="A70" t="str">
            <v>Walton</v>
          </cell>
          <cell r="B70">
            <v>1500</v>
          </cell>
          <cell r="C70">
            <v>1900</v>
          </cell>
          <cell r="D70">
            <v>400</v>
          </cell>
          <cell r="E70">
            <v>0</v>
          </cell>
          <cell r="F70">
            <v>10000</v>
          </cell>
          <cell r="G70">
            <v>1500</v>
          </cell>
        </row>
        <row r="71">
          <cell r="A71" t="str">
            <v>Washington</v>
          </cell>
          <cell r="B71">
            <v>2355</v>
          </cell>
          <cell r="C71">
            <v>2355</v>
          </cell>
          <cell r="D71">
            <v>0</v>
          </cell>
          <cell r="E71">
            <v>0</v>
          </cell>
          <cell r="F71">
            <v>7170</v>
          </cell>
          <cell r="G71">
            <v>1014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sheetName val="ReportInfo"/>
      <sheetName val="LookupData"/>
      <sheetName val="EstimatingTool"/>
    </sheetNames>
    <sheetDataSet>
      <sheetData sheetId="0">
        <row r="52">
          <cell r="F52">
            <v>0</v>
          </cell>
        </row>
        <row r="55">
          <cell r="F55">
            <v>6563.0899999999965</v>
          </cell>
        </row>
      </sheetData>
      <sheetData sheetId="1" refreshError="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imate"/>
      <sheetName val="ReportInfo"/>
      <sheetName val="LookupData"/>
      <sheetName val="EstimatingTool"/>
    </sheetNames>
    <sheetDataSet>
      <sheetData sheetId="0">
        <row r="52">
          <cell r="F52">
            <v>0</v>
          </cell>
        </row>
        <row r="55">
          <cell r="F55">
            <v>6563.0899999999965</v>
          </cell>
        </row>
      </sheetData>
      <sheetData sheetId="1" refreshError="1"/>
      <sheetData sheetId="2"/>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ocation Options "/>
      <sheetName val="Cost per WC"/>
      <sheetName val="COL-LW"/>
    </sheetNames>
    <sheetDataSet>
      <sheetData sheetId="0"/>
      <sheetData sheetId="1">
        <row r="76">
          <cell r="A76">
            <v>1</v>
          </cell>
          <cell r="B76">
            <v>64.968244726962041</v>
          </cell>
        </row>
        <row r="77">
          <cell r="A77">
            <v>2</v>
          </cell>
          <cell r="B77">
            <v>43.99332990136768</v>
          </cell>
        </row>
        <row r="78">
          <cell r="A78">
            <v>3</v>
          </cell>
          <cell r="B78">
            <v>36.794184137530962</v>
          </cell>
        </row>
        <row r="79">
          <cell r="A79">
            <v>4</v>
          </cell>
          <cell r="B79">
            <v>32.252231614720145</v>
          </cell>
        </row>
        <row r="80">
          <cell r="A80">
            <v>5</v>
          </cell>
          <cell r="B80">
            <v>29.773537053543588</v>
          </cell>
        </row>
        <row r="81">
          <cell r="A81">
            <v>6</v>
          </cell>
          <cell r="B81">
            <v>31.400439850594687</v>
          </cell>
        </row>
        <row r="82">
          <cell r="A82">
            <v>7</v>
          </cell>
          <cell r="B82">
            <v>27.312907092625288</v>
          </cell>
        </row>
        <row r="83">
          <cell r="A83">
            <v>8</v>
          </cell>
          <cell r="B83">
            <v>25.453421692425682</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ocation Options "/>
      <sheetName val="Cost per WC"/>
      <sheetName val="COL-LW"/>
    </sheetNames>
    <sheetDataSet>
      <sheetData sheetId="0" refreshError="1"/>
      <sheetData sheetId="1">
        <row r="76">
          <cell r="A76">
            <v>1</v>
          </cell>
          <cell r="B76">
            <v>64.968244726962041</v>
          </cell>
        </row>
        <row r="77">
          <cell r="A77">
            <v>2</v>
          </cell>
          <cell r="B77">
            <v>43.99332990136768</v>
          </cell>
        </row>
        <row r="78">
          <cell r="A78">
            <v>3</v>
          </cell>
          <cell r="B78">
            <v>36.794184137530962</v>
          </cell>
        </row>
        <row r="79">
          <cell r="A79">
            <v>4</v>
          </cell>
          <cell r="B79">
            <v>32.252231614720145</v>
          </cell>
        </row>
        <row r="80">
          <cell r="A80">
            <v>5</v>
          </cell>
          <cell r="B80">
            <v>29.773537053543588</v>
          </cell>
        </row>
        <row r="81">
          <cell r="A81">
            <v>6</v>
          </cell>
          <cell r="B81">
            <v>31.400439850594687</v>
          </cell>
        </row>
        <row r="82">
          <cell r="A82">
            <v>7</v>
          </cell>
          <cell r="B82">
            <v>27.312907092625288</v>
          </cell>
        </row>
        <row r="83">
          <cell r="A83">
            <v>8</v>
          </cell>
          <cell r="B83">
            <v>25.453421692425682</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ocation Summary"/>
      <sheetName val="Option A1 Summary"/>
      <sheetName val="Calculation "/>
      <sheetName val="Backup Data"/>
    </sheetNames>
    <sheetDataSet>
      <sheetData sheetId="0"/>
      <sheetData sheetId="1"/>
      <sheetData sheetId="2">
        <row r="72">
          <cell r="I72">
            <v>21.305771144278609</v>
          </cell>
          <cell r="M72">
            <v>95.966119402985086</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2293-E074-4D42-B897-50C2FA345B2D}">
  <sheetPr>
    <pageSetUpPr fitToPage="1"/>
  </sheetPr>
  <dimension ref="A1:C30"/>
  <sheetViews>
    <sheetView zoomScaleNormal="100" workbookViewId="0">
      <selection activeCell="A27" sqref="A27:B30"/>
    </sheetView>
  </sheetViews>
  <sheetFormatPr defaultRowHeight="21" x14ac:dyDescent="0.35"/>
  <cols>
    <col min="1" max="1" width="80.140625" style="1" customWidth="1"/>
    <col min="2" max="2" width="28.42578125" style="1" customWidth="1"/>
    <col min="3" max="3" width="3.85546875" style="1" customWidth="1"/>
    <col min="4" max="16384" width="9.140625" style="1"/>
  </cols>
  <sheetData>
    <row r="1" spans="1:3" x14ac:dyDescent="0.35">
      <c r="A1" s="493" t="s">
        <v>0</v>
      </c>
      <c r="B1" s="493"/>
    </row>
    <row r="2" spans="1:3" ht="37.5" customHeight="1" x14ac:dyDescent="0.35"/>
    <row r="3" spans="1:3" x14ac:dyDescent="0.35">
      <c r="A3" s="1" t="s">
        <v>252</v>
      </c>
      <c r="B3" s="138">
        <v>570857346</v>
      </c>
    </row>
    <row r="4" spans="1:3" x14ac:dyDescent="0.35">
      <c r="A4" s="1" t="s">
        <v>7</v>
      </c>
      <c r="B4" s="138">
        <v>10704394</v>
      </c>
    </row>
    <row r="5" spans="1:3" ht="21" customHeight="1" x14ac:dyDescent="0.35">
      <c r="A5" s="1" t="s">
        <v>1</v>
      </c>
      <c r="B5" s="141">
        <v>-1070439</v>
      </c>
    </row>
    <row r="6" spans="1:3" ht="21.75" thickBot="1" x14ac:dyDescent="0.4">
      <c r="A6" s="1" t="s">
        <v>8</v>
      </c>
      <c r="B6" s="138">
        <v>9625169</v>
      </c>
      <c r="C6" s="2"/>
    </row>
    <row r="7" spans="1:3" ht="21.75" thickTop="1" x14ac:dyDescent="0.35">
      <c r="B7" s="3">
        <f>SUM(B3:B6)</f>
        <v>590116470</v>
      </c>
      <c r="C7" s="4"/>
    </row>
    <row r="8" spans="1:3" x14ac:dyDescent="0.35">
      <c r="B8" s="5"/>
      <c r="C8" s="4"/>
    </row>
    <row r="9" spans="1:3" x14ac:dyDescent="0.35">
      <c r="A9" s="1" t="s">
        <v>2</v>
      </c>
      <c r="B9" s="6">
        <v>16500000</v>
      </c>
      <c r="C9" s="4"/>
    </row>
    <row r="10" spans="1:3" ht="21.75" thickBot="1" x14ac:dyDescent="0.4">
      <c r="A10" s="1" t="s">
        <v>250</v>
      </c>
      <c r="B10" s="6">
        <v>1830094</v>
      </c>
      <c r="C10" s="4"/>
    </row>
    <row r="11" spans="1:3" ht="21.75" thickTop="1" x14ac:dyDescent="0.35">
      <c r="A11" s="7" t="s">
        <v>6</v>
      </c>
      <c r="B11" s="3">
        <f>SUM(B7:B10)</f>
        <v>608446564</v>
      </c>
      <c r="C11" s="4"/>
    </row>
    <row r="12" spans="1:3" x14ac:dyDescent="0.35">
      <c r="B12" s="5"/>
      <c r="C12" s="4"/>
    </row>
    <row r="13" spans="1:3" x14ac:dyDescent="0.35">
      <c r="C13" s="4"/>
    </row>
    <row r="14" spans="1:3" x14ac:dyDescent="0.35">
      <c r="B14" s="6"/>
    </row>
    <row r="15" spans="1:3" x14ac:dyDescent="0.35">
      <c r="A15" s="8" t="s">
        <v>9</v>
      </c>
      <c r="B15" s="9">
        <v>532475488</v>
      </c>
    </row>
    <row r="16" spans="1:3" x14ac:dyDescent="0.35">
      <c r="A16" s="10" t="s">
        <v>3</v>
      </c>
      <c r="B16" s="11">
        <f>B7-B15</f>
        <v>57640982</v>
      </c>
    </row>
    <row r="17" spans="1:3" x14ac:dyDescent="0.35">
      <c r="B17" s="12">
        <f>B16/B15</f>
        <v>0.10825095858684861</v>
      </c>
    </row>
    <row r="18" spans="1:3" x14ac:dyDescent="0.35">
      <c r="B18" s="13"/>
    </row>
    <row r="19" spans="1:3" x14ac:dyDescent="0.35">
      <c r="B19" s="13"/>
    </row>
    <row r="20" spans="1:3" x14ac:dyDescent="0.35">
      <c r="A20" s="8" t="s">
        <v>10</v>
      </c>
      <c r="B20" s="9">
        <v>544175488</v>
      </c>
    </row>
    <row r="21" spans="1:3" x14ac:dyDescent="0.35">
      <c r="A21" s="10" t="s">
        <v>4</v>
      </c>
      <c r="B21" s="11">
        <f>B11-B20</f>
        <v>64271076</v>
      </c>
    </row>
    <row r="22" spans="1:3" x14ac:dyDescent="0.35">
      <c r="B22" s="12">
        <f>B21/B20</f>
        <v>0.11810726028144804</v>
      </c>
    </row>
    <row r="23" spans="1:3" s="14" customFormat="1" x14ac:dyDescent="0.35"/>
    <row r="24" spans="1:3" s="14" customFormat="1" x14ac:dyDescent="0.35"/>
    <row r="25" spans="1:3" s="14" customFormat="1" x14ac:dyDescent="0.35"/>
    <row r="27" spans="1:3" ht="21" customHeight="1" x14ac:dyDescent="0.35">
      <c r="A27" s="494" t="s">
        <v>5</v>
      </c>
      <c r="B27" s="495"/>
      <c r="C27" s="15"/>
    </row>
    <row r="28" spans="1:3" x14ac:dyDescent="0.35">
      <c r="A28" s="496"/>
      <c r="B28" s="497"/>
      <c r="C28" s="15"/>
    </row>
    <row r="29" spans="1:3" x14ac:dyDescent="0.35">
      <c r="A29" s="496"/>
      <c r="B29" s="497"/>
      <c r="C29" s="15"/>
    </row>
    <row r="30" spans="1:3" ht="15.75" customHeight="1" x14ac:dyDescent="0.35">
      <c r="A30" s="498"/>
      <c r="B30" s="499"/>
      <c r="C30" s="15"/>
    </row>
  </sheetData>
  <mergeCells count="2">
    <mergeCell ref="A1:B1"/>
    <mergeCell ref="A27:B30"/>
  </mergeCells>
  <printOptions horizontalCentered="1"/>
  <pageMargins left="0.3" right="0.25" top="1.2" bottom="1" header="0.5" footer="0.5"/>
  <pageSetup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75BB-60DD-4FA8-9E69-105E7811BA7A}">
  <dimension ref="B1:E11"/>
  <sheetViews>
    <sheetView zoomScale="150" zoomScaleNormal="150" workbookViewId="0">
      <selection activeCell="C6" sqref="C6"/>
    </sheetView>
  </sheetViews>
  <sheetFormatPr defaultRowHeight="15.75" x14ac:dyDescent="0.3"/>
  <cols>
    <col min="1" max="1" width="4" style="105" customWidth="1"/>
    <col min="2" max="2" width="17.85546875" style="105" customWidth="1"/>
    <col min="3" max="3" width="47.85546875" style="105" customWidth="1"/>
    <col min="4" max="4" width="18.7109375" style="240" customWidth="1"/>
    <col min="5" max="5" width="18.5703125" style="105" customWidth="1"/>
    <col min="6" max="16384" width="9.140625" style="105"/>
  </cols>
  <sheetData>
    <row r="1" spans="2:5" ht="27.75" customHeight="1" x14ac:dyDescent="0.3">
      <c r="B1" s="502" t="s">
        <v>208</v>
      </c>
      <c r="C1" s="502"/>
      <c r="D1" s="502"/>
      <c r="E1" s="502"/>
    </row>
    <row r="2" spans="2:5" ht="16.5" thickBot="1" x14ac:dyDescent="0.35"/>
    <row r="3" spans="2:5" ht="16.5" customHeight="1" x14ac:dyDescent="0.3">
      <c r="B3" s="503" t="s">
        <v>209</v>
      </c>
      <c r="C3" s="241" t="s">
        <v>15</v>
      </c>
      <c r="D3" s="242">
        <v>532475488</v>
      </c>
      <c r="E3" s="505">
        <f>D3+D4</f>
        <v>532475488</v>
      </c>
    </row>
    <row r="4" spans="2:5" ht="16.5" customHeight="1" thickBot="1" x14ac:dyDescent="0.35">
      <c r="B4" s="504"/>
      <c r="C4" s="243" t="s">
        <v>193</v>
      </c>
      <c r="D4" s="244">
        <v>0</v>
      </c>
      <c r="E4" s="506"/>
    </row>
    <row r="5" spans="2:5" ht="16.5" customHeight="1" x14ac:dyDescent="0.3">
      <c r="B5" s="507" t="s">
        <v>257</v>
      </c>
      <c r="C5" s="246" t="s">
        <v>259</v>
      </c>
      <c r="D5" s="245">
        <v>2880856</v>
      </c>
      <c r="E5" s="509">
        <f>D5+D6+D7</f>
        <v>57640982</v>
      </c>
    </row>
    <row r="6" spans="2:5" ht="16.5" customHeight="1" x14ac:dyDescent="0.3">
      <c r="B6" s="508"/>
      <c r="C6" s="246" t="s">
        <v>256</v>
      </c>
      <c r="D6" s="404">
        <v>54736273</v>
      </c>
      <c r="E6" s="510"/>
    </row>
    <row r="7" spans="2:5" ht="16.5" customHeight="1" thickBot="1" x14ac:dyDescent="0.35">
      <c r="B7" s="508"/>
      <c r="C7" s="246" t="s">
        <v>258</v>
      </c>
      <c r="D7" s="247">
        <v>23853</v>
      </c>
      <c r="E7" s="511"/>
    </row>
    <row r="8" spans="2:5" ht="16.5" customHeight="1" thickBot="1" x14ac:dyDescent="0.35">
      <c r="B8" s="500" t="s">
        <v>94</v>
      </c>
      <c r="C8" s="501"/>
      <c r="D8" s="248">
        <f>E3+E5</f>
        <v>590116470</v>
      </c>
    </row>
    <row r="9" spans="2:5" ht="16.5" customHeight="1" x14ac:dyDescent="0.3">
      <c r="D9" s="128">
        <f>D8-'New Revenue Summary '!B7</f>
        <v>0</v>
      </c>
    </row>
    <row r="10" spans="2:5" ht="16.5" customHeight="1" x14ac:dyDescent="0.3"/>
    <row r="11" spans="2:5" ht="16.5" customHeight="1" x14ac:dyDescent="0.3"/>
  </sheetData>
  <mergeCells count="6">
    <mergeCell ref="B8:C8"/>
    <mergeCell ref="B1:E1"/>
    <mergeCell ref="B3:B4"/>
    <mergeCell ref="E3:E4"/>
    <mergeCell ref="B5:B7"/>
    <mergeCell ref="E5: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226C-7DDF-4ED9-9299-397BA03ADA82}">
  <sheetPr>
    <pageSetUpPr fitToPage="1"/>
  </sheetPr>
  <dimension ref="A1:S80"/>
  <sheetViews>
    <sheetView zoomScale="110" zoomScaleNormal="110" zoomScalePageLayoutView="55" workbookViewId="0">
      <pane xSplit="2" ySplit="1" topLeftCell="C50" activePane="bottomRight" state="frozen"/>
      <selection pane="topRight" activeCell="C1" sqref="C1"/>
      <selection pane="bottomLeft" activeCell="A3" sqref="A3"/>
      <selection pane="bottomRight" activeCell="L64" sqref="L64"/>
    </sheetView>
  </sheetViews>
  <sheetFormatPr defaultColWidth="2.28515625" defaultRowHeight="13.5" x14ac:dyDescent="0.25"/>
  <cols>
    <col min="1" max="1" width="12.140625" style="45" customWidth="1"/>
    <col min="2" max="2" width="7.28515625" style="45" customWidth="1"/>
    <col min="3" max="3" width="16.7109375" style="45" customWidth="1"/>
    <col min="4" max="4" width="9.5703125" style="45" customWidth="1"/>
    <col min="5" max="5" width="16.7109375" style="45" customWidth="1"/>
    <col min="6" max="6" width="14.140625" style="45" customWidth="1"/>
    <col min="7" max="7" width="15.42578125" style="45" customWidth="1"/>
    <col min="8" max="8" width="15.140625" style="45" customWidth="1"/>
    <col min="9" max="9" width="15.7109375" style="45" customWidth="1"/>
    <col min="10" max="10" width="13.85546875" style="45" customWidth="1"/>
    <col min="11" max="11" width="14.42578125" style="45" customWidth="1"/>
    <col min="12" max="12" width="14" style="45" customWidth="1"/>
    <col min="13" max="13" width="14.28515625" style="45" bestFit="1" customWidth="1"/>
    <col min="14" max="14" width="10.85546875" style="45" hidden="1" customWidth="1"/>
    <col min="15" max="15" width="16.42578125" style="216" customWidth="1"/>
    <col min="16" max="16" width="10.42578125" style="216" customWidth="1"/>
    <col min="17" max="17" width="17.28515625" style="216" customWidth="1"/>
    <col min="18" max="18" width="7.5703125" style="217" hidden="1" customWidth="1"/>
    <col min="19" max="19" width="8.28515625" style="217" customWidth="1"/>
    <col min="20" max="16384" width="2.28515625" style="45"/>
  </cols>
  <sheetData>
    <row r="1" spans="1:19" s="25" customFormat="1" ht="63.75" customHeight="1" thickBot="1" x14ac:dyDescent="0.3">
      <c r="A1" s="16" t="s">
        <v>11</v>
      </c>
      <c r="B1" s="83" t="s">
        <v>12</v>
      </c>
      <c r="C1" s="195" t="s">
        <v>15</v>
      </c>
      <c r="D1" s="196" t="s">
        <v>193</v>
      </c>
      <c r="E1" s="197" t="s">
        <v>247</v>
      </c>
      <c r="F1" s="21" t="s">
        <v>194</v>
      </c>
      <c r="G1" s="21" t="s">
        <v>195</v>
      </c>
      <c r="H1" s="21" t="s">
        <v>196</v>
      </c>
      <c r="I1" s="198" t="s">
        <v>197</v>
      </c>
      <c r="J1" s="21" t="s">
        <v>198</v>
      </c>
      <c r="K1" s="21" t="s">
        <v>199</v>
      </c>
      <c r="L1" s="21" t="s">
        <v>200</v>
      </c>
      <c r="M1" s="21" t="s">
        <v>201</v>
      </c>
      <c r="N1" s="21" t="s">
        <v>202</v>
      </c>
      <c r="O1" s="199" t="s">
        <v>243</v>
      </c>
      <c r="P1" s="200" t="s">
        <v>203</v>
      </c>
      <c r="Q1" s="201" t="s">
        <v>248</v>
      </c>
      <c r="R1" s="202" t="s">
        <v>204</v>
      </c>
      <c r="S1" s="202" t="s">
        <v>17</v>
      </c>
    </row>
    <row r="2" spans="1:19" s="35" customFormat="1" ht="13.5" customHeight="1" x14ac:dyDescent="0.25">
      <c r="A2" s="86" t="s">
        <v>54</v>
      </c>
      <c r="B2" s="87">
        <v>5</v>
      </c>
      <c r="C2" s="233">
        <v>6791555</v>
      </c>
      <c r="D2" s="372"/>
      <c r="E2" s="237">
        <f t="shared" ref="E2:E33" si="0">C2+D2</f>
        <v>6791555</v>
      </c>
      <c r="F2" s="31"/>
      <c r="G2" s="31">
        <v>36325</v>
      </c>
      <c r="H2" s="31">
        <f>570399+6340</f>
        <v>576739</v>
      </c>
      <c r="I2" s="31"/>
      <c r="J2" s="31"/>
      <c r="K2" s="31"/>
      <c r="L2" s="31"/>
      <c r="M2" s="31"/>
      <c r="N2" s="31"/>
      <c r="O2" s="204">
        <f t="shared" ref="O2:O33" si="1">SUM(F2:N2)</f>
        <v>613064</v>
      </c>
      <c r="P2" s="364"/>
      <c r="Q2" s="204">
        <f t="shared" ref="Q2:Q33" si="2">E2+O2</f>
        <v>7404619</v>
      </c>
      <c r="R2" s="205">
        <f t="shared" ref="R2:R33" si="3">Q2/E2-1</f>
        <v>9.0268576194995065E-2</v>
      </c>
      <c r="S2" s="205">
        <f t="shared" ref="S2:S33" si="4">Q2/C2-1</f>
        <v>9.0268576194995065E-2</v>
      </c>
    </row>
    <row r="3" spans="1:19" customFormat="1" ht="13.5" customHeight="1" x14ac:dyDescent="0.25">
      <c r="A3" s="86" t="s">
        <v>22</v>
      </c>
      <c r="B3" s="87">
        <v>2</v>
      </c>
      <c r="C3" s="233">
        <v>840473</v>
      </c>
      <c r="D3" s="372"/>
      <c r="E3" s="237">
        <f t="shared" si="0"/>
        <v>840473</v>
      </c>
      <c r="F3" s="31"/>
      <c r="G3" s="31">
        <v>8802</v>
      </c>
      <c r="H3" s="31">
        <v>23508</v>
      </c>
      <c r="I3" s="363">
        <v>75000</v>
      </c>
      <c r="J3" s="31"/>
      <c r="K3" s="31"/>
      <c r="L3" s="31"/>
      <c r="M3" s="31"/>
      <c r="N3" s="31"/>
      <c r="O3" s="204">
        <f t="shared" si="1"/>
        <v>107310</v>
      </c>
      <c r="P3" s="364">
        <v>1</v>
      </c>
      <c r="Q3" s="204">
        <f t="shared" si="2"/>
        <v>947783</v>
      </c>
      <c r="R3" s="205">
        <f t="shared" si="3"/>
        <v>0.1276781050670277</v>
      </c>
      <c r="S3" s="205">
        <f t="shared" si="4"/>
        <v>0.1276781050670277</v>
      </c>
    </row>
    <row r="4" spans="1:19" s="40" customFormat="1" ht="13.5" customHeight="1" x14ac:dyDescent="0.25">
      <c r="A4" s="86" t="s">
        <v>55</v>
      </c>
      <c r="B4" s="87">
        <v>5</v>
      </c>
      <c r="C4" s="233">
        <v>4823923</v>
      </c>
      <c r="D4" s="372"/>
      <c r="E4" s="237">
        <f t="shared" si="0"/>
        <v>4823923</v>
      </c>
      <c r="F4" s="31"/>
      <c r="G4" s="31">
        <v>80314</v>
      </c>
      <c r="H4" s="31">
        <f>127661+25598+61555</f>
        <v>214814</v>
      </c>
      <c r="I4" s="31"/>
      <c r="J4" s="31"/>
      <c r="K4" s="363">
        <f>252095+16260</f>
        <v>268355</v>
      </c>
      <c r="L4" s="31"/>
      <c r="M4" s="31"/>
      <c r="N4" s="31"/>
      <c r="O4" s="204">
        <f t="shared" si="1"/>
        <v>563483</v>
      </c>
      <c r="P4" s="364">
        <v>1.72</v>
      </c>
      <c r="Q4" s="204">
        <f t="shared" si="2"/>
        <v>5387406</v>
      </c>
      <c r="R4" s="205">
        <f t="shared" si="3"/>
        <v>0.11681011492098858</v>
      </c>
      <c r="S4" s="205">
        <f t="shared" si="4"/>
        <v>0.11681011492098858</v>
      </c>
    </row>
    <row r="5" spans="1:19" s="35" customFormat="1" ht="13.5" customHeight="1" x14ac:dyDescent="0.25">
      <c r="A5" s="86" t="s">
        <v>34</v>
      </c>
      <c r="B5" s="87">
        <v>3</v>
      </c>
      <c r="C5" s="233">
        <v>1029812</v>
      </c>
      <c r="D5" s="372"/>
      <c r="E5" s="237">
        <f t="shared" si="0"/>
        <v>1029812</v>
      </c>
      <c r="F5" s="31"/>
      <c r="G5" s="31">
        <v>21078</v>
      </c>
      <c r="H5" s="31">
        <v>39544</v>
      </c>
      <c r="I5" s="31"/>
      <c r="J5" s="31"/>
      <c r="K5" s="31"/>
      <c r="L5" s="31"/>
      <c r="M5" s="31">
        <v>10000</v>
      </c>
      <c r="N5" s="31"/>
      <c r="O5" s="204">
        <f t="shared" si="1"/>
        <v>70622</v>
      </c>
      <c r="P5" s="364"/>
      <c r="Q5" s="204">
        <f t="shared" si="2"/>
        <v>1100434</v>
      </c>
      <c r="R5" s="205">
        <f t="shared" si="3"/>
        <v>6.8577565613917812E-2</v>
      </c>
      <c r="S5" s="205">
        <f t="shared" si="4"/>
        <v>6.8577565613917812E-2</v>
      </c>
    </row>
    <row r="6" spans="1:19" s="35" customFormat="1" ht="13.5" customHeight="1" x14ac:dyDescent="0.25">
      <c r="A6" s="86" t="s">
        <v>68</v>
      </c>
      <c r="B6" s="87">
        <v>6</v>
      </c>
      <c r="C6" s="234">
        <v>13274032</v>
      </c>
      <c r="D6" s="373"/>
      <c r="E6" s="238">
        <f t="shared" si="0"/>
        <v>13274032</v>
      </c>
      <c r="F6" s="43"/>
      <c r="G6" s="43">
        <v>150000</v>
      </c>
      <c r="H6" s="43">
        <v>750000</v>
      </c>
      <c r="I6" s="363">
        <v>250000</v>
      </c>
      <c r="J6" s="31"/>
      <c r="K6" s="31"/>
      <c r="L6" s="43"/>
      <c r="M6" s="43"/>
      <c r="N6" s="43"/>
      <c r="O6" s="204">
        <f t="shared" si="1"/>
        <v>1150000</v>
      </c>
      <c r="P6" s="364">
        <v>4</v>
      </c>
      <c r="Q6" s="204">
        <f t="shared" si="2"/>
        <v>14424032</v>
      </c>
      <c r="R6" s="205">
        <f t="shared" si="3"/>
        <v>8.6635319245877973E-2</v>
      </c>
      <c r="S6" s="205">
        <f t="shared" si="4"/>
        <v>8.6635319245877973E-2</v>
      </c>
    </row>
    <row r="7" spans="1:19" s="35" customFormat="1" ht="13.5" customHeight="1" x14ac:dyDescent="0.25">
      <c r="A7" s="91" t="s">
        <v>79</v>
      </c>
      <c r="B7" s="92">
        <v>8</v>
      </c>
      <c r="C7" s="233">
        <v>45863743</v>
      </c>
      <c r="D7" s="372"/>
      <c r="E7" s="237">
        <f t="shared" si="0"/>
        <v>45863743</v>
      </c>
      <c r="F7" s="31"/>
      <c r="G7" s="31">
        <v>659193</v>
      </c>
      <c r="H7" s="31">
        <v>1100968</v>
      </c>
      <c r="I7" s="31"/>
      <c r="J7" s="31"/>
      <c r="K7" s="31"/>
      <c r="L7" s="31"/>
      <c r="M7" s="31"/>
      <c r="N7" s="31"/>
      <c r="O7" s="369">
        <f t="shared" si="1"/>
        <v>1760161</v>
      </c>
      <c r="P7" s="370"/>
      <c r="Q7" s="203">
        <f t="shared" si="2"/>
        <v>47623904</v>
      </c>
      <c r="R7" s="205">
        <f t="shared" si="3"/>
        <v>3.8378049519421031E-2</v>
      </c>
      <c r="S7" s="205">
        <f t="shared" si="4"/>
        <v>3.8378049519421031E-2</v>
      </c>
    </row>
    <row r="8" spans="1:19" s="35" customFormat="1" ht="13.5" customHeight="1" x14ac:dyDescent="0.25">
      <c r="A8" s="86" t="s">
        <v>23</v>
      </c>
      <c r="B8" s="87">
        <v>2</v>
      </c>
      <c r="C8" s="233">
        <v>516189</v>
      </c>
      <c r="D8" s="372"/>
      <c r="E8" s="237">
        <f t="shared" si="0"/>
        <v>516189</v>
      </c>
      <c r="F8" s="31"/>
      <c r="G8" s="31">
        <v>6604</v>
      </c>
      <c r="H8" s="31">
        <v>27169</v>
      </c>
      <c r="I8" s="31"/>
      <c r="J8" s="31"/>
      <c r="K8" s="31"/>
      <c r="L8" s="31">
        <v>18000</v>
      </c>
      <c r="M8" s="31"/>
      <c r="N8" s="31"/>
      <c r="O8" s="206">
        <f t="shared" si="1"/>
        <v>51773</v>
      </c>
      <c r="P8" s="364"/>
      <c r="Q8" s="204">
        <f t="shared" si="2"/>
        <v>567962</v>
      </c>
      <c r="R8" s="205">
        <f t="shared" si="3"/>
        <v>0.10029853406407341</v>
      </c>
      <c r="S8" s="205">
        <f t="shared" si="4"/>
        <v>0.10029853406407341</v>
      </c>
    </row>
    <row r="9" spans="1:19" s="35" customFormat="1" ht="13.5" customHeight="1" x14ac:dyDescent="0.25">
      <c r="A9" s="86" t="s">
        <v>56</v>
      </c>
      <c r="B9" s="87">
        <v>5</v>
      </c>
      <c r="C9" s="233">
        <v>4276406</v>
      </c>
      <c r="D9" s="372"/>
      <c r="E9" s="237">
        <f t="shared" si="0"/>
        <v>4276406</v>
      </c>
      <c r="F9" s="31"/>
      <c r="G9" s="31">
        <v>38546</v>
      </c>
      <c r="H9" s="31">
        <v>70115</v>
      </c>
      <c r="I9" s="31"/>
      <c r="J9" s="31"/>
      <c r="K9" s="31"/>
      <c r="L9" s="31"/>
      <c r="M9" s="31"/>
      <c r="N9" s="31"/>
      <c r="O9" s="206">
        <f t="shared" si="1"/>
        <v>108661</v>
      </c>
      <c r="P9" s="364"/>
      <c r="Q9" s="204">
        <f t="shared" si="2"/>
        <v>4385067</v>
      </c>
      <c r="R9" s="205">
        <f t="shared" si="3"/>
        <v>2.5409420901570057E-2</v>
      </c>
      <c r="S9" s="205">
        <f t="shared" si="4"/>
        <v>2.5409420901570057E-2</v>
      </c>
    </row>
    <row r="10" spans="1:19" s="35" customFormat="1" ht="13.5" customHeight="1" x14ac:dyDescent="0.25">
      <c r="A10" s="86" t="s">
        <v>44</v>
      </c>
      <c r="B10" s="87">
        <v>4</v>
      </c>
      <c r="C10" s="233">
        <v>3628527</v>
      </c>
      <c r="D10" s="372"/>
      <c r="E10" s="237">
        <f t="shared" si="0"/>
        <v>3628527</v>
      </c>
      <c r="F10" s="31"/>
      <c r="G10" s="31">
        <v>38759</v>
      </c>
      <c r="H10" s="31">
        <v>97860</v>
      </c>
      <c r="I10" s="363">
        <v>52415</v>
      </c>
      <c r="J10" s="31"/>
      <c r="K10" s="31">
        <f>568116+168099</f>
        <v>736215</v>
      </c>
      <c r="L10" s="31"/>
      <c r="M10" s="31"/>
      <c r="N10" s="31"/>
      <c r="O10" s="204">
        <f t="shared" si="1"/>
        <v>925249</v>
      </c>
      <c r="P10" s="364">
        <v>1</v>
      </c>
      <c r="Q10" s="204">
        <f t="shared" si="2"/>
        <v>4553776</v>
      </c>
      <c r="R10" s="205">
        <f t="shared" si="3"/>
        <v>0.25499300404819913</v>
      </c>
      <c r="S10" s="205">
        <f t="shared" si="4"/>
        <v>0.25499300404819913</v>
      </c>
    </row>
    <row r="11" spans="1:19" s="35" customFormat="1" ht="13.5" customHeight="1" x14ac:dyDescent="0.25">
      <c r="A11" s="86" t="s">
        <v>57</v>
      </c>
      <c r="B11" s="87">
        <v>5</v>
      </c>
      <c r="C11" s="233">
        <v>4512090</v>
      </c>
      <c r="D11" s="372"/>
      <c r="E11" s="237">
        <f t="shared" si="0"/>
        <v>4512090</v>
      </c>
      <c r="F11" s="31"/>
      <c r="G11" s="31"/>
      <c r="H11" s="31">
        <f>112442+96284+671776</f>
        <v>880502</v>
      </c>
      <c r="I11" s="363">
        <v>54243</v>
      </c>
      <c r="J11" s="31"/>
      <c r="K11" s="31">
        <v>890441</v>
      </c>
      <c r="L11" s="31"/>
      <c r="M11" s="31"/>
      <c r="N11" s="31"/>
      <c r="O11" s="204">
        <f t="shared" si="1"/>
        <v>1825186</v>
      </c>
      <c r="P11" s="364">
        <f>0.8</f>
        <v>0.8</v>
      </c>
      <c r="Q11" s="204">
        <f t="shared" si="2"/>
        <v>6337276</v>
      </c>
      <c r="R11" s="205">
        <f t="shared" si="3"/>
        <v>0.40451010507325869</v>
      </c>
      <c r="S11" s="205">
        <f t="shared" si="4"/>
        <v>0.40451010507325869</v>
      </c>
    </row>
    <row r="12" spans="1:19" s="35" customFormat="1" ht="13.5" customHeight="1" x14ac:dyDescent="0.25">
      <c r="A12" s="86" t="s">
        <v>58</v>
      </c>
      <c r="B12" s="87">
        <v>5</v>
      </c>
      <c r="C12" s="233">
        <v>7608908</v>
      </c>
      <c r="D12" s="372"/>
      <c r="E12" s="237">
        <f t="shared" si="0"/>
        <v>7608908</v>
      </c>
      <c r="F12" s="31"/>
      <c r="G12" s="31">
        <v>120700</v>
      </c>
      <c r="H12" s="31">
        <v>104392</v>
      </c>
      <c r="I12" s="31"/>
      <c r="J12" s="31"/>
      <c r="K12" s="31"/>
      <c r="L12" s="31"/>
      <c r="M12" s="31">
        <v>640700</v>
      </c>
      <c r="N12" s="31"/>
      <c r="O12" s="204">
        <f t="shared" si="1"/>
        <v>865792</v>
      </c>
      <c r="P12" s="364"/>
      <c r="Q12" s="204">
        <f t="shared" si="2"/>
        <v>8474700</v>
      </c>
      <c r="R12" s="205">
        <f t="shared" si="3"/>
        <v>0.11378663009199208</v>
      </c>
      <c r="S12" s="205">
        <f t="shared" si="4"/>
        <v>0.11378663009199208</v>
      </c>
    </row>
    <row r="13" spans="1:19" s="35" customFormat="1" ht="13.5" customHeight="1" x14ac:dyDescent="0.25">
      <c r="A13" s="86" t="s">
        <v>45</v>
      </c>
      <c r="B13" s="87">
        <v>4</v>
      </c>
      <c r="C13" s="233">
        <v>1879038</v>
      </c>
      <c r="D13" s="372"/>
      <c r="E13" s="237">
        <f t="shared" si="0"/>
        <v>1879038</v>
      </c>
      <c r="F13" s="31">
        <v>7637</v>
      </c>
      <c r="G13" s="31">
        <v>31304</v>
      </c>
      <c r="H13" s="31">
        <v>31480</v>
      </c>
      <c r="I13" s="31"/>
      <c r="J13" s="31"/>
      <c r="K13" s="31"/>
      <c r="L13" s="31"/>
      <c r="M13" s="31"/>
      <c r="N13" s="31"/>
      <c r="O13" s="204">
        <f t="shared" si="1"/>
        <v>70421</v>
      </c>
      <c r="P13" s="364"/>
      <c r="Q13" s="204">
        <f t="shared" si="2"/>
        <v>1949459</v>
      </c>
      <c r="R13" s="205">
        <f t="shared" si="3"/>
        <v>3.7477155863798295E-2</v>
      </c>
      <c r="S13" s="205">
        <f t="shared" si="4"/>
        <v>3.7477155863798295E-2</v>
      </c>
    </row>
    <row r="14" spans="1:19" s="35" customFormat="1" ht="13.5" customHeight="1" x14ac:dyDescent="0.25">
      <c r="A14" s="86" t="s">
        <v>35</v>
      </c>
      <c r="B14" s="87">
        <v>3</v>
      </c>
      <c r="C14" s="233">
        <v>954824</v>
      </c>
      <c r="D14" s="372"/>
      <c r="E14" s="237">
        <f t="shared" si="0"/>
        <v>954824</v>
      </c>
      <c r="F14" s="31"/>
      <c r="G14" s="31">
        <v>1600</v>
      </c>
      <c r="H14" s="31">
        <f>23300+21000</f>
        <v>44300</v>
      </c>
      <c r="I14" s="363">
        <v>54457</v>
      </c>
      <c r="J14" s="31"/>
      <c r="K14" s="31"/>
      <c r="L14" s="31"/>
      <c r="M14" s="31"/>
      <c r="N14" s="31"/>
      <c r="O14" s="204">
        <f t="shared" si="1"/>
        <v>100357</v>
      </c>
      <c r="P14" s="364">
        <f>1</f>
        <v>1</v>
      </c>
      <c r="Q14" s="204">
        <f t="shared" si="2"/>
        <v>1055181</v>
      </c>
      <c r="R14" s="205">
        <f t="shared" si="3"/>
        <v>0.10510523405360561</v>
      </c>
      <c r="S14" s="205">
        <f t="shared" si="4"/>
        <v>0.10510523405360561</v>
      </c>
    </row>
    <row r="15" spans="1:19" s="35" customFormat="1" ht="13.5" customHeight="1" x14ac:dyDescent="0.25">
      <c r="A15" s="86" t="s">
        <v>24</v>
      </c>
      <c r="B15" s="87">
        <v>2</v>
      </c>
      <c r="C15" s="233">
        <v>568423</v>
      </c>
      <c r="D15" s="372"/>
      <c r="E15" s="237">
        <f t="shared" si="0"/>
        <v>568423</v>
      </c>
      <c r="F15" s="31"/>
      <c r="G15" s="31">
        <v>6000</v>
      </c>
      <c r="H15" s="31">
        <v>21420</v>
      </c>
      <c r="I15" s="31"/>
      <c r="J15" s="31"/>
      <c r="K15" s="31"/>
      <c r="L15" s="31"/>
      <c r="M15" s="31"/>
      <c r="N15" s="31"/>
      <c r="O15" s="206">
        <f t="shared" si="1"/>
        <v>27420</v>
      </c>
      <c r="P15" s="364"/>
      <c r="Q15" s="204">
        <f t="shared" si="2"/>
        <v>595843</v>
      </c>
      <c r="R15" s="205">
        <f t="shared" si="3"/>
        <v>4.8238723626595092E-2</v>
      </c>
      <c r="S15" s="205">
        <f t="shared" si="4"/>
        <v>4.8238723626595092E-2</v>
      </c>
    </row>
    <row r="16" spans="1:19" s="35" customFormat="1" ht="13.5" customHeight="1" x14ac:dyDescent="0.25">
      <c r="A16" s="86" t="s">
        <v>80</v>
      </c>
      <c r="B16" s="87">
        <v>8</v>
      </c>
      <c r="C16" s="233">
        <v>23769047</v>
      </c>
      <c r="D16" s="372"/>
      <c r="E16" s="237">
        <f t="shared" si="0"/>
        <v>23769047</v>
      </c>
      <c r="F16" s="31">
        <v>2826816</v>
      </c>
      <c r="G16" s="31">
        <v>192506</v>
      </c>
      <c r="H16" s="31">
        <v>559332</v>
      </c>
      <c r="I16" s="363">
        <v>510059</v>
      </c>
      <c r="J16" s="363">
        <v>479393</v>
      </c>
      <c r="K16" s="31"/>
      <c r="L16" s="31">
        <f>92000+200000+536800</f>
        <v>828800</v>
      </c>
      <c r="M16" s="31"/>
      <c r="N16" s="31"/>
      <c r="O16" s="204">
        <f t="shared" si="1"/>
        <v>5396906</v>
      </c>
      <c r="P16" s="364">
        <f>6+6</f>
        <v>12</v>
      </c>
      <c r="Q16" s="204">
        <f t="shared" si="2"/>
        <v>29165953</v>
      </c>
      <c r="R16" s="205">
        <f t="shared" si="3"/>
        <v>0.227056053193887</v>
      </c>
      <c r="S16" s="205">
        <f t="shared" si="4"/>
        <v>0.227056053193887</v>
      </c>
    </row>
    <row r="17" spans="1:19" s="35" customFormat="1" ht="13.5" customHeight="1" x14ac:dyDescent="0.25">
      <c r="A17" s="86" t="s">
        <v>69</v>
      </c>
      <c r="B17" s="87">
        <v>6</v>
      </c>
      <c r="C17" s="233">
        <v>8076991</v>
      </c>
      <c r="D17" s="372"/>
      <c r="E17" s="237">
        <f t="shared" si="0"/>
        <v>8076991</v>
      </c>
      <c r="F17" s="31"/>
      <c r="G17" s="31"/>
      <c r="H17" s="31">
        <v>297925</v>
      </c>
      <c r="I17" s="31"/>
      <c r="J17" s="31"/>
      <c r="K17" s="31"/>
      <c r="L17" s="31">
        <v>165500</v>
      </c>
      <c r="M17" s="31">
        <v>60000</v>
      </c>
      <c r="N17" s="31"/>
      <c r="O17" s="206">
        <f t="shared" si="1"/>
        <v>523425</v>
      </c>
      <c r="P17" s="364"/>
      <c r="Q17" s="204">
        <f t="shared" si="2"/>
        <v>8600416</v>
      </c>
      <c r="R17" s="205">
        <f t="shared" si="3"/>
        <v>6.480445502539256E-2</v>
      </c>
      <c r="S17" s="205">
        <f t="shared" si="4"/>
        <v>6.480445502539256E-2</v>
      </c>
    </row>
    <row r="18" spans="1:19" s="35" customFormat="1" ht="13.5" customHeight="1" x14ac:dyDescent="0.25">
      <c r="A18" s="86" t="s">
        <v>46</v>
      </c>
      <c r="B18" s="87">
        <v>4</v>
      </c>
      <c r="C18" s="233">
        <v>2180671</v>
      </c>
      <c r="D18" s="372"/>
      <c r="E18" s="237">
        <f t="shared" si="0"/>
        <v>2180671</v>
      </c>
      <c r="F18" s="31"/>
      <c r="G18" s="31"/>
      <c r="H18" s="31">
        <f>53050+40200</f>
        <v>93250</v>
      </c>
      <c r="I18" s="363">
        <v>331855</v>
      </c>
      <c r="J18" s="31"/>
      <c r="K18" s="31">
        <v>287000</v>
      </c>
      <c r="L18" s="31"/>
      <c r="M18" s="31">
        <v>22700</v>
      </c>
      <c r="N18" s="31"/>
      <c r="O18" s="204">
        <f t="shared" si="1"/>
        <v>734805</v>
      </c>
      <c r="P18" s="364">
        <v>4</v>
      </c>
      <c r="Q18" s="204">
        <f t="shared" si="2"/>
        <v>2915476</v>
      </c>
      <c r="R18" s="205">
        <f t="shared" si="3"/>
        <v>0.33696279723076072</v>
      </c>
      <c r="S18" s="205">
        <f t="shared" si="4"/>
        <v>0.33696279723076072</v>
      </c>
    </row>
    <row r="19" spans="1:19" s="35" customFormat="1" ht="13.5" customHeight="1" x14ac:dyDescent="0.25">
      <c r="A19" s="86" t="s">
        <v>25</v>
      </c>
      <c r="B19" s="87">
        <v>2</v>
      </c>
      <c r="C19" s="233">
        <v>736345</v>
      </c>
      <c r="D19" s="372"/>
      <c r="E19" s="237">
        <f t="shared" si="0"/>
        <v>736345</v>
      </c>
      <c r="F19" s="31"/>
      <c r="G19" s="31">
        <v>5968</v>
      </c>
      <c r="H19" s="31">
        <v>17850</v>
      </c>
      <c r="I19" s="31"/>
      <c r="J19" s="31"/>
      <c r="K19" s="31"/>
      <c r="L19" s="31"/>
      <c r="M19" s="31"/>
      <c r="N19" s="31"/>
      <c r="O19" s="204">
        <f t="shared" si="1"/>
        <v>23818</v>
      </c>
      <c r="P19" s="364"/>
      <c r="Q19" s="204">
        <f t="shared" si="2"/>
        <v>760163</v>
      </c>
      <c r="R19" s="205">
        <f t="shared" si="3"/>
        <v>3.234625073844466E-2</v>
      </c>
      <c r="S19" s="205">
        <f t="shared" si="4"/>
        <v>3.234625073844466E-2</v>
      </c>
    </row>
    <row r="20" spans="1:19" s="35" customFormat="1" ht="13.5" customHeight="1" x14ac:dyDescent="0.25">
      <c r="A20" s="86" t="s">
        <v>36</v>
      </c>
      <c r="B20" s="87">
        <v>3</v>
      </c>
      <c r="C20" s="233">
        <v>1542546</v>
      </c>
      <c r="D20" s="372"/>
      <c r="E20" s="237">
        <f t="shared" si="0"/>
        <v>1542546</v>
      </c>
      <c r="F20" s="31"/>
      <c r="G20" s="31">
        <v>61106</v>
      </c>
      <c r="H20" s="31">
        <v>63989</v>
      </c>
      <c r="I20" s="31"/>
      <c r="J20" s="31"/>
      <c r="K20" s="31">
        <v>72368</v>
      </c>
      <c r="L20" s="31"/>
      <c r="M20" s="31">
        <v>15000</v>
      </c>
      <c r="N20" s="31"/>
      <c r="O20" s="204">
        <f t="shared" si="1"/>
        <v>212463</v>
      </c>
      <c r="P20" s="364"/>
      <c r="Q20" s="204">
        <f t="shared" si="2"/>
        <v>1755009</v>
      </c>
      <c r="R20" s="205">
        <f t="shared" si="3"/>
        <v>0.13773527661411711</v>
      </c>
      <c r="S20" s="205">
        <f t="shared" si="4"/>
        <v>0.13773527661411711</v>
      </c>
    </row>
    <row r="21" spans="1:19" s="35" customFormat="1" ht="13.5" customHeight="1" x14ac:dyDescent="0.25">
      <c r="A21" s="86" t="s">
        <v>26</v>
      </c>
      <c r="B21" s="87">
        <v>2</v>
      </c>
      <c r="C21" s="233">
        <v>633503</v>
      </c>
      <c r="D21" s="372"/>
      <c r="E21" s="237">
        <f t="shared" si="0"/>
        <v>633503</v>
      </c>
      <c r="F21" s="31"/>
      <c r="G21" s="31">
        <v>7563</v>
      </c>
      <c r="H21" s="31">
        <f>16664+400</f>
        <v>17064</v>
      </c>
      <c r="I21" s="31"/>
      <c r="J21" s="31"/>
      <c r="K21" s="31"/>
      <c r="L21" s="31"/>
      <c r="M21" s="31"/>
      <c r="N21" s="31"/>
      <c r="O21" s="204">
        <f t="shared" si="1"/>
        <v>24627</v>
      </c>
      <c r="P21" s="364"/>
      <c r="Q21" s="204">
        <f t="shared" si="2"/>
        <v>658130</v>
      </c>
      <c r="R21" s="205">
        <f t="shared" si="3"/>
        <v>3.8874322615678247E-2</v>
      </c>
      <c r="S21" s="205">
        <f t="shared" si="4"/>
        <v>3.8874322615678247E-2</v>
      </c>
    </row>
    <row r="22" spans="1:19" s="35" customFormat="1" ht="13.5" customHeight="1" x14ac:dyDescent="0.25">
      <c r="A22" s="86" t="s">
        <v>27</v>
      </c>
      <c r="B22" s="87">
        <v>2</v>
      </c>
      <c r="C22" s="233">
        <v>646188</v>
      </c>
      <c r="D22" s="372"/>
      <c r="E22" s="237">
        <f t="shared" si="0"/>
        <v>646188</v>
      </c>
      <c r="F22" s="31"/>
      <c r="G22" s="31"/>
      <c r="H22" s="31">
        <v>78434</v>
      </c>
      <c r="I22" s="31"/>
      <c r="J22" s="31"/>
      <c r="K22" s="31"/>
      <c r="L22" s="31">
        <v>78750</v>
      </c>
      <c r="M22" s="31"/>
      <c r="N22" s="31"/>
      <c r="O22" s="206">
        <f t="shared" si="1"/>
        <v>157184</v>
      </c>
      <c r="P22" s="364"/>
      <c r="Q22" s="204">
        <f t="shared" si="2"/>
        <v>803372</v>
      </c>
      <c r="R22" s="205">
        <f t="shared" si="3"/>
        <v>0.24324809498164623</v>
      </c>
      <c r="S22" s="205">
        <f t="shared" si="4"/>
        <v>0.24324809498164623</v>
      </c>
    </row>
    <row r="23" spans="1:19" s="35" customFormat="1" ht="13.5" customHeight="1" x14ac:dyDescent="0.25">
      <c r="A23" s="86" t="s">
        <v>18</v>
      </c>
      <c r="B23" s="87">
        <v>1</v>
      </c>
      <c r="C23" s="233">
        <v>565939</v>
      </c>
      <c r="D23" s="372"/>
      <c r="E23" s="237">
        <f t="shared" si="0"/>
        <v>565939</v>
      </c>
      <c r="F23" s="31"/>
      <c r="G23" s="31"/>
      <c r="H23" s="31">
        <f>24652+21946</f>
        <v>46598</v>
      </c>
      <c r="I23" s="363">
        <v>40213</v>
      </c>
      <c r="J23" s="363">
        <v>73701</v>
      </c>
      <c r="K23" s="31"/>
      <c r="L23" s="31"/>
      <c r="M23" s="31">
        <v>130000</v>
      </c>
      <c r="N23" s="31"/>
      <c r="O23" s="204">
        <f t="shared" si="1"/>
        <v>290512</v>
      </c>
      <c r="P23" s="364">
        <f>0.25+1</f>
        <v>1.25</v>
      </c>
      <c r="Q23" s="204">
        <f t="shared" si="2"/>
        <v>856451</v>
      </c>
      <c r="R23" s="205">
        <f t="shared" si="3"/>
        <v>0.51332740807754895</v>
      </c>
      <c r="S23" s="205">
        <f t="shared" si="4"/>
        <v>0.51332740807754895</v>
      </c>
    </row>
    <row r="24" spans="1:19" s="35" customFormat="1" ht="13.5" customHeight="1" x14ac:dyDescent="0.25">
      <c r="A24" s="86" t="s">
        <v>28</v>
      </c>
      <c r="B24" s="87">
        <v>2</v>
      </c>
      <c r="C24" s="233">
        <v>676981</v>
      </c>
      <c r="D24" s="372"/>
      <c r="E24" s="237">
        <f t="shared" si="0"/>
        <v>676981</v>
      </c>
      <c r="F24" s="31"/>
      <c r="G24" s="31">
        <v>5546</v>
      </c>
      <c r="H24" s="31">
        <v>15825</v>
      </c>
      <c r="I24" s="31"/>
      <c r="J24" s="31"/>
      <c r="K24" s="31"/>
      <c r="L24" s="31">
        <v>61694</v>
      </c>
      <c r="M24" s="31"/>
      <c r="N24" s="31"/>
      <c r="O24" s="206">
        <f t="shared" si="1"/>
        <v>83065</v>
      </c>
      <c r="P24" s="364"/>
      <c r="Q24" s="204">
        <f t="shared" si="2"/>
        <v>760046</v>
      </c>
      <c r="R24" s="205">
        <f t="shared" si="3"/>
        <v>0.12269915994688185</v>
      </c>
      <c r="S24" s="205">
        <f t="shared" si="4"/>
        <v>0.12269915994688185</v>
      </c>
    </row>
    <row r="25" spans="1:19" s="35" customFormat="1" ht="13.5" customHeight="1" x14ac:dyDescent="0.25">
      <c r="A25" s="86" t="s">
        <v>29</v>
      </c>
      <c r="B25" s="87">
        <v>2</v>
      </c>
      <c r="C25" s="233">
        <v>1034691</v>
      </c>
      <c r="D25" s="372"/>
      <c r="E25" s="237">
        <f t="shared" si="0"/>
        <v>1034691</v>
      </c>
      <c r="F25" s="31"/>
      <c r="G25" s="31">
        <v>44650</v>
      </c>
      <c r="H25" s="31">
        <v>39800</v>
      </c>
      <c r="I25" s="31"/>
      <c r="J25" s="31"/>
      <c r="K25" s="31"/>
      <c r="L25" s="31"/>
      <c r="M25" s="31"/>
      <c r="N25" s="31"/>
      <c r="O25" s="204">
        <f t="shared" si="1"/>
        <v>84450</v>
      </c>
      <c r="P25" s="364"/>
      <c r="Q25" s="204">
        <f t="shared" si="2"/>
        <v>1119141</v>
      </c>
      <c r="R25" s="205">
        <f t="shared" si="3"/>
        <v>8.1618570181822392E-2</v>
      </c>
      <c r="S25" s="205">
        <f t="shared" si="4"/>
        <v>8.1618570181822392E-2</v>
      </c>
    </row>
    <row r="26" spans="1:19" s="35" customFormat="1" ht="13.5" customHeight="1" x14ac:dyDescent="0.25">
      <c r="A26" s="86" t="s">
        <v>37</v>
      </c>
      <c r="B26" s="87">
        <v>3</v>
      </c>
      <c r="C26" s="233">
        <v>1457809</v>
      </c>
      <c r="D26" s="372"/>
      <c r="E26" s="237">
        <f t="shared" si="0"/>
        <v>1457809</v>
      </c>
      <c r="F26" s="31"/>
      <c r="G26" s="31">
        <v>41000</v>
      </c>
      <c r="H26" s="31">
        <v>31300</v>
      </c>
      <c r="I26" s="363">
        <f>56887+56887</f>
        <v>113774</v>
      </c>
      <c r="J26" s="31"/>
      <c r="K26" s="31"/>
      <c r="L26" s="31"/>
      <c r="M26" s="31"/>
      <c r="N26" s="31"/>
      <c r="O26" s="204">
        <f t="shared" si="1"/>
        <v>186074</v>
      </c>
      <c r="P26" s="364">
        <f>1+1</f>
        <v>2</v>
      </c>
      <c r="Q26" s="204">
        <f t="shared" si="2"/>
        <v>1643883</v>
      </c>
      <c r="R26" s="205">
        <f t="shared" si="3"/>
        <v>0.12763949186759027</v>
      </c>
      <c r="S26" s="205">
        <f t="shared" si="4"/>
        <v>0.12763949186759027</v>
      </c>
    </row>
    <row r="27" spans="1:19" s="35" customFormat="1" x14ac:dyDescent="0.25">
      <c r="A27" s="86" t="s">
        <v>59</v>
      </c>
      <c r="B27" s="87">
        <v>5</v>
      </c>
      <c r="C27" s="233">
        <v>4159167</v>
      </c>
      <c r="D27" s="372"/>
      <c r="E27" s="237">
        <f t="shared" si="0"/>
        <v>4159167</v>
      </c>
      <c r="F27" s="31"/>
      <c r="G27" s="31">
        <v>165467</v>
      </c>
      <c r="H27" s="31">
        <v>132649</v>
      </c>
      <c r="I27" s="363">
        <v>143152</v>
      </c>
      <c r="J27" s="31"/>
      <c r="K27" s="31"/>
      <c r="L27" s="31"/>
      <c r="M27" s="31"/>
      <c r="N27" s="31"/>
      <c r="O27" s="204">
        <f t="shared" si="1"/>
        <v>441268</v>
      </c>
      <c r="P27" s="364">
        <v>2</v>
      </c>
      <c r="Q27" s="204">
        <f t="shared" si="2"/>
        <v>4600435</v>
      </c>
      <c r="R27" s="205">
        <f t="shared" si="3"/>
        <v>0.1060952830218167</v>
      </c>
      <c r="S27" s="205">
        <f t="shared" si="4"/>
        <v>0.1060952830218167</v>
      </c>
    </row>
    <row r="28" spans="1:19" s="35" customFormat="1" ht="13.5" customHeight="1" x14ac:dyDescent="0.25">
      <c r="A28" s="86" t="s">
        <v>47</v>
      </c>
      <c r="B28" s="87">
        <v>4</v>
      </c>
      <c r="C28" s="233">
        <v>2322128</v>
      </c>
      <c r="D28" s="372"/>
      <c r="E28" s="237">
        <f t="shared" si="0"/>
        <v>2322128</v>
      </c>
      <c r="F28" s="31"/>
      <c r="G28" s="31">
        <v>27717</v>
      </c>
      <c r="H28" s="31">
        <v>65833</v>
      </c>
      <c r="I28" s="363">
        <f>61768+61768+79266</f>
        <v>202802</v>
      </c>
      <c r="J28" s="31"/>
      <c r="K28" s="31"/>
      <c r="L28" s="31"/>
      <c r="M28" s="31"/>
      <c r="N28" s="31"/>
      <c r="O28" s="204">
        <f t="shared" si="1"/>
        <v>296352</v>
      </c>
      <c r="P28" s="364">
        <f>1+1+1</f>
        <v>3</v>
      </c>
      <c r="Q28" s="204">
        <f t="shared" si="2"/>
        <v>2618480</v>
      </c>
      <c r="R28" s="205">
        <f t="shared" si="3"/>
        <v>0.12762087188992166</v>
      </c>
      <c r="S28" s="205">
        <f t="shared" si="4"/>
        <v>0.12762087188992166</v>
      </c>
    </row>
    <row r="29" spans="1:19" s="35" customFormat="1" ht="13.5" customHeight="1" x14ac:dyDescent="0.25">
      <c r="A29" s="86" t="s">
        <v>81</v>
      </c>
      <c r="B29" s="87">
        <v>8</v>
      </c>
      <c r="C29" s="233">
        <v>36625590</v>
      </c>
      <c r="D29" s="372"/>
      <c r="E29" s="237">
        <f t="shared" si="0"/>
        <v>36625590</v>
      </c>
      <c r="F29" s="31"/>
      <c r="G29" s="31">
        <v>1429000</v>
      </c>
      <c r="H29" s="31">
        <v>992673</v>
      </c>
      <c r="I29" s="31"/>
      <c r="J29" s="31"/>
      <c r="K29" s="31"/>
      <c r="L29" s="31"/>
      <c r="M29" s="31"/>
      <c r="N29" s="31"/>
      <c r="O29" s="206">
        <f t="shared" si="1"/>
        <v>2421673</v>
      </c>
      <c r="P29" s="364"/>
      <c r="Q29" s="204">
        <f t="shared" si="2"/>
        <v>39047263</v>
      </c>
      <c r="R29" s="205">
        <f t="shared" si="3"/>
        <v>6.6119699368665463E-2</v>
      </c>
      <c r="S29" s="205">
        <f t="shared" si="4"/>
        <v>6.6119699368665463E-2</v>
      </c>
    </row>
    <row r="30" spans="1:19" s="35" customFormat="1" ht="13.5" customHeight="1" x14ac:dyDescent="0.25">
      <c r="A30" s="86" t="s">
        <v>30</v>
      </c>
      <c r="B30" s="87">
        <v>2</v>
      </c>
      <c r="C30" s="233">
        <v>678285</v>
      </c>
      <c r="D30" s="372"/>
      <c r="E30" s="237">
        <f t="shared" si="0"/>
        <v>678285</v>
      </c>
      <c r="F30" s="31"/>
      <c r="G30" s="31">
        <v>13622</v>
      </c>
      <c r="H30" s="31">
        <v>64166</v>
      </c>
      <c r="I30" s="31"/>
      <c r="J30" s="31"/>
      <c r="K30" s="31"/>
      <c r="L30" s="31"/>
      <c r="M30" s="31"/>
      <c r="N30" s="31"/>
      <c r="O30" s="204">
        <f t="shared" si="1"/>
        <v>77788</v>
      </c>
      <c r="P30" s="364"/>
      <c r="Q30" s="204">
        <f t="shared" si="2"/>
        <v>756073</v>
      </c>
      <c r="R30" s="205">
        <f t="shared" si="3"/>
        <v>0.1146833558165079</v>
      </c>
      <c r="S30" s="205">
        <f t="shared" si="4"/>
        <v>0.1146833558165079</v>
      </c>
    </row>
    <row r="31" spans="1:19" s="35" customFormat="1" ht="13.5" customHeight="1" x14ac:dyDescent="0.25">
      <c r="A31" s="86" t="s">
        <v>48</v>
      </c>
      <c r="B31" s="87">
        <v>4</v>
      </c>
      <c r="C31" s="233">
        <v>3355013</v>
      </c>
      <c r="D31" s="372"/>
      <c r="E31" s="237">
        <f t="shared" si="0"/>
        <v>3355013</v>
      </c>
      <c r="F31" s="31"/>
      <c r="G31" s="31">
        <v>146536</v>
      </c>
      <c r="H31" s="31">
        <f>381597+13864</f>
        <v>395461</v>
      </c>
      <c r="I31" s="31"/>
      <c r="J31" s="31"/>
      <c r="K31" s="31">
        <v>155209</v>
      </c>
      <c r="L31" s="31"/>
      <c r="M31" s="31"/>
      <c r="N31" s="31"/>
      <c r="O31" s="206">
        <f t="shared" si="1"/>
        <v>697206</v>
      </c>
      <c r="P31" s="364"/>
      <c r="Q31" s="204">
        <f t="shared" si="2"/>
        <v>4052219</v>
      </c>
      <c r="R31" s="205">
        <f t="shared" si="3"/>
        <v>0.20781022309004471</v>
      </c>
      <c r="S31" s="205">
        <f t="shared" si="4"/>
        <v>0.20781022309004471</v>
      </c>
    </row>
    <row r="32" spans="1:19" s="35" customFormat="1" ht="13.5" customHeight="1" x14ac:dyDescent="0.25">
      <c r="A32" s="86" t="s">
        <v>38</v>
      </c>
      <c r="B32" s="87">
        <v>3</v>
      </c>
      <c r="C32" s="233">
        <v>1271930</v>
      </c>
      <c r="D32" s="372"/>
      <c r="E32" s="237">
        <f t="shared" si="0"/>
        <v>1271930</v>
      </c>
      <c r="F32" s="31"/>
      <c r="G32" s="31">
        <v>23896</v>
      </c>
      <c r="H32" s="31">
        <v>65700</v>
      </c>
      <c r="I32" s="31"/>
      <c r="J32" s="31"/>
      <c r="K32" s="31"/>
      <c r="L32" s="31"/>
      <c r="M32" s="31"/>
      <c r="N32" s="31"/>
      <c r="O32" s="204">
        <f t="shared" si="1"/>
        <v>89596</v>
      </c>
      <c r="P32" s="364"/>
      <c r="Q32" s="204">
        <f t="shared" si="2"/>
        <v>1361526</v>
      </c>
      <c r="R32" s="205">
        <f t="shared" si="3"/>
        <v>7.044098338745064E-2</v>
      </c>
      <c r="S32" s="205">
        <f t="shared" si="4"/>
        <v>7.044098338745064E-2</v>
      </c>
    </row>
    <row r="33" spans="1:19" s="35" customFormat="1" ht="13.5" customHeight="1" x14ac:dyDescent="0.25">
      <c r="A33" s="86" t="s">
        <v>31</v>
      </c>
      <c r="B33" s="87">
        <v>2</v>
      </c>
      <c r="C33" s="233">
        <v>573155</v>
      </c>
      <c r="D33" s="372"/>
      <c r="E33" s="237">
        <f t="shared" si="0"/>
        <v>573155</v>
      </c>
      <c r="F33" s="31"/>
      <c r="G33" s="31"/>
      <c r="H33" s="31">
        <v>15000</v>
      </c>
      <c r="I33" s="363">
        <v>20152</v>
      </c>
      <c r="J33" s="31"/>
      <c r="K33" s="31">
        <v>99684</v>
      </c>
      <c r="L33" s="31">
        <f>13000+7900</f>
        <v>20900</v>
      </c>
      <c r="M33" s="31"/>
      <c r="N33" s="31"/>
      <c r="O33" s="204">
        <f t="shared" si="1"/>
        <v>155736</v>
      </c>
      <c r="P33" s="364">
        <v>0.5</v>
      </c>
      <c r="Q33" s="204">
        <f t="shared" si="2"/>
        <v>728891</v>
      </c>
      <c r="R33" s="205">
        <f t="shared" si="3"/>
        <v>0.27171707478779727</v>
      </c>
      <c r="S33" s="205">
        <f t="shared" si="4"/>
        <v>0.27171707478779727</v>
      </c>
    </row>
    <row r="34" spans="1:19" s="35" customFormat="1" ht="13.5" customHeight="1" x14ac:dyDescent="0.25">
      <c r="A34" s="86" t="s">
        <v>19</v>
      </c>
      <c r="B34" s="87">
        <v>1</v>
      </c>
      <c r="C34" s="233">
        <v>346312</v>
      </c>
      <c r="D34" s="372"/>
      <c r="E34" s="237">
        <f t="shared" ref="E34:E65" si="5">C34+D34</f>
        <v>346312</v>
      </c>
      <c r="F34" s="31"/>
      <c r="G34" s="31">
        <v>4563</v>
      </c>
      <c r="H34" s="31">
        <f>6397+3634</f>
        <v>10031</v>
      </c>
      <c r="I34" s="31"/>
      <c r="J34" s="31"/>
      <c r="K34" s="31"/>
      <c r="L34" s="31"/>
      <c r="M34" s="31"/>
      <c r="N34" s="31"/>
      <c r="O34" s="206">
        <f t="shared" ref="O34:O51" si="6">SUM(F34:N34)</f>
        <v>14594</v>
      </c>
      <c r="P34" s="364"/>
      <c r="Q34" s="206">
        <f t="shared" ref="Q34:Q68" si="7">E34+O34</f>
        <v>360906</v>
      </c>
      <c r="R34" s="205">
        <f t="shared" ref="R34:R65" si="8">Q34/E34-1</f>
        <v>4.2141190602693612E-2</v>
      </c>
      <c r="S34" s="205">
        <f t="shared" ref="S34:S68" si="9">Q34/C34-1</f>
        <v>4.2141190602693612E-2</v>
      </c>
    </row>
    <row r="35" spans="1:19" s="35" customFormat="1" ht="13.5" customHeight="1" x14ac:dyDescent="0.25">
      <c r="A35" s="86" t="s">
        <v>60</v>
      </c>
      <c r="B35" s="87">
        <v>5</v>
      </c>
      <c r="C35" s="233">
        <v>7509805</v>
      </c>
      <c r="D35" s="372"/>
      <c r="E35" s="237">
        <f t="shared" si="5"/>
        <v>7509805</v>
      </c>
      <c r="F35" s="31"/>
      <c r="G35" s="31">
        <v>204413</v>
      </c>
      <c r="H35" s="31">
        <v>540634</v>
      </c>
      <c r="I35" s="363">
        <v>382092</v>
      </c>
      <c r="J35" s="363">
        <v>127364</v>
      </c>
      <c r="K35" s="31">
        <v>673213</v>
      </c>
      <c r="L35" s="31"/>
      <c r="M35" s="31"/>
      <c r="N35" s="31"/>
      <c r="O35" s="204">
        <f t="shared" si="6"/>
        <v>1927716</v>
      </c>
      <c r="P35" s="364">
        <f>6+2</f>
        <v>8</v>
      </c>
      <c r="Q35" s="204">
        <f t="shared" si="7"/>
        <v>9437521</v>
      </c>
      <c r="R35" s="205">
        <f t="shared" si="8"/>
        <v>0.25669321640175746</v>
      </c>
      <c r="S35" s="205">
        <f t="shared" si="9"/>
        <v>0.25669321640175746</v>
      </c>
    </row>
    <row r="36" spans="1:19" s="35" customFormat="1" ht="13.5" customHeight="1" x14ac:dyDescent="0.25">
      <c r="A36" s="86" t="s">
        <v>75</v>
      </c>
      <c r="B36" s="87">
        <v>7</v>
      </c>
      <c r="C36" s="233">
        <v>14097366</v>
      </c>
      <c r="D36" s="372"/>
      <c r="E36" s="237">
        <f t="shared" si="5"/>
        <v>14097366</v>
      </c>
      <c r="F36" s="31"/>
      <c r="G36" s="31"/>
      <c r="H36" s="31"/>
      <c r="I36" s="363">
        <f>799200+399600+206898</f>
        <v>1405698</v>
      </c>
      <c r="J36" s="31"/>
      <c r="K36" s="31"/>
      <c r="L36" s="31"/>
      <c r="M36" s="31"/>
      <c r="N36" s="31"/>
      <c r="O36" s="204">
        <f t="shared" si="6"/>
        <v>1405698</v>
      </c>
      <c r="P36" s="364">
        <f>12+6+3</f>
        <v>21</v>
      </c>
      <c r="Q36" s="204">
        <f t="shared" si="7"/>
        <v>15503064</v>
      </c>
      <c r="R36" s="205">
        <f t="shared" si="8"/>
        <v>9.9713520951360657E-2</v>
      </c>
      <c r="S36" s="205">
        <f t="shared" si="9"/>
        <v>9.9713520951360657E-2</v>
      </c>
    </row>
    <row r="37" spans="1:19" s="35" customFormat="1" ht="13.5" customHeight="1" x14ac:dyDescent="0.25">
      <c r="A37" s="86" t="s">
        <v>61</v>
      </c>
      <c r="B37" s="87">
        <v>5</v>
      </c>
      <c r="C37" s="233">
        <v>6999941</v>
      </c>
      <c r="D37" s="372"/>
      <c r="E37" s="237">
        <f t="shared" si="5"/>
        <v>6999941</v>
      </c>
      <c r="F37" s="31"/>
      <c r="G37" s="31">
        <v>101810</v>
      </c>
      <c r="H37" s="31">
        <v>233967</v>
      </c>
      <c r="I37" s="363">
        <f>366090+129943</f>
        <v>496033</v>
      </c>
      <c r="J37" s="31"/>
      <c r="K37" s="31"/>
      <c r="L37" s="31"/>
      <c r="M37" s="31"/>
      <c r="N37" s="31"/>
      <c r="O37" s="204">
        <f t="shared" si="6"/>
        <v>831810</v>
      </c>
      <c r="P37" s="364">
        <f>5+1</f>
        <v>6</v>
      </c>
      <c r="Q37" s="204">
        <f t="shared" si="7"/>
        <v>7831751</v>
      </c>
      <c r="R37" s="205">
        <f t="shared" si="8"/>
        <v>0.11883100157558468</v>
      </c>
      <c r="S37" s="205">
        <f t="shared" si="9"/>
        <v>0.11883100157558468</v>
      </c>
    </row>
    <row r="38" spans="1:19" s="35" customFormat="1" ht="13.5" customHeight="1" x14ac:dyDescent="0.25">
      <c r="A38" s="86" t="s">
        <v>39</v>
      </c>
      <c r="B38" s="87">
        <v>3</v>
      </c>
      <c r="C38" s="233">
        <v>1339404</v>
      </c>
      <c r="D38" s="372"/>
      <c r="E38" s="237">
        <f t="shared" si="5"/>
        <v>1339404</v>
      </c>
      <c r="F38" s="31"/>
      <c r="G38" s="31">
        <v>19500</v>
      </c>
      <c r="H38" s="31">
        <v>25000</v>
      </c>
      <c r="I38" s="31"/>
      <c r="J38" s="31"/>
      <c r="K38" s="31"/>
      <c r="L38" s="31"/>
      <c r="M38" s="31"/>
      <c r="N38" s="31"/>
      <c r="O38" s="204">
        <f t="shared" si="6"/>
        <v>44500</v>
      </c>
      <c r="P38" s="364"/>
      <c r="Q38" s="204">
        <f t="shared" si="7"/>
        <v>1383904</v>
      </c>
      <c r="R38" s="205">
        <f t="shared" si="8"/>
        <v>3.3223732346625789E-2</v>
      </c>
      <c r="S38" s="205">
        <f t="shared" si="9"/>
        <v>3.3223732346625789E-2</v>
      </c>
    </row>
    <row r="39" spans="1:19" s="35" customFormat="1" ht="13.5" customHeight="1" x14ac:dyDescent="0.25">
      <c r="A39" s="86" t="s">
        <v>20</v>
      </c>
      <c r="B39" s="87">
        <v>1</v>
      </c>
      <c r="C39" s="233">
        <v>363332</v>
      </c>
      <c r="D39" s="372"/>
      <c r="E39" s="237">
        <f t="shared" si="5"/>
        <v>363332</v>
      </c>
      <c r="F39" s="31"/>
      <c r="G39" s="31">
        <v>9607</v>
      </c>
      <c r="H39" s="31">
        <v>15192</v>
      </c>
      <c r="I39" s="31"/>
      <c r="J39" s="31"/>
      <c r="K39" s="31"/>
      <c r="L39" s="31">
        <v>58000</v>
      </c>
      <c r="M39" s="31"/>
      <c r="N39" s="31"/>
      <c r="O39" s="206">
        <f t="shared" si="6"/>
        <v>82799</v>
      </c>
      <c r="P39" s="364"/>
      <c r="Q39" s="206">
        <f t="shared" si="7"/>
        <v>446131</v>
      </c>
      <c r="R39" s="205">
        <f t="shared" si="8"/>
        <v>0.22788799224951295</v>
      </c>
      <c r="S39" s="205">
        <f t="shared" si="9"/>
        <v>0.22788799224951295</v>
      </c>
    </row>
    <row r="40" spans="1:19" s="35" customFormat="1" ht="13.5" customHeight="1" x14ac:dyDescent="0.25">
      <c r="A40" s="86" t="s">
        <v>40</v>
      </c>
      <c r="B40" s="87">
        <v>3</v>
      </c>
      <c r="C40" s="233">
        <v>661706</v>
      </c>
      <c r="D40" s="372"/>
      <c r="E40" s="237">
        <f t="shared" si="5"/>
        <v>661706</v>
      </c>
      <c r="F40" s="31"/>
      <c r="G40" s="31">
        <v>9275</v>
      </c>
      <c r="H40" s="31">
        <v>6956</v>
      </c>
      <c r="I40" s="363">
        <v>45273</v>
      </c>
      <c r="J40" s="31"/>
      <c r="K40" s="31"/>
      <c r="L40" s="31"/>
      <c r="M40" s="31"/>
      <c r="N40" s="31"/>
      <c r="O40" s="204">
        <f t="shared" si="6"/>
        <v>61504</v>
      </c>
      <c r="P40" s="364">
        <v>0.75</v>
      </c>
      <c r="Q40" s="204">
        <f t="shared" si="7"/>
        <v>723210</v>
      </c>
      <c r="R40" s="205">
        <f t="shared" si="8"/>
        <v>9.294762326471262E-2</v>
      </c>
      <c r="S40" s="205">
        <f t="shared" si="9"/>
        <v>9.294762326471262E-2</v>
      </c>
    </row>
    <row r="41" spans="1:19" s="35" customFormat="1" ht="13.5" customHeight="1" x14ac:dyDescent="0.25">
      <c r="A41" s="86" t="s">
        <v>70</v>
      </c>
      <c r="B41" s="87">
        <v>6</v>
      </c>
      <c r="C41" s="233">
        <v>7188994</v>
      </c>
      <c r="D41" s="372"/>
      <c r="E41" s="237">
        <f t="shared" si="5"/>
        <v>7188994</v>
      </c>
      <c r="F41" s="31"/>
      <c r="G41" s="31">
        <v>91079</v>
      </c>
      <c r="H41" s="31">
        <v>197286</v>
      </c>
      <c r="I41" s="363">
        <v>199827</v>
      </c>
      <c r="J41" s="31"/>
      <c r="K41" s="31"/>
      <c r="L41" s="31"/>
      <c r="M41" s="31"/>
      <c r="N41" s="31"/>
      <c r="O41" s="204">
        <f t="shared" si="6"/>
        <v>488192</v>
      </c>
      <c r="P41" s="364">
        <v>3</v>
      </c>
      <c r="Q41" s="204">
        <f t="shared" si="7"/>
        <v>7677186</v>
      </c>
      <c r="R41" s="205">
        <f t="shared" si="8"/>
        <v>6.7908249749547789E-2</v>
      </c>
      <c r="S41" s="205">
        <f t="shared" si="9"/>
        <v>6.7908249749547789E-2</v>
      </c>
    </row>
    <row r="42" spans="1:19" s="35" customFormat="1" ht="13.5" customHeight="1" x14ac:dyDescent="0.25">
      <c r="A42" s="86" t="s">
        <v>62</v>
      </c>
      <c r="B42" s="87">
        <v>5</v>
      </c>
      <c r="C42" s="233">
        <v>7923446</v>
      </c>
      <c r="D42" s="372"/>
      <c r="E42" s="237">
        <f t="shared" si="5"/>
        <v>7923446</v>
      </c>
      <c r="F42" s="31"/>
      <c r="G42" s="31">
        <v>212940</v>
      </c>
      <c r="H42" s="31">
        <v>226923</v>
      </c>
      <c r="I42" s="363">
        <v>57815</v>
      </c>
      <c r="J42" s="31"/>
      <c r="K42" s="31"/>
      <c r="L42" s="31"/>
      <c r="M42" s="31"/>
      <c r="N42" s="31"/>
      <c r="O42" s="204">
        <f t="shared" si="6"/>
        <v>497678</v>
      </c>
      <c r="P42" s="364">
        <v>1</v>
      </c>
      <c r="Q42" s="204">
        <f t="shared" si="7"/>
        <v>8421124</v>
      </c>
      <c r="R42" s="205">
        <f t="shared" si="8"/>
        <v>6.2810802269618549E-2</v>
      </c>
      <c r="S42" s="205">
        <f t="shared" si="9"/>
        <v>6.2810802269618549E-2</v>
      </c>
    </row>
    <row r="43" spans="1:19" s="35" customFormat="1" ht="13.5" customHeight="1" x14ac:dyDescent="0.25">
      <c r="A43" s="86" t="s">
        <v>49</v>
      </c>
      <c r="B43" s="87">
        <v>4</v>
      </c>
      <c r="C43" s="233">
        <v>4079800</v>
      </c>
      <c r="D43" s="372"/>
      <c r="E43" s="237">
        <f t="shared" si="5"/>
        <v>4079800</v>
      </c>
      <c r="F43" s="31"/>
      <c r="G43" s="31">
        <v>76429</v>
      </c>
      <c r="H43" s="31">
        <v>192280</v>
      </c>
      <c r="I43" s="363">
        <v>230450</v>
      </c>
      <c r="J43" s="31"/>
      <c r="K43" s="31"/>
      <c r="L43" s="31"/>
      <c r="M43" s="31"/>
      <c r="N43" s="31"/>
      <c r="O43" s="204">
        <f t="shared" si="6"/>
        <v>499159</v>
      </c>
      <c r="P43" s="364">
        <v>3.5</v>
      </c>
      <c r="Q43" s="204">
        <f t="shared" si="7"/>
        <v>4578959</v>
      </c>
      <c r="R43" s="205">
        <f t="shared" si="8"/>
        <v>0.12234888965145352</v>
      </c>
      <c r="S43" s="205">
        <f t="shared" si="9"/>
        <v>0.12234888965145352</v>
      </c>
    </row>
    <row r="44" spans="1:19" s="35" customFormat="1" ht="13.5" customHeight="1" x14ac:dyDescent="0.25">
      <c r="A44" s="86" t="s">
        <v>82</v>
      </c>
      <c r="B44" s="87">
        <v>8</v>
      </c>
      <c r="C44" s="233">
        <v>85979829</v>
      </c>
      <c r="D44" s="372"/>
      <c r="E44" s="237">
        <f t="shared" si="5"/>
        <v>85979829</v>
      </c>
      <c r="F44" s="31"/>
      <c r="G44" s="31">
        <v>2255700</v>
      </c>
      <c r="H44" s="31">
        <f>621900+5959300</f>
        <v>6581200</v>
      </c>
      <c r="I44" s="363">
        <v>9292900</v>
      </c>
      <c r="J44" s="31"/>
      <c r="K44" s="31"/>
      <c r="L44" s="31">
        <v>390000</v>
      </c>
      <c r="M44" s="31"/>
      <c r="N44" s="31"/>
      <c r="O44" s="204">
        <f t="shared" si="6"/>
        <v>18519800</v>
      </c>
      <c r="P44" s="364">
        <v>102.62</v>
      </c>
      <c r="Q44" s="204">
        <f t="shared" si="7"/>
        <v>104499629</v>
      </c>
      <c r="R44" s="205">
        <f t="shared" si="8"/>
        <v>0.21539703225043638</v>
      </c>
      <c r="S44" s="205">
        <f t="shared" si="9"/>
        <v>0.21539703225043638</v>
      </c>
    </row>
    <row r="45" spans="1:19" s="35" customFormat="1" ht="13.5" customHeight="1" x14ac:dyDescent="0.25">
      <c r="A45" s="86" t="s">
        <v>63</v>
      </c>
      <c r="B45" s="87">
        <v>5</v>
      </c>
      <c r="C45" s="233">
        <v>4198761</v>
      </c>
      <c r="D45" s="372"/>
      <c r="E45" s="237">
        <f t="shared" si="5"/>
        <v>4198761</v>
      </c>
      <c r="F45" s="31"/>
      <c r="G45" s="31"/>
      <c r="H45" s="31">
        <v>178000</v>
      </c>
      <c r="I45" s="31"/>
      <c r="J45" s="31"/>
      <c r="K45" s="31"/>
      <c r="L45" s="31"/>
      <c r="M45" s="31"/>
      <c r="N45" s="31"/>
      <c r="O45" s="206">
        <f t="shared" si="6"/>
        <v>178000</v>
      </c>
      <c r="P45" s="364"/>
      <c r="Q45" s="204">
        <f t="shared" si="7"/>
        <v>4376761</v>
      </c>
      <c r="R45" s="205">
        <f t="shared" si="8"/>
        <v>4.2393458451195576E-2</v>
      </c>
      <c r="S45" s="205">
        <f t="shared" si="9"/>
        <v>4.2393458451195576E-2</v>
      </c>
    </row>
    <row r="46" spans="1:19" s="35" customFormat="1" ht="13.5" customHeight="1" x14ac:dyDescent="0.25">
      <c r="A46" s="86" t="s">
        <v>50</v>
      </c>
      <c r="B46" s="87">
        <v>4</v>
      </c>
      <c r="C46" s="233">
        <v>1935030</v>
      </c>
      <c r="D46" s="372"/>
      <c r="E46" s="237">
        <f t="shared" si="5"/>
        <v>1935030</v>
      </c>
      <c r="F46" s="31"/>
      <c r="G46" s="31">
        <v>37920</v>
      </c>
      <c r="H46" s="31">
        <v>49174</v>
      </c>
      <c r="I46" s="363">
        <v>106906</v>
      </c>
      <c r="J46" s="31"/>
      <c r="K46" s="31"/>
      <c r="L46" s="31"/>
      <c r="M46" s="31">
        <v>584</v>
      </c>
      <c r="N46" s="31"/>
      <c r="O46" s="204">
        <f t="shared" si="6"/>
        <v>194584</v>
      </c>
      <c r="P46" s="364">
        <v>2</v>
      </c>
      <c r="Q46" s="204">
        <f t="shared" si="7"/>
        <v>2129614</v>
      </c>
      <c r="R46" s="205">
        <f t="shared" si="8"/>
        <v>0.10055864766954525</v>
      </c>
      <c r="S46" s="205">
        <f t="shared" si="9"/>
        <v>0.10055864766954525</v>
      </c>
    </row>
    <row r="47" spans="1:19" s="35" customFormat="1" ht="13.5" customHeight="1" x14ac:dyDescent="0.25">
      <c r="A47" s="86" t="s">
        <v>64</v>
      </c>
      <c r="B47" s="87">
        <v>5</v>
      </c>
      <c r="C47" s="233">
        <v>4355551</v>
      </c>
      <c r="D47" s="372"/>
      <c r="E47" s="237">
        <f t="shared" si="5"/>
        <v>4355551</v>
      </c>
      <c r="F47" s="31"/>
      <c r="G47" s="31"/>
      <c r="H47" s="31"/>
      <c r="I47" s="31"/>
      <c r="J47" s="31"/>
      <c r="K47" s="31"/>
      <c r="L47" s="31">
        <v>363871</v>
      </c>
      <c r="M47" s="31"/>
      <c r="N47" s="31"/>
      <c r="O47" s="206">
        <f t="shared" si="6"/>
        <v>363871</v>
      </c>
      <c r="P47" s="364"/>
      <c r="Q47" s="204">
        <f t="shared" si="7"/>
        <v>4719422</v>
      </c>
      <c r="R47" s="205">
        <f t="shared" si="8"/>
        <v>8.3541898602496056E-2</v>
      </c>
      <c r="S47" s="205">
        <f t="shared" si="9"/>
        <v>8.3541898602496056E-2</v>
      </c>
    </row>
    <row r="48" spans="1:19" s="35" customFormat="1" ht="13.5" customHeight="1" x14ac:dyDescent="0.25">
      <c r="A48" s="86" t="s">
        <v>41</v>
      </c>
      <c r="B48" s="87">
        <v>3</v>
      </c>
      <c r="C48" s="233">
        <v>1496990</v>
      </c>
      <c r="D48" s="372"/>
      <c r="E48" s="237">
        <f t="shared" si="5"/>
        <v>1496990</v>
      </c>
      <c r="F48" s="31"/>
      <c r="G48" s="31">
        <v>19200</v>
      </c>
      <c r="H48" s="31">
        <f>117796+98860</f>
        <v>216656</v>
      </c>
      <c r="I48" s="31"/>
      <c r="J48" s="31"/>
      <c r="K48" s="31"/>
      <c r="L48" s="31"/>
      <c r="M48" s="31">
        <v>130550</v>
      </c>
      <c r="N48" s="31"/>
      <c r="O48" s="204">
        <f t="shared" si="6"/>
        <v>366406</v>
      </c>
      <c r="P48" s="364"/>
      <c r="Q48" s="204">
        <f t="shared" si="7"/>
        <v>1863396</v>
      </c>
      <c r="R48" s="205">
        <f t="shared" si="8"/>
        <v>0.24476182205625951</v>
      </c>
      <c r="S48" s="205">
        <f t="shared" si="9"/>
        <v>0.24476182205625951</v>
      </c>
    </row>
    <row r="49" spans="1:19" s="35" customFormat="1" ht="13.5" customHeight="1" x14ac:dyDescent="0.25">
      <c r="A49" s="86" t="s">
        <v>83</v>
      </c>
      <c r="B49" s="87">
        <v>8</v>
      </c>
      <c r="C49" s="233">
        <v>35410487</v>
      </c>
      <c r="D49" s="372"/>
      <c r="E49" s="237">
        <f t="shared" si="5"/>
        <v>35410487</v>
      </c>
      <c r="F49" s="31"/>
      <c r="G49" s="31">
        <v>195998</v>
      </c>
      <c r="H49" s="31">
        <f>7487442+889338</f>
        <v>8376780</v>
      </c>
      <c r="I49" s="363">
        <v>1135960</v>
      </c>
      <c r="J49" s="31"/>
      <c r="K49" s="31"/>
      <c r="L49" s="31">
        <v>2367588</v>
      </c>
      <c r="M49" s="31"/>
      <c r="N49" s="31"/>
      <c r="O49" s="204">
        <f t="shared" si="6"/>
        <v>12076326</v>
      </c>
      <c r="P49" s="364">
        <v>11</v>
      </c>
      <c r="Q49" s="204">
        <f t="shared" si="7"/>
        <v>47486813</v>
      </c>
      <c r="R49" s="205">
        <f t="shared" si="8"/>
        <v>0.3410381224070711</v>
      </c>
      <c r="S49" s="205">
        <f t="shared" si="9"/>
        <v>0.3410381224070711</v>
      </c>
    </row>
    <row r="50" spans="1:19" s="35" customFormat="1" ht="13.5" customHeight="1" x14ac:dyDescent="0.25">
      <c r="A50" s="86" t="s">
        <v>71</v>
      </c>
      <c r="B50" s="87">
        <v>6</v>
      </c>
      <c r="C50" s="233">
        <v>9255958</v>
      </c>
      <c r="D50" s="372"/>
      <c r="E50" s="237">
        <f t="shared" si="5"/>
        <v>9255958</v>
      </c>
      <c r="F50" s="31"/>
      <c r="G50" s="31">
        <v>170231</v>
      </c>
      <c r="H50" s="31">
        <v>130285</v>
      </c>
      <c r="I50" s="31"/>
      <c r="J50" s="31"/>
      <c r="K50" s="31"/>
      <c r="L50" s="31"/>
      <c r="M50" s="31"/>
      <c r="N50" s="31"/>
      <c r="O50" s="204">
        <f t="shared" si="6"/>
        <v>300516</v>
      </c>
      <c r="P50" s="364"/>
      <c r="Q50" s="204">
        <f t="shared" si="7"/>
        <v>9556474</v>
      </c>
      <c r="R50" s="205">
        <f t="shared" si="8"/>
        <v>3.2467303762614197E-2</v>
      </c>
      <c r="S50" s="205">
        <f t="shared" si="9"/>
        <v>3.2467303762614197E-2</v>
      </c>
    </row>
    <row r="51" spans="1:19" s="35" customFormat="1" ht="13.5" customHeight="1" x14ac:dyDescent="0.25">
      <c r="A51" s="86" t="s">
        <v>84</v>
      </c>
      <c r="B51" s="87">
        <v>8</v>
      </c>
      <c r="C51" s="233">
        <v>35457082</v>
      </c>
      <c r="D51" s="372"/>
      <c r="E51" s="237">
        <f t="shared" si="5"/>
        <v>35457082</v>
      </c>
      <c r="F51" s="31"/>
      <c r="G51" s="31">
        <v>321671</v>
      </c>
      <c r="H51" s="31">
        <f>4608713+2169996+10818282</f>
        <v>17596991</v>
      </c>
      <c r="I51" s="31"/>
      <c r="J51" s="31"/>
      <c r="K51" s="31"/>
      <c r="L51" s="31"/>
      <c r="M51" s="31"/>
      <c r="N51" s="31"/>
      <c r="O51" s="204">
        <f t="shared" si="6"/>
        <v>17918662</v>
      </c>
      <c r="P51" s="364"/>
      <c r="Q51" s="204">
        <f t="shared" si="7"/>
        <v>53375744</v>
      </c>
      <c r="R51" s="205">
        <f t="shared" si="8"/>
        <v>0.50536200356250416</v>
      </c>
      <c r="S51" s="205">
        <f t="shared" si="9"/>
        <v>0.50536200356250416</v>
      </c>
    </row>
    <row r="52" spans="1:19" s="35" customFormat="1" ht="13.5" customHeight="1" x14ac:dyDescent="0.25">
      <c r="A52" s="86" t="s">
        <v>72</v>
      </c>
      <c r="B52" s="87">
        <v>6</v>
      </c>
      <c r="C52" s="233">
        <v>13494505</v>
      </c>
      <c r="D52" s="372"/>
      <c r="E52" s="237">
        <f t="shared" si="5"/>
        <v>13494505</v>
      </c>
      <c r="F52" s="31"/>
      <c r="G52" s="31">
        <v>347924</v>
      </c>
      <c r="H52" s="31">
        <v>2551403</v>
      </c>
      <c r="I52" s="363">
        <v>115937</v>
      </c>
      <c r="J52" s="31"/>
      <c r="K52" s="368">
        <v>-3776757</v>
      </c>
      <c r="L52" s="31"/>
      <c r="M52" s="31"/>
      <c r="N52" s="31"/>
      <c r="O52" s="204">
        <f>SUM(F52:N52)+3776757</f>
        <v>3015264</v>
      </c>
      <c r="P52" s="364">
        <v>2</v>
      </c>
      <c r="Q52" s="204">
        <f t="shared" si="7"/>
        <v>16509769</v>
      </c>
      <c r="R52" s="205">
        <f t="shared" si="8"/>
        <v>0.22344383880698104</v>
      </c>
      <c r="S52" s="205">
        <f t="shared" si="9"/>
        <v>0.22344383880698104</v>
      </c>
    </row>
    <row r="53" spans="1:19" s="35" customFormat="1" ht="13.5" customHeight="1" x14ac:dyDescent="0.25">
      <c r="A53" s="86" t="s">
        <v>76</v>
      </c>
      <c r="B53" s="87">
        <v>7</v>
      </c>
      <c r="C53" s="233">
        <v>26391476</v>
      </c>
      <c r="D53" s="372"/>
      <c r="E53" s="237">
        <f t="shared" si="5"/>
        <v>26391476</v>
      </c>
      <c r="F53" s="31"/>
      <c r="G53" s="31">
        <v>2164992</v>
      </c>
      <c r="H53" s="31">
        <f>543207+41266+1439016</f>
        <v>2023489</v>
      </c>
      <c r="I53" s="363">
        <f>1265628+912537</f>
        <v>2178165</v>
      </c>
      <c r="J53" s="31"/>
      <c r="K53" s="31"/>
      <c r="L53" s="31"/>
      <c r="M53" s="31"/>
      <c r="N53" s="31"/>
      <c r="O53" s="204">
        <f t="shared" ref="O53:O68" si="10">SUM(F53:N53)</f>
        <v>6366646</v>
      </c>
      <c r="P53" s="364">
        <f>14+8</f>
        <v>22</v>
      </c>
      <c r="Q53" s="204">
        <f t="shared" si="7"/>
        <v>32758122</v>
      </c>
      <c r="R53" s="205">
        <f t="shared" si="8"/>
        <v>0.24123872420019254</v>
      </c>
      <c r="S53" s="205">
        <f t="shared" si="9"/>
        <v>0.24123872420019254</v>
      </c>
    </row>
    <row r="54" spans="1:19" s="35" customFormat="1" ht="13.5" customHeight="1" x14ac:dyDescent="0.25">
      <c r="A54" s="86" t="s">
        <v>77</v>
      </c>
      <c r="B54" s="87">
        <v>7</v>
      </c>
      <c r="C54" s="233">
        <v>15326014</v>
      </c>
      <c r="D54" s="372"/>
      <c r="E54" s="237">
        <f t="shared" si="5"/>
        <v>15326014</v>
      </c>
      <c r="F54" s="31"/>
      <c r="G54" s="31">
        <v>128620</v>
      </c>
      <c r="H54" s="31">
        <v>2683416</v>
      </c>
      <c r="I54" s="31"/>
      <c r="J54" s="31"/>
      <c r="K54" s="31"/>
      <c r="L54" s="31"/>
      <c r="M54" s="31"/>
      <c r="N54" s="31"/>
      <c r="O54" s="204">
        <f t="shared" si="10"/>
        <v>2812036</v>
      </c>
      <c r="P54" s="364"/>
      <c r="Q54" s="204">
        <f t="shared" si="7"/>
        <v>18138050</v>
      </c>
      <c r="R54" s="205">
        <f t="shared" si="8"/>
        <v>0.18348123654330473</v>
      </c>
      <c r="S54" s="205">
        <f t="shared" si="9"/>
        <v>0.18348123654330473</v>
      </c>
    </row>
    <row r="55" spans="1:19" s="35" customFormat="1" ht="13.5" customHeight="1" x14ac:dyDescent="0.25">
      <c r="A55" s="86" t="s">
        <v>51</v>
      </c>
      <c r="B55" s="87">
        <v>4</v>
      </c>
      <c r="C55" s="233">
        <v>2502316</v>
      </c>
      <c r="D55" s="372"/>
      <c r="E55" s="237">
        <f t="shared" si="5"/>
        <v>2502316</v>
      </c>
      <c r="F55" s="31"/>
      <c r="G55" s="31"/>
      <c r="H55" s="31"/>
      <c r="I55" s="31"/>
      <c r="J55" s="31"/>
      <c r="K55" s="31">
        <v>448621</v>
      </c>
      <c r="L55" s="31"/>
      <c r="M55" s="31"/>
      <c r="N55" s="31"/>
      <c r="O55" s="204">
        <f t="shared" si="10"/>
        <v>448621</v>
      </c>
      <c r="P55" s="364"/>
      <c r="Q55" s="204">
        <f t="shared" si="7"/>
        <v>2950937</v>
      </c>
      <c r="R55" s="205">
        <f t="shared" si="8"/>
        <v>0.17928231286536156</v>
      </c>
      <c r="S55" s="205">
        <f t="shared" si="9"/>
        <v>0.17928231286536156</v>
      </c>
    </row>
    <row r="56" spans="1:19" s="35" customFormat="1" ht="13.5" customHeight="1" x14ac:dyDescent="0.25">
      <c r="A56" s="86" t="s">
        <v>65</v>
      </c>
      <c r="B56" s="87">
        <v>5</v>
      </c>
      <c r="C56" s="233">
        <v>4433455</v>
      </c>
      <c r="D56" s="372"/>
      <c r="E56" s="237">
        <f t="shared" si="5"/>
        <v>4433455</v>
      </c>
      <c r="F56" s="31"/>
      <c r="G56" s="31">
        <v>49000</v>
      </c>
      <c r="H56" s="31">
        <v>398346</v>
      </c>
      <c r="I56" s="363">
        <v>95444</v>
      </c>
      <c r="J56" s="31"/>
      <c r="K56" s="31">
        <v>1391741</v>
      </c>
      <c r="L56" s="31"/>
      <c r="M56" s="31"/>
      <c r="N56" s="31"/>
      <c r="O56" s="204">
        <f t="shared" si="10"/>
        <v>1934531</v>
      </c>
      <c r="P56" s="364">
        <f>1</f>
        <v>1</v>
      </c>
      <c r="Q56" s="204">
        <f t="shared" si="7"/>
        <v>6367986</v>
      </c>
      <c r="R56" s="205">
        <f t="shared" si="8"/>
        <v>0.43634840096493588</v>
      </c>
      <c r="S56" s="205">
        <f t="shared" si="9"/>
        <v>0.43634840096493588</v>
      </c>
    </row>
    <row r="57" spans="1:19" s="35" customFormat="1" ht="13.5" customHeight="1" x14ac:dyDescent="0.25">
      <c r="A57" s="86" t="s">
        <v>66</v>
      </c>
      <c r="B57" s="87">
        <v>5</v>
      </c>
      <c r="C57" s="233">
        <v>7932423</v>
      </c>
      <c r="D57" s="372"/>
      <c r="E57" s="237">
        <f t="shared" si="5"/>
        <v>7932423</v>
      </c>
      <c r="F57" s="31"/>
      <c r="G57" s="31">
        <v>215945</v>
      </c>
      <c r="H57" s="31">
        <v>1237692</v>
      </c>
      <c r="I57" s="363">
        <v>399591</v>
      </c>
      <c r="J57" s="31"/>
      <c r="K57" s="31">
        <v>564477</v>
      </c>
      <c r="L57" s="31"/>
      <c r="M57" s="31"/>
      <c r="N57" s="31"/>
      <c r="O57" s="204">
        <f t="shared" si="10"/>
        <v>2417705</v>
      </c>
      <c r="P57" s="364">
        <v>4</v>
      </c>
      <c r="Q57" s="204">
        <f t="shared" si="7"/>
        <v>10350128</v>
      </c>
      <c r="R57" s="205">
        <f t="shared" si="8"/>
        <v>0.30478770484125728</v>
      </c>
      <c r="S57" s="205">
        <f t="shared" si="9"/>
        <v>0.30478770484125728</v>
      </c>
    </row>
    <row r="58" spans="1:19" s="35" customFormat="1" ht="13.5" customHeight="1" x14ac:dyDescent="0.25">
      <c r="A58" s="86" t="s">
        <v>67</v>
      </c>
      <c r="B58" s="87">
        <v>5</v>
      </c>
      <c r="C58" s="233">
        <v>3982626</v>
      </c>
      <c r="D58" s="372"/>
      <c r="E58" s="237">
        <f t="shared" si="5"/>
        <v>3982626</v>
      </c>
      <c r="F58" s="31"/>
      <c r="G58" s="31"/>
      <c r="H58" s="31">
        <f>126725+29182</f>
        <v>155907</v>
      </c>
      <c r="I58" s="363">
        <v>74864</v>
      </c>
      <c r="J58" s="31"/>
      <c r="K58" s="31">
        <v>706492</v>
      </c>
      <c r="L58" s="31"/>
      <c r="M58" s="31"/>
      <c r="N58" s="31"/>
      <c r="O58" s="204">
        <f t="shared" si="10"/>
        <v>937263</v>
      </c>
      <c r="P58" s="364">
        <v>1</v>
      </c>
      <c r="Q58" s="204">
        <f t="shared" si="7"/>
        <v>4919889</v>
      </c>
      <c r="R58" s="205">
        <f t="shared" si="8"/>
        <v>0.23533794034388356</v>
      </c>
      <c r="S58" s="205">
        <f t="shared" si="9"/>
        <v>0.23533794034388356</v>
      </c>
    </row>
    <row r="59" spans="1:19" s="35" customFormat="1" ht="13.5" customHeight="1" x14ac:dyDescent="0.25">
      <c r="A59" s="86" t="s">
        <v>73</v>
      </c>
      <c r="B59" s="87">
        <v>6</v>
      </c>
      <c r="C59" s="233">
        <v>9701073</v>
      </c>
      <c r="D59" s="372"/>
      <c r="E59" s="237">
        <f t="shared" si="5"/>
        <v>9701073</v>
      </c>
      <c r="F59" s="31"/>
      <c r="G59" s="31"/>
      <c r="H59" s="31">
        <v>196525</v>
      </c>
      <c r="I59" s="31"/>
      <c r="J59" s="31"/>
      <c r="K59" s="363">
        <v>899697</v>
      </c>
      <c r="L59" s="31"/>
      <c r="M59" s="31"/>
      <c r="N59" s="31"/>
      <c r="O59" s="204">
        <f t="shared" si="10"/>
        <v>1096222</v>
      </c>
      <c r="P59" s="364">
        <v>7.25</v>
      </c>
      <c r="Q59" s="204">
        <f t="shared" si="7"/>
        <v>10797295</v>
      </c>
      <c r="R59" s="205">
        <f t="shared" si="8"/>
        <v>0.11300007741411688</v>
      </c>
      <c r="S59" s="205">
        <f t="shared" si="9"/>
        <v>0.11300007741411688</v>
      </c>
    </row>
    <row r="60" spans="1:19" s="35" customFormat="1" ht="13.5" customHeight="1" x14ac:dyDescent="0.25">
      <c r="A60" s="86" t="s">
        <v>74</v>
      </c>
      <c r="B60" s="87">
        <v>6</v>
      </c>
      <c r="C60" s="233">
        <v>10400514</v>
      </c>
      <c r="D60" s="372"/>
      <c r="E60" s="237">
        <f t="shared" si="5"/>
        <v>10400514</v>
      </c>
      <c r="F60" s="31"/>
      <c r="G60" s="31">
        <v>103566</v>
      </c>
      <c r="H60" s="31">
        <v>968859</v>
      </c>
      <c r="I60" s="31"/>
      <c r="J60" s="31"/>
      <c r="K60" s="31">
        <v>368576.5</v>
      </c>
      <c r="L60" s="31"/>
      <c r="M60" s="31"/>
      <c r="N60" s="31"/>
      <c r="O60" s="204">
        <f t="shared" si="10"/>
        <v>1441001.5</v>
      </c>
      <c r="P60" s="364"/>
      <c r="Q60" s="204">
        <f t="shared" si="7"/>
        <v>11841515.5</v>
      </c>
      <c r="R60" s="205">
        <f t="shared" si="8"/>
        <v>0.13855098892227824</v>
      </c>
      <c r="S60" s="205">
        <f t="shared" si="9"/>
        <v>0.13855098892227824</v>
      </c>
    </row>
    <row r="61" spans="1:19" s="35" customFormat="1" ht="13.5" customHeight="1" x14ac:dyDescent="0.25">
      <c r="A61" s="86" t="s">
        <v>52</v>
      </c>
      <c r="B61" s="87">
        <v>4</v>
      </c>
      <c r="C61" s="233">
        <v>2418708</v>
      </c>
      <c r="D61" s="372"/>
      <c r="E61" s="237">
        <f t="shared" si="5"/>
        <v>2418708</v>
      </c>
      <c r="F61" s="31">
        <v>10576.44</v>
      </c>
      <c r="G61" s="31">
        <v>101902.98</v>
      </c>
      <c r="H61" s="31">
        <f>71816.76+134820</f>
        <v>206636.76</v>
      </c>
      <c r="I61" s="31"/>
      <c r="J61" s="31"/>
      <c r="K61" s="31">
        <v>694159.5</v>
      </c>
      <c r="L61" s="31"/>
      <c r="M61" s="31"/>
      <c r="N61" s="31"/>
      <c r="O61" s="204">
        <f t="shared" si="10"/>
        <v>1013275.6799999999</v>
      </c>
      <c r="P61" s="364"/>
      <c r="Q61" s="204">
        <f t="shared" si="7"/>
        <v>3431983.6799999997</v>
      </c>
      <c r="R61" s="205">
        <f t="shared" si="8"/>
        <v>0.41893262022534339</v>
      </c>
      <c r="S61" s="205">
        <f t="shared" si="9"/>
        <v>0.41893262022534339</v>
      </c>
    </row>
    <row r="62" spans="1:19" s="35" customFormat="1" ht="13.5" customHeight="1" x14ac:dyDescent="0.25">
      <c r="A62" s="86" t="s">
        <v>42</v>
      </c>
      <c r="B62" s="87">
        <v>3</v>
      </c>
      <c r="C62" s="233">
        <v>1361986</v>
      </c>
      <c r="D62" s="372"/>
      <c r="E62" s="237">
        <f t="shared" si="5"/>
        <v>1361986</v>
      </c>
      <c r="F62" s="31"/>
      <c r="G62" s="31">
        <v>35765</v>
      </c>
      <c r="H62" s="31">
        <f>75625+12850</f>
        <v>88475</v>
      </c>
      <c r="I62" s="363">
        <v>59500</v>
      </c>
      <c r="J62" s="31"/>
      <c r="K62" s="31"/>
      <c r="L62" s="31"/>
      <c r="M62" s="31"/>
      <c r="N62" s="31"/>
      <c r="O62" s="204">
        <f t="shared" si="10"/>
        <v>183740</v>
      </c>
      <c r="P62" s="364">
        <v>1</v>
      </c>
      <c r="Q62" s="204">
        <f t="shared" si="7"/>
        <v>1545726</v>
      </c>
      <c r="R62" s="205">
        <f t="shared" si="8"/>
        <v>0.13490593882756508</v>
      </c>
      <c r="S62" s="205">
        <f t="shared" si="9"/>
        <v>0.13490593882756508</v>
      </c>
    </row>
    <row r="63" spans="1:19" s="35" customFormat="1" ht="13.5" customHeight="1" x14ac:dyDescent="0.25">
      <c r="A63" s="86" t="s">
        <v>32</v>
      </c>
      <c r="B63" s="87">
        <v>2</v>
      </c>
      <c r="C63" s="233">
        <v>659085</v>
      </c>
      <c r="D63" s="372"/>
      <c r="E63" s="237">
        <f t="shared" si="5"/>
        <v>659085</v>
      </c>
      <c r="F63" s="31"/>
      <c r="G63" s="31"/>
      <c r="H63" s="31">
        <v>26866</v>
      </c>
      <c r="I63" s="31"/>
      <c r="J63" s="363">
        <v>67470</v>
      </c>
      <c r="K63" s="363">
        <v>20483</v>
      </c>
      <c r="L63" s="31"/>
      <c r="M63" s="31"/>
      <c r="N63" s="31"/>
      <c r="O63" s="204">
        <f t="shared" si="10"/>
        <v>114819</v>
      </c>
      <c r="P63" s="364">
        <f>0.35+1</f>
        <v>1.35</v>
      </c>
      <c r="Q63" s="204">
        <f t="shared" si="7"/>
        <v>773904</v>
      </c>
      <c r="R63" s="205">
        <f t="shared" si="8"/>
        <v>0.17420969981110179</v>
      </c>
      <c r="S63" s="205">
        <f t="shared" si="9"/>
        <v>0.17420969981110179</v>
      </c>
    </row>
    <row r="64" spans="1:19" s="35" customFormat="1" ht="13.5" customHeight="1" x14ac:dyDescent="0.25">
      <c r="A64" s="86" t="s">
        <v>21</v>
      </c>
      <c r="B64" s="87">
        <v>1</v>
      </c>
      <c r="C64" s="233">
        <v>561694</v>
      </c>
      <c r="D64" s="372"/>
      <c r="E64" s="237">
        <f t="shared" si="5"/>
        <v>561694</v>
      </c>
      <c r="F64" s="31"/>
      <c r="G64" s="31">
        <v>18096</v>
      </c>
      <c r="H64" s="31"/>
      <c r="I64" s="363">
        <v>62357</v>
      </c>
      <c r="J64" s="31"/>
      <c r="K64" s="31">
        <v>11652</v>
      </c>
      <c r="L64" s="31">
        <v>24543</v>
      </c>
      <c r="M64" s="31"/>
      <c r="N64" s="31"/>
      <c r="O64" s="204">
        <f t="shared" si="10"/>
        <v>116648</v>
      </c>
      <c r="P64" s="364">
        <v>1</v>
      </c>
      <c r="Q64" s="204">
        <f t="shared" si="7"/>
        <v>678342</v>
      </c>
      <c r="R64" s="205">
        <f t="shared" si="8"/>
        <v>0.20767179282669934</v>
      </c>
      <c r="S64" s="205">
        <f t="shared" si="9"/>
        <v>0.20767179282669934</v>
      </c>
    </row>
    <row r="65" spans="1:19" s="35" customFormat="1" ht="13.5" customHeight="1" x14ac:dyDescent="0.25">
      <c r="A65" s="86" t="s">
        <v>78</v>
      </c>
      <c r="B65" s="87">
        <v>7</v>
      </c>
      <c r="C65" s="233">
        <v>14040535</v>
      </c>
      <c r="D65" s="372"/>
      <c r="E65" s="237">
        <f t="shared" si="5"/>
        <v>14040535</v>
      </c>
      <c r="F65" s="31"/>
      <c r="G65" s="31"/>
      <c r="H65" s="31">
        <v>750780</v>
      </c>
      <c r="I65" s="363">
        <f>624140+248680+201560</f>
        <v>1074380</v>
      </c>
      <c r="J65" s="363">
        <v>124134</v>
      </c>
      <c r="K65" s="31"/>
      <c r="L65" s="31"/>
      <c r="M65" s="31"/>
      <c r="N65" s="31"/>
      <c r="O65" s="204">
        <f t="shared" si="10"/>
        <v>1949294</v>
      </c>
      <c r="P65" s="364">
        <f>2+10+4+2</f>
        <v>18</v>
      </c>
      <c r="Q65" s="204">
        <f t="shared" si="7"/>
        <v>15989829</v>
      </c>
      <c r="R65" s="205">
        <f t="shared" si="8"/>
        <v>0.13883331368783303</v>
      </c>
      <c r="S65" s="205">
        <f t="shared" si="9"/>
        <v>0.13883331368783303</v>
      </c>
    </row>
    <row r="66" spans="1:19" s="35" customFormat="1" ht="13.5" customHeight="1" x14ac:dyDescent="0.25">
      <c r="A66" s="86" t="s">
        <v>43</v>
      </c>
      <c r="B66" s="87">
        <v>3</v>
      </c>
      <c r="C66" s="233">
        <v>816610</v>
      </c>
      <c r="D66" s="372"/>
      <c r="E66" s="237">
        <f t="shared" ref="E66:E68" si="11">C66+D66</f>
        <v>816610</v>
      </c>
      <c r="F66" s="31"/>
      <c r="G66" s="31">
        <v>4632</v>
      </c>
      <c r="H66" s="31">
        <f>24380+75369+14177</f>
        <v>113926</v>
      </c>
      <c r="I66" s="31"/>
      <c r="J66" s="31"/>
      <c r="K66" s="31"/>
      <c r="L66" s="31"/>
      <c r="M66" s="31"/>
      <c r="N66" s="31"/>
      <c r="O66" s="204">
        <f t="shared" si="10"/>
        <v>118558</v>
      </c>
      <c r="P66" s="364"/>
      <c r="Q66" s="204">
        <f t="shared" si="7"/>
        <v>935168</v>
      </c>
      <c r="R66" s="205">
        <f t="shared" ref="R66:R68" si="12">Q66/E66-1</f>
        <v>0.14518313515631687</v>
      </c>
      <c r="S66" s="205">
        <f t="shared" si="9"/>
        <v>0.14518313515631687</v>
      </c>
    </row>
    <row r="67" spans="1:19" ht="13.5" customHeight="1" x14ac:dyDescent="0.25">
      <c r="A67" s="86" t="s">
        <v>53</v>
      </c>
      <c r="B67" s="87">
        <v>4</v>
      </c>
      <c r="C67" s="233">
        <v>2068328</v>
      </c>
      <c r="D67" s="372"/>
      <c r="E67" s="237">
        <f t="shared" si="11"/>
        <v>2068328</v>
      </c>
      <c r="F67" s="31"/>
      <c r="G67" s="31">
        <v>39959</v>
      </c>
      <c r="H67" s="31">
        <v>90063</v>
      </c>
      <c r="I67" s="31"/>
      <c r="J67" s="31"/>
      <c r="K67" s="31">
        <v>307438</v>
      </c>
      <c r="L67" s="31"/>
      <c r="M67" s="31"/>
      <c r="N67" s="31"/>
      <c r="O67" s="206">
        <f t="shared" si="10"/>
        <v>437460</v>
      </c>
      <c r="P67" s="364"/>
      <c r="Q67" s="204">
        <f t="shared" si="7"/>
        <v>2505788</v>
      </c>
      <c r="R67" s="205">
        <f t="shared" si="12"/>
        <v>0.21150417148537359</v>
      </c>
      <c r="S67" s="205">
        <f t="shared" si="9"/>
        <v>0.21150417148537359</v>
      </c>
    </row>
    <row r="68" spans="1:19" ht="13.5" customHeight="1" thickBot="1" x14ac:dyDescent="0.3">
      <c r="A68" s="95" t="s">
        <v>33</v>
      </c>
      <c r="B68" s="96">
        <v>2</v>
      </c>
      <c r="C68" s="235">
        <v>910424</v>
      </c>
      <c r="D68" s="374"/>
      <c r="E68" s="239">
        <f t="shared" si="11"/>
        <v>910424</v>
      </c>
      <c r="F68" s="51"/>
      <c r="G68" s="366">
        <v>65550</v>
      </c>
      <c r="H68" s="51">
        <v>26987</v>
      </c>
      <c r="I68" s="51"/>
      <c r="J68" s="51"/>
      <c r="K68" s="51"/>
      <c r="L68" s="51"/>
      <c r="M68" s="51"/>
      <c r="N68" s="51"/>
      <c r="O68" s="207">
        <f t="shared" si="10"/>
        <v>92537</v>
      </c>
      <c r="P68" s="367"/>
      <c r="Q68" s="207">
        <f t="shared" si="7"/>
        <v>1002961</v>
      </c>
      <c r="R68" s="208">
        <f t="shared" si="12"/>
        <v>0.10164165268050929</v>
      </c>
      <c r="S68" s="208">
        <f t="shared" si="9"/>
        <v>0.10164165268050929</v>
      </c>
    </row>
    <row r="69" spans="1:19" ht="11.25" customHeight="1" thickBot="1" x14ac:dyDescent="0.3">
      <c r="A69" s="55"/>
      <c r="B69" s="56"/>
      <c r="C69" s="57"/>
      <c r="D69" s="57"/>
      <c r="E69" s="57"/>
      <c r="F69" s="59"/>
      <c r="G69" s="59"/>
      <c r="H69" s="59"/>
      <c r="I69" s="59"/>
      <c r="J69" s="59"/>
      <c r="K69" s="59"/>
      <c r="L69" s="59"/>
      <c r="M69" s="59"/>
      <c r="N69" s="59"/>
      <c r="O69" s="209"/>
      <c r="P69" s="210"/>
      <c r="Q69" s="209"/>
      <c r="R69" s="211"/>
      <c r="S69" s="211"/>
    </row>
    <row r="70" spans="1:19" s="35" customFormat="1" ht="14.25" thickBot="1" x14ac:dyDescent="0.3">
      <c r="A70" s="512" t="s">
        <v>85</v>
      </c>
      <c r="B70" s="512"/>
      <c r="C70" s="236">
        <f>SUM(C2:C68)</f>
        <v>532475488</v>
      </c>
      <c r="D70" s="236">
        <f t="shared" ref="D70:J70" si="13">SUM(D2:D68)</f>
        <v>0</v>
      </c>
      <c r="E70" s="212">
        <f t="shared" si="13"/>
        <v>532475488</v>
      </c>
      <c r="F70" s="61">
        <f t="shared" si="13"/>
        <v>2845029.44</v>
      </c>
      <c r="G70" s="61">
        <f t="shared" si="13"/>
        <v>10370089.98</v>
      </c>
      <c r="H70" s="61">
        <f t="shared" si="13"/>
        <v>53072385.759999998</v>
      </c>
      <c r="I70" s="61">
        <f t="shared" si="13"/>
        <v>19261314</v>
      </c>
      <c r="J70" s="61">
        <f t="shared" si="13"/>
        <v>872062</v>
      </c>
      <c r="K70" s="61">
        <f>(SUM(K2:K68)+3776757)</f>
        <v>8595822</v>
      </c>
      <c r="L70" s="61">
        <f t="shared" ref="L70:Q70" si="14">SUM(L2:L68)</f>
        <v>4377646</v>
      </c>
      <c r="M70" s="61">
        <f t="shared" si="14"/>
        <v>1009534</v>
      </c>
      <c r="N70" s="61">
        <f t="shared" si="14"/>
        <v>0</v>
      </c>
      <c r="O70" s="61">
        <f>SUM(O2:O68)</f>
        <v>100403883.18000001</v>
      </c>
      <c r="P70" s="213">
        <f t="shared" si="14"/>
        <v>251.73999999999998</v>
      </c>
      <c r="Q70" s="214">
        <f t="shared" si="14"/>
        <v>632879371.17999995</v>
      </c>
      <c r="R70" s="215">
        <f>Q70/E70-1</f>
        <v>0.18856057310191132</v>
      </c>
      <c r="S70" s="215">
        <f>Q70/C70-1</f>
        <v>0.18856057310191132</v>
      </c>
    </row>
    <row r="71" spans="1:19" ht="7.5" customHeight="1" thickBot="1" x14ac:dyDescent="0.3">
      <c r="E71" s="67"/>
      <c r="F71" s="67"/>
      <c r="G71" s="67"/>
      <c r="H71" s="67"/>
      <c r="I71" s="67"/>
      <c r="J71" s="67"/>
      <c r="K71" s="67"/>
      <c r="L71" s="67"/>
      <c r="M71" s="67"/>
      <c r="N71" s="67"/>
    </row>
    <row r="72" spans="1:19" ht="14.25" customHeight="1" thickBot="1" x14ac:dyDescent="0.3">
      <c r="E72" s="218"/>
      <c r="G72" s="219"/>
      <c r="H72" s="220" t="s">
        <v>205</v>
      </c>
      <c r="I72" s="221">
        <f>I70+252095+J16+J23+J35+K59+J63+K63+J65</f>
        <v>21305651</v>
      </c>
      <c r="J72" s="219"/>
      <c r="K72" s="219"/>
      <c r="L72" s="219"/>
      <c r="M72" s="220" t="s">
        <v>206</v>
      </c>
      <c r="O72" s="222">
        <f>O70+D70</f>
        <v>100403883.18000001</v>
      </c>
      <c r="P72" s="223"/>
      <c r="Q72" s="224"/>
      <c r="S72" s="225" t="s">
        <v>245</v>
      </c>
    </row>
    <row r="73" spans="1:19" ht="7.5" customHeight="1" x14ac:dyDescent="0.25">
      <c r="E73" s="67"/>
      <c r="F73" s="67"/>
      <c r="G73" s="67"/>
      <c r="H73" s="67"/>
      <c r="I73" s="67"/>
      <c r="J73" s="67"/>
      <c r="K73" s="67"/>
      <c r="L73" s="67"/>
      <c r="M73" s="67"/>
      <c r="N73" s="67"/>
    </row>
    <row r="74" spans="1:19" x14ac:dyDescent="0.25">
      <c r="F74" s="371">
        <v>3</v>
      </c>
      <c r="G74" s="371">
        <v>53</v>
      </c>
      <c r="H74" s="371">
        <v>63</v>
      </c>
      <c r="I74" s="371">
        <v>30</v>
      </c>
      <c r="J74" s="371">
        <v>5</v>
      </c>
      <c r="K74" s="371">
        <v>19</v>
      </c>
      <c r="L74" s="371">
        <v>11</v>
      </c>
      <c r="M74" s="371">
        <v>8</v>
      </c>
      <c r="O74" s="371">
        <v>67</v>
      </c>
      <c r="P74" s="371">
        <v>33</v>
      </c>
      <c r="R74" s="226"/>
      <c r="S74" s="226"/>
    </row>
    <row r="75" spans="1:19" x14ac:dyDescent="0.25">
      <c r="R75" s="226"/>
      <c r="S75" s="226"/>
    </row>
    <row r="76" spans="1:19" ht="15.75" customHeight="1" thickBot="1" x14ac:dyDescent="0.3">
      <c r="A76" s="513" t="s">
        <v>207</v>
      </c>
      <c r="B76" s="514"/>
      <c r="C76" s="514"/>
      <c r="D76" s="514"/>
      <c r="E76" s="514"/>
      <c r="F76" s="515"/>
      <c r="I76" s="72"/>
      <c r="K76" s="227"/>
      <c r="N76" s="78"/>
      <c r="O76" s="45"/>
      <c r="P76" s="76" t="s">
        <v>87</v>
      </c>
      <c r="Q76" s="228">
        <f>16500000</f>
        <v>16500000</v>
      </c>
      <c r="R76" s="229"/>
      <c r="S76" s="229"/>
    </row>
    <row r="77" spans="1:19" ht="14.25" thickBot="1" x14ac:dyDescent="0.3">
      <c r="A77" s="516"/>
      <c r="B77" s="517"/>
      <c r="C77" s="517"/>
      <c r="D77" s="517"/>
      <c r="E77" s="517"/>
      <c r="F77" s="518"/>
      <c r="I77" s="67"/>
      <c r="O77" s="79"/>
      <c r="P77" s="80" t="s">
        <v>244</v>
      </c>
      <c r="Q77" s="81">
        <f>Q70+Q76</f>
        <v>649379371.17999995</v>
      </c>
    </row>
    <row r="78" spans="1:19" x14ac:dyDescent="0.25">
      <c r="G78" s="82"/>
      <c r="Q78" s="230">
        <f>Q77-'New Revenue Summary '!B11</f>
        <v>40932807.179999948</v>
      </c>
    </row>
    <row r="80" spans="1:19" s="217" customFormat="1" x14ac:dyDescent="0.25">
      <c r="A80" s="45"/>
      <c r="B80" s="45"/>
      <c r="C80" s="45"/>
      <c r="D80" s="45"/>
      <c r="E80" s="45"/>
      <c r="F80" s="45"/>
      <c r="G80" s="45"/>
      <c r="H80" s="45"/>
      <c r="I80" s="45"/>
      <c r="J80" s="45"/>
      <c r="K80" s="45"/>
      <c r="L80" s="45"/>
      <c r="M80" s="45"/>
      <c r="N80" s="45"/>
      <c r="O80" s="216"/>
      <c r="P80" s="216"/>
      <c r="Q80" s="231"/>
    </row>
  </sheetData>
  <autoFilter ref="A1:S1" xr:uid="{9E11FCF2-DD73-4F32-9271-ACFE81C4F4E8}">
    <sortState xmlns:xlrd2="http://schemas.microsoft.com/office/spreadsheetml/2017/richdata2" ref="A2:S68">
      <sortCondition ref="A1"/>
    </sortState>
  </autoFilter>
  <mergeCells count="2">
    <mergeCell ref="A70:B70"/>
    <mergeCell ref="A76:F77"/>
  </mergeCells>
  <conditionalFormatting sqref="R2:S68 O70:P70">
    <cfRule type="cellIs" dxfId="0" priority="1" operator="lessThan">
      <formula>0</formula>
    </cfRule>
  </conditionalFormatting>
  <printOptions horizontalCentered="1"/>
  <pageMargins left="0.2" right="0.2" top="0.41" bottom="0.25" header="0.25" footer="0.25"/>
  <pageSetup paperSize="5" scale="69" fitToHeight="0" pageOrder="overThenDown" orientation="landscape" r:id="rId1"/>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7CFE-8B1F-47F1-A00C-D3842AD52E73}">
  <sheetPr>
    <pageSetUpPr fitToPage="1"/>
  </sheetPr>
  <dimension ref="A1:K77"/>
  <sheetViews>
    <sheetView tabSelected="1" zoomScale="120" zoomScaleNormal="120" zoomScalePageLayoutView="55" workbookViewId="0">
      <pane xSplit="2" ySplit="1" topLeftCell="C53" activePane="bottomRight" state="frozen"/>
      <selection pane="topRight" activeCell="C1" sqref="C1"/>
      <selection pane="bottomLeft" activeCell="A2" sqref="A2"/>
      <selection pane="bottomRight" activeCell="F72" sqref="F72"/>
    </sheetView>
  </sheetViews>
  <sheetFormatPr defaultColWidth="2.28515625" defaultRowHeight="13.5" x14ac:dyDescent="0.25"/>
  <cols>
    <col min="1" max="1" width="13" style="45" customWidth="1"/>
    <col min="2" max="2" width="7.140625" style="45" customWidth="1"/>
    <col min="3" max="3" width="16.7109375" style="45" customWidth="1"/>
    <col min="4" max="4" width="9.140625" style="45" customWidth="1"/>
    <col min="5" max="5" width="16.5703125" style="45" customWidth="1"/>
    <col min="6" max="6" width="18.140625" style="45" customWidth="1"/>
    <col min="7" max="7" width="12" style="45" hidden="1" customWidth="1"/>
    <col min="8" max="8" width="15" style="45" customWidth="1"/>
    <col min="9" max="9" width="17.28515625" style="45" customWidth="1"/>
    <col min="10" max="10" width="15.140625" style="45" customWidth="1"/>
    <col min="11" max="11" width="8.85546875" style="45" customWidth="1"/>
    <col min="12" max="16384" width="2.28515625" style="45"/>
  </cols>
  <sheetData>
    <row r="1" spans="1:11" s="25" customFormat="1" ht="70.5" customHeight="1" thickBot="1" x14ac:dyDescent="0.3">
      <c r="A1" s="16" t="s">
        <v>11</v>
      </c>
      <c r="B1" s="17" t="s">
        <v>12</v>
      </c>
      <c r="C1" s="381" t="s">
        <v>15</v>
      </c>
      <c r="D1" s="376" t="s">
        <v>13</v>
      </c>
      <c r="E1" s="19" t="s">
        <v>93</v>
      </c>
      <c r="F1" s="21" t="s">
        <v>265</v>
      </c>
      <c r="G1" s="376" t="s">
        <v>249</v>
      </c>
      <c r="H1" s="386" t="s">
        <v>266</v>
      </c>
      <c r="I1" s="22" t="s">
        <v>94</v>
      </c>
      <c r="J1" s="23" t="s">
        <v>16</v>
      </c>
      <c r="K1" s="24" t="s">
        <v>17</v>
      </c>
    </row>
    <row r="2" spans="1:11" s="35" customFormat="1" ht="13.5" customHeight="1" x14ac:dyDescent="0.25">
      <c r="A2" s="26" t="s">
        <v>54</v>
      </c>
      <c r="B2" s="27">
        <v>5</v>
      </c>
      <c r="C2" s="382">
        <v>6791555</v>
      </c>
      <c r="D2" s="377"/>
      <c r="E2" s="29">
        <f t="shared" ref="E2:E33" si="0">C2+D2</f>
        <v>6791555</v>
      </c>
      <c r="F2" s="396">
        <v>556354</v>
      </c>
      <c r="G2" s="391"/>
      <c r="H2" s="387"/>
      <c r="I2" s="32">
        <f t="shared" ref="I2:I33" si="1">E2+F2+H2</f>
        <v>7347909</v>
      </c>
      <c r="J2" s="33">
        <f t="shared" ref="J2:J33" si="2">I2-C2</f>
        <v>556354</v>
      </c>
      <c r="K2" s="34">
        <f t="shared" ref="K2:K33" si="3">J2/C2</f>
        <v>8.1918500255096213E-2</v>
      </c>
    </row>
    <row r="3" spans="1:11" customFormat="1" ht="13.5" customHeight="1" x14ac:dyDescent="0.25">
      <c r="A3" s="36" t="s">
        <v>22</v>
      </c>
      <c r="B3" s="37">
        <v>2</v>
      </c>
      <c r="C3" s="382">
        <v>840473</v>
      </c>
      <c r="D3" s="377"/>
      <c r="E3" s="29">
        <f t="shared" si="0"/>
        <v>840473</v>
      </c>
      <c r="F3" s="397">
        <v>55116</v>
      </c>
      <c r="G3" s="391"/>
      <c r="H3" s="387"/>
      <c r="I3" s="32">
        <f t="shared" si="1"/>
        <v>895589</v>
      </c>
      <c r="J3" s="33">
        <f t="shared" si="2"/>
        <v>55116</v>
      </c>
      <c r="K3" s="39">
        <f t="shared" si="3"/>
        <v>6.5577359415472006E-2</v>
      </c>
    </row>
    <row r="4" spans="1:11" s="40" customFormat="1" ht="13.5" customHeight="1" x14ac:dyDescent="0.25">
      <c r="A4" s="36" t="s">
        <v>55</v>
      </c>
      <c r="B4" s="37">
        <v>5</v>
      </c>
      <c r="C4" s="382">
        <v>4823923</v>
      </c>
      <c r="D4" s="377"/>
      <c r="E4" s="29">
        <f t="shared" si="0"/>
        <v>4823923</v>
      </c>
      <c r="F4" s="397">
        <v>671213</v>
      </c>
      <c r="G4" s="391"/>
      <c r="H4" s="387"/>
      <c r="I4" s="32">
        <f t="shared" si="1"/>
        <v>5495136</v>
      </c>
      <c r="J4" s="33">
        <f t="shared" si="2"/>
        <v>671213</v>
      </c>
      <c r="K4" s="39">
        <f t="shared" si="3"/>
        <v>0.1391425609405457</v>
      </c>
    </row>
    <row r="5" spans="1:11" s="35" customFormat="1" ht="13.5" customHeight="1" x14ac:dyDescent="0.25">
      <c r="A5" s="36" t="s">
        <v>34</v>
      </c>
      <c r="B5" s="37">
        <v>3</v>
      </c>
      <c r="C5" s="382">
        <v>1029812</v>
      </c>
      <c r="D5" s="377"/>
      <c r="E5" s="29">
        <f t="shared" si="0"/>
        <v>1029812</v>
      </c>
      <c r="F5" s="397">
        <v>82938</v>
      </c>
      <c r="G5" s="391"/>
      <c r="H5" s="387"/>
      <c r="I5" s="32">
        <f t="shared" si="1"/>
        <v>1112750</v>
      </c>
      <c r="J5" s="33">
        <f t="shared" si="2"/>
        <v>82938</v>
      </c>
      <c r="K5" s="39">
        <f t="shared" si="3"/>
        <v>8.0537030059855588E-2</v>
      </c>
    </row>
    <row r="6" spans="1:11" s="35" customFormat="1" ht="13.5" customHeight="1" x14ac:dyDescent="0.25">
      <c r="A6" s="36" t="s">
        <v>68</v>
      </c>
      <c r="B6" s="37">
        <v>6</v>
      </c>
      <c r="C6" s="383">
        <v>13274032</v>
      </c>
      <c r="D6" s="378"/>
      <c r="E6" s="42">
        <f t="shared" si="0"/>
        <v>13274032</v>
      </c>
      <c r="F6" s="398">
        <v>1285801</v>
      </c>
      <c r="G6" s="391"/>
      <c r="H6" s="387"/>
      <c r="I6" s="32">
        <f t="shared" si="1"/>
        <v>14559833</v>
      </c>
      <c r="J6" s="44">
        <f t="shared" si="2"/>
        <v>1285801</v>
      </c>
      <c r="K6" s="39">
        <f t="shared" si="3"/>
        <v>9.6865895757973164E-2</v>
      </c>
    </row>
    <row r="7" spans="1:11" s="35" customFormat="1" ht="13.5" customHeight="1" x14ac:dyDescent="0.25">
      <c r="A7" s="26" t="s">
        <v>79</v>
      </c>
      <c r="B7" s="27">
        <v>8</v>
      </c>
      <c r="C7" s="382">
        <v>45863743</v>
      </c>
      <c r="D7" s="377"/>
      <c r="E7" s="29">
        <f t="shared" si="0"/>
        <v>45863743</v>
      </c>
      <c r="F7" s="397">
        <v>4523538</v>
      </c>
      <c r="G7" s="391"/>
      <c r="H7" s="387"/>
      <c r="I7" s="32">
        <f t="shared" si="1"/>
        <v>50387281</v>
      </c>
      <c r="J7" s="33">
        <f t="shared" si="2"/>
        <v>4523538</v>
      </c>
      <c r="K7" s="39">
        <f t="shared" si="3"/>
        <v>9.8629935197395463E-2</v>
      </c>
    </row>
    <row r="8" spans="1:11" s="35" customFormat="1" ht="13.5" customHeight="1" x14ac:dyDescent="0.25">
      <c r="A8" s="36" t="s">
        <v>23</v>
      </c>
      <c r="B8" s="37">
        <v>2</v>
      </c>
      <c r="C8" s="382">
        <v>516189</v>
      </c>
      <c r="D8" s="377"/>
      <c r="E8" s="29">
        <f t="shared" si="0"/>
        <v>516189</v>
      </c>
      <c r="F8" s="397">
        <v>36030</v>
      </c>
      <c r="G8" s="391"/>
      <c r="H8" s="387"/>
      <c r="I8" s="32">
        <f t="shared" si="1"/>
        <v>552219</v>
      </c>
      <c r="J8" s="33">
        <f t="shared" si="2"/>
        <v>36030</v>
      </c>
      <c r="K8" s="39">
        <f t="shared" si="3"/>
        <v>6.9800015110744323E-2</v>
      </c>
    </row>
    <row r="9" spans="1:11" s="35" customFormat="1" ht="13.5" customHeight="1" x14ac:dyDescent="0.25">
      <c r="A9" s="36" t="s">
        <v>56</v>
      </c>
      <c r="B9" s="37">
        <v>5</v>
      </c>
      <c r="C9" s="382">
        <v>4276406</v>
      </c>
      <c r="D9" s="377"/>
      <c r="E9" s="29">
        <f t="shared" si="0"/>
        <v>4276406</v>
      </c>
      <c r="F9" s="398">
        <v>441611</v>
      </c>
      <c r="G9" s="391"/>
      <c r="H9" s="387"/>
      <c r="I9" s="32">
        <f t="shared" si="1"/>
        <v>4718017</v>
      </c>
      <c r="J9" s="33">
        <f t="shared" si="2"/>
        <v>441611</v>
      </c>
      <c r="K9" s="39">
        <f t="shared" si="3"/>
        <v>0.10326685539212133</v>
      </c>
    </row>
    <row r="10" spans="1:11" s="35" customFormat="1" ht="13.5" customHeight="1" x14ac:dyDescent="0.25">
      <c r="A10" s="36" t="s">
        <v>44</v>
      </c>
      <c r="B10" s="37">
        <v>4</v>
      </c>
      <c r="C10" s="382">
        <v>3628527</v>
      </c>
      <c r="D10" s="377"/>
      <c r="E10" s="29">
        <f t="shared" si="0"/>
        <v>3628527</v>
      </c>
      <c r="F10" s="397">
        <v>317914</v>
      </c>
      <c r="G10" s="391"/>
      <c r="H10" s="387"/>
      <c r="I10" s="32">
        <f t="shared" si="1"/>
        <v>3946441</v>
      </c>
      <c r="J10" s="33">
        <f t="shared" si="2"/>
        <v>317914</v>
      </c>
      <c r="K10" s="39">
        <f t="shared" si="3"/>
        <v>8.7615167256575463E-2</v>
      </c>
    </row>
    <row r="11" spans="1:11" s="35" customFormat="1" ht="13.5" customHeight="1" x14ac:dyDescent="0.25">
      <c r="A11" s="36" t="s">
        <v>57</v>
      </c>
      <c r="B11" s="37">
        <v>5</v>
      </c>
      <c r="C11" s="382">
        <v>4512090</v>
      </c>
      <c r="D11" s="377"/>
      <c r="E11" s="29">
        <f t="shared" si="0"/>
        <v>4512090</v>
      </c>
      <c r="F11" s="397">
        <v>498299</v>
      </c>
      <c r="G11" s="391"/>
      <c r="H11" s="387"/>
      <c r="I11" s="32">
        <f t="shared" si="1"/>
        <v>5010389</v>
      </c>
      <c r="J11" s="33">
        <f t="shared" si="2"/>
        <v>498299</v>
      </c>
      <c r="K11" s="39">
        <f t="shared" si="3"/>
        <v>0.1104364053021992</v>
      </c>
    </row>
    <row r="12" spans="1:11" s="35" customFormat="1" ht="13.5" customHeight="1" x14ac:dyDescent="0.25">
      <c r="A12" s="36" t="s">
        <v>58</v>
      </c>
      <c r="B12" s="37">
        <v>5</v>
      </c>
      <c r="C12" s="382">
        <v>7608908</v>
      </c>
      <c r="D12" s="377"/>
      <c r="E12" s="29">
        <f t="shared" si="0"/>
        <v>7608908</v>
      </c>
      <c r="F12" s="397">
        <v>839715</v>
      </c>
      <c r="G12" s="391"/>
      <c r="H12" s="387"/>
      <c r="I12" s="32">
        <f t="shared" si="1"/>
        <v>8448623</v>
      </c>
      <c r="J12" s="33">
        <f t="shared" si="2"/>
        <v>839715</v>
      </c>
      <c r="K12" s="39">
        <f t="shared" si="3"/>
        <v>0.11035946288219019</v>
      </c>
    </row>
    <row r="13" spans="1:11" s="35" customFormat="1" ht="13.5" customHeight="1" x14ac:dyDescent="0.25">
      <c r="A13" s="36" t="s">
        <v>45</v>
      </c>
      <c r="B13" s="37">
        <v>4</v>
      </c>
      <c r="C13" s="382">
        <v>1879038</v>
      </c>
      <c r="D13" s="377"/>
      <c r="E13" s="29">
        <f t="shared" si="0"/>
        <v>1879038</v>
      </c>
      <c r="F13" s="397">
        <v>177464</v>
      </c>
      <c r="G13" s="391"/>
      <c r="H13" s="387"/>
      <c r="I13" s="32">
        <f t="shared" si="1"/>
        <v>2056502</v>
      </c>
      <c r="J13" s="33">
        <f t="shared" si="2"/>
        <v>177464</v>
      </c>
      <c r="K13" s="39">
        <f t="shared" si="3"/>
        <v>9.4444071913393976E-2</v>
      </c>
    </row>
    <row r="14" spans="1:11" s="35" customFormat="1" ht="13.5" customHeight="1" x14ac:dyDescent="0.25">
      <c r="A14" s="36" t="s">
        <v>35</v>
      </c>
      <c r="B14" s="37">
        <v>3</v>
      </c>
      <c r="C14" s="382">
        <v>954824</v>
      </c>
      <c r="D14" s="377"/>
      <c r="E14" s="29">
        <f t="shared" si="0"/>
        <v>954824</v>
      </c>
      <c r="F14" s="397">
        <v>87792</v>
      </c>
      <c r="G14" s="391"/>
      <c r="H14" s="387"/>
      <c r="I14" s="32">
        <f t="shared" si="1"/>
        <v>1042616</v>
      </c>
      <c r="J14" s="33">
        <f t="shared" si="2"/>
        <v>87792</v>
      </c>
      <c r="K14" s="39">
        <f t="shared" si="3"/>
        <v>9.1945740785736432E-2</v>
      </c>
    </row>
    <row r="15" spans="1:11" s="35" customFormat="1" ht="13.5" customHeight="1" x14ac:dyDescent="0.25">
      <c r="A15" s="36" t="s">
        <v>24</v>
      </c>
      <c r="B15" s="37">
        <v>2</v>
      </c>
      <c r="C15" s="382">
        <v>568423</v>
      </c>
      <c r="D15" s="377"/>
      <c r="E15" s="29">
        <f t="shared" si="0"/>
        <v>568423</v>
      </c>
      <c r="F15" s="397">
        <v>33762</v>
      </c>
      <c r="G15" s="391" t="e">
        <f>#REF!*0.06</f>
        <v>#REF!</v>
      </c>
      <c r="H15" s="387">
        <v>343</v>
      </c>
      <c r="I15" s="32">
        <f t="shared" si="1"/>
        <v>602528</v>
      </c>
      <c r="J15" s="33">
        <f t="shared" si="2"/>
        <v>34105</v>
      </c>
      <c r="K15" s="39">
        <f t="shared" si="3"/>
        <v>5.9999331483771769E-2</v>
      </c>
    </row>
    <row r="16" spans="1:11" s="35" customFormat="1" ht="13.5" customHeight="1" x14ac:dyDescent="0.25">
      <c r="A16" s="36" t="s">
        <v>80</v>
      </c>
      <c r="B16" s="37">
        <v>8</v>
      </c>
      <c r="C16" s="382">
        <v>23769047</v>
      </c>
      <c r="D16" s="377"/>
      <c r="E16" s="29">
        <f t="shared" si="0"/>
        <v>23769047</v>
      </c>
      <c r="F16" s="397">
        <v>2827615</v>
      </c>
      <c r="G16" s="391"/>
      <c r="H16" s="387"/>
      <c r="I16" s="32">
        <f t="shared" si="1"/>
        <v>26596662</v>
      </c>
      <c r="J16" s="33">
        <f t="shared" si="2"/>
        <v>2827615</v>
      </c>
      <c r="K16" s="39">
        <f t="shared" si="3"/>
        <v>0.1189620686096502</v>
      </c>
    </row>
    <row r="17" spans="1:11" s="35" customFormat="1" ht="13.5" customHeight="1" x14ac:dyDescent="0.25">
      <c r="A17" s="36" t="s">
        <v>69</v>
      </c>
      <c r="B17" s="37">
        <v>6</v>
      </c>
      <c r="C17" s="382">
        <v>8076991</v>
      </c>
      <c r="D17" s="377"/>
      <c r="E17" s="29">
        <f t="shared" si="0"/>
        <v>8076991</v>
      </c>
      <c r="F17" s="397">
        <v>719544</v>
      </c>
      <c r="G17" s="391"/>
      <c r="H17" s="387"/>
      <c r="I17" s="32">
        <f t="shared" si="1"/>
        <v>8796535</v>
      </c>
      <c r="J17" s="33">
        <f t="shared" si="2"/>
        <v>719544</v>
      </c>
      <c r="K17" s="39">
        <f t="shared" si="3"/>
        <v>8.908565083209824E-2</v>
      </c>
    </row>
    <row r="18" spans="1:11" s="35" customFormat="1" ht="13.5" customHeight="1" x14ac:dyDescent="0.25">
      <c r="A18" s="36" t="s">
        <v>46</v>
      </c>
      <c r="B18" s="37">
        <v>4</v>
      </c>
      <c r="C18" s="382">
        <v>2180671</v>
      </c>
      <c r="D18" s="377"/>
      <c r="E18" s="29">
        <f t="shared" si="0"/>
        <v>2180671</v>
      </c>
      <c r="F18" s="397">
        <v>257354</v>
      </c>
      <c r="G18" s="391"/>
      <c r="H18" s="387"/>
      <c r="I18" s="32">
        <f t="shared" si="1"/>
        <v>2438025</v>
      </c>
      <c r="J18" s="33">
        <f t="shared" si="2"/>
        <v>257354</v>
      </c>
      <c r="K18" s="39">
        <f t="shared" si="3"/>
        <v>0.11801596847942675</v>
      </c>
    </row>
    <row r="19" spans="1:11" s="35" customFormat="1" ht="13.5" customHeight="1" x14ac:dyDescent="0.25">
      <c r="A19" s="36" t="s">
        <v>25</v>
      </c>
      <c r="B19" s="37">
        <v>2</v>
      </c>
      <c r="C19" s="382">
        <v>736345</v>
      </c>
      <c r="D19" s="377"/>
      <c r="E19" s="29">
        <f t="shared" si="0"/>
        <v>736345</v>
      </c>
      <c r="F19" s="397">
        <v>43567</v>
      </c>
      <c r="G19" s="391" t="e">
        <f>#REF!*0.06</f>
        <v>#REF!</v>
      </c>
      <c r="H19" s="387">
        <v>614</v>
      </c>
      <c r="I19" s="32">
        <f t="shared" si="1"/>
        <v>780526</v>
      </c>
      <c r="J19" s="33">
        <f t="shared" si="2"/>
        <v>44181</v>
      </c>
      <c r="K19" s="39">
        <f t="shared" si="3"/>
        <v>6.0000407417718594E-2</v>
      </c>
    </row>
    <row r="20" spans="1:11" s="35" customFormat="1" ht="13.5" customHeight="1" x14ac:dyDescent="0.25">
      <c r="A20" s="36" t="s">
        <v>36</v>
      </c>
      <c r="B20" s="37">
        <v>3</v>
      </c>
      <c r="C20" s="382">
        <v>1542546</v>
      </c>
      <c r="D20" s="377"/>
      <c r="E20" s="29">
        <f t="shared" si="0"/>
        <v>1542546</v>
      </c>
      <c r="F20" s="397">
        <v>100379</v>
      </c>
      <c r="G20" s="391"/>
      <c r="H20" s="387"/>
      <c r="I20" s="32">
        <f t="shared" si="1"/>
        <v>1642925</v>
      </c>
      <c r="J20" s="33">
        <f t="shared" si="2"/>
        <v>100379</v>
      </c>
      <c r="K20" s="39">
        <f t="shared" si="3"/>
        <v>6.5073586136167094E-2</v>
      </c>
    </row>
    <row r="21" spans="1:11" s="35" customFormat="1" ht="13.5" customHeight="1" x14ac:dyDescent="0.25">
      <c r="A21" s="36" t="s">
        <v>26</v>
      </c>
      <c r="B21" s="37">
        <v>2</v>
      </c>
      <c r="C21" s="382">
        <v>633503</v>
      </c>
      <c r="D21" s="377"/>
      <c r="E21" s="29">
        <f t="shared" si="0"/>
        <v>633503</v>
      </c>
      <c r="F21" s="397">
        <v>36804</v>
      </c>
      <c r="G21" s="391" t="e">
        <f>#REF!*0.06</f>
        <v>#REF!</v>
      </c>
      <c r="H21" s="387">
        <v>1206</v>
      </c>
      <c r="I21" s="32">
        <f t="shared" si="1"/>
        <v>671513</v>
      </c>
      <c r="J21" s="33">
        <f t="shared" si="2"/>
        <v>38010</v>
      </c>
      <c r="K21" s="39">
        <f t="shared" si="3"/>
        <v>5.9999715865591795E-2</v>
      </c>
    </row>
    <row r="22" spans="1:11" s="35" customFormat="1" ht="13.5" customHeight="1" x14ac:dyDescent="0.25">
      <c r="A22" s="36" t="s">
        <v>27</v>
      </c>
      <c r="B22" s="37">
        <v>2</v>
      </c>
      <c r="C22" s="382">
        <v>646188</v>
      </c>
      <c r="D22" s="377"/>
      <c r="E22" s="29">
        <f t="shared" si="0"/>
        <v>646188</v>
      </c>
      <c r="F22" s="397">
        <v>38590</v>
      </c>
      <c r="G22" s="391" t="e">
        <f>#REF!*0.06</f>
        <v>#REF!</v>
      </c>
      <c r="H22" s="387">
        <v>181</v>
      </c>
      <c r="I22" s="32">
        <f t="shared" si="1"/>
        <v>684959</v>
      </c>
      <c r="J22" s="33">
        <f t="shared" si="2"/>
        <v>38771</v>
      </c>
      <c r="K22" s="39">
        <f t="shared" si="3"/>
        <v>5.9999566689570218E-2</v>
      </c>
    </row>
    <row r="23" spans="1:11" s="35" customFormat="1" ht="13.5" customHeight="1" x14ac:dyDescent="0.25">
      <c r="A23" s="36" t="s">
        <v>18</v>
      </c>
      <c r="B23" s="37">
        <v>1</v>
      </c>
      <c r="C23" s="382">
        <v>565939</v>
      </c>
      <c r="D23" s="377"/>
      <c r="E23" s="29">
        <f t="shared" si="0"/>
        <v>565939</v>
      </c>
      <c r="F23" s="397">
        <v>37226</v>
      </c>
      <c r="G23" s="391"/>
      <c r="H23" s="387"/>
      <c r="I23" s="32">
        <f t="shared" si="1"/>
        <v>603165</v>
      </c>
      <c r="J23" s="33">
        <f t="shared" si="2"/>
        <v>37226</v>
      </c>
      <c r="K23" s="39">
        <f t="shared" si="3"/>
        <v>6.577740710571281E-2</v>
      </c>
    </row>
    <row r="24" spans="1:11" s="35" customFormat="1" ht="13.5" customHeight="1" x14ac:dyDescent="0.25">
      <c r="A24" s="36" t="s">
        <v>28</v>
      </c>
      <c r="B24" s="37">
        <v>2</v>
      </c>
      <c r="C24" s="382">
        <v>676981</v>
      </c>
      <c r="D24" s="377"/>
      <c r="E24" s="29">
        <f t="shared" si="0"/>
        <v>676981</v>
      </c>
      <c r="F24" s="397">
        <v>48947</v>
      </c>
      <c r="G24" s="391"/>
      <c r="H24" s="387"/>
      <c r="I24" s="32">
        <f t="shared" si="1"/>
        <v>725928</v>
      </c>
      <c r="J24" s="33">
        <f t="shared" si="2"/>
        <v>48947</v>
      </c>
      <c r="K24" s="39">
        <f t="shared" si="3"/>
        <v>7.2301881441281218E-2</v>
      </c>
    </row>
    <row r="25" spans="1:11" s="35" customFormat="1" ht="13.5" customHeight="1" x14ac:dyDescent="0.25">
      <c r="A25" s="36" t="s">
        <v>29</v>
      </c>
      <c r="B25" s="37">
        <v>2</v>
      </c>
      <c r="C25" s="382">
        <v>1034691</v>
      </c>
      <c r="D25" s="377"/>
      <c r="E25" s="29">
        <f t="shared" si="0"/>
        <v>1034691</v>
      </c>
      <c r="F25" s="397">
        <v>68419</v>
      </c>
      <c r="G25" s="391"/>
      <c r="H25" s="387"/>
      <c r="I25" s="32">
        <f t="shared" si="1"/>
        <v>1103110</v>
      </c>
      <c r="J25" s="33">
        <f t="shared" si="2"/>
        <v>68419</v>
      </c>
      <c r="K25" s="39">
        <f t="shared" si="3"/>
        <v>6.6125055692955681E-2</v>
      </c>
    </row>
    <row r="26" spans="1:11" s="35" customFormat="1" ht="13.5" customHeight="1" x14ac:dyDescent="0.25">
      <c r="A26" s="36" t="s">
        <v>37</v>
      </c>
      <c r="B26" s="37">
        <v>3</v>
      </c>
      <c r="C26" s="382">
        <v>1457809</v>
      </c>
      <c r="D26" s="377"/>
      <c r="E26" s="29">
        <f t="shared" si="0"/>
        <v>1457809</v>
      </c>
      <c r="F26" s="397">
        <v>105644</v>
      </c>
      <c r="G26" s="391"/>
      <c r="H26" s="387"/>
      <c r="I26" s="32">
        <f t="shared" si="1"/>
        <v>1563453</v>
      </c>
      <c r="J26" s="33">
        <f t="shared" si="2"/>
        <v>105644</v>
      </c>
      <c r="K26" s="39">
        <f t="shared" si="3"/>
        <v>7.2467655227811054E-2</v>
      </c>
    </row>
    <row r="27" spans="1:11" s="35" customFormat="1" ht="13.5" customHeight="1" x14ac:dyDescent="0.25">
      <c r="A27" s="36" t="s">
        <v>59</v>
      </c>
      <c r="B27" s="37">
        <v>5</v>
      </c>
      <c r="C27" s="382">
        <v>4159167</v>
      </c>
      <c r="D27" s="377"/>
      <c r="E27" s="29">
        <f t="shared" si="0"/>
        <v>4159167</v>
      </c>
      <c r="F27" s="397">
        <v>430900</v>
      </c>
      <c r="G27" s="391"/>
      <c r="H27" s="387"/>
      <c r="I27" s="32">
        <f t="shared" si="1"/>
        <v>4590067</v>
      </c>
      <c r="J27" s="33">
        <f t="shared" si="2"/>
        <v>430900</v>
      </c>
      <c r="K27" s="39">
        <f t="shared" si="3"/>
        <v>0.10360247616890594</v>
      </c>
    </row>
    <row r="28" spans="1:11" s="35" customFormat="1" ht="13.5" customHeight="1" x14ac:dyDescent="0.25">
      <c r="A28" s="36" t="s">
        <v>47</v>
      </c>
      <c r="B28" s="37">
        <v>4</v>
      </c>
      <c r="C28" s="382">
        <v>2322128</v>
      </c>
      <c r="D28" s="377"/>
      <c r="E28" s="29">
        <f t="shared" si="0"/>
        <v>2322128</v>
      </c>
      <c r="F28" s="397">
        <v>190090</v>
      </c>
      <c r="G28" s="391"/>
      <c r="H28" s="387"/>
      <c r="I28" s="32">
        <f t="shared" si="1"/>
        <v>2512218</v>
      </c>
      <c r="J28" s="33">
        <f t="shared" si="2"/>
        <v>190090</v>
      </c>
      <c r="K28" s="39">
        <f t="shared" si="3"/>
        <v>8.1860259210517247E-2</v>
      </c>
    </row>
    <row r="29" spans="1:11" s="35" customFormat="1" ht="13.5" customHeight="1" x14ac:dyDescent="0.25">
      <c r="A29" s="36" t="s">
        <v>81</v>
      </c>
      <c r="B29" s="37">
        <v>8</v>
      </c>
      <c r="C29" s="382">
        <v>36625590</v>
      </c>
      <c r="D29" s="377"/>
      <c r="E29" s="29">
        <f t="shared" si="0"/>
        <v>36625590</v>
      </c>
      <c r="F29" s="397">
        <v>3719032</v>
      </c>
      <c r="G29" s="391"/>
      <c r="H29" s="387"/>
      <c r="I29" s="32">
        <f t="shared" si="1"/>
        <v>40344622</v>
      </c>
      <c r="J29" s="33">
        <f t="shared" si="2"/>
        <v>3719032</v>
      </c>
      <c r="K29" s="39">
        <f t="shared" si="3"/>
        <v>0.10154190007587591</v>
      </c>
    </row>
    <row r="30" spans="1:11" s="35" customFormat="1" ht="13.5" customHeight="1" x14ac:dyDescent="0.25">
      <c r="A30" s="36" t="s">
        <v>30</v>
      </c>
      <c r="B30" s="37">
        <v>2</v>
      </c>
      <c r="C30" s="382">
        <v>678285</v>
      </c>
      <c r="D30" s="377"/>
      <c r="E30" s="29">
        <f t="shared" si="0"/>
        <v>678285</v>
      </c>
      <c r="F30" s="397">
        <v>46505</v>
      </c>
      <c r="G30" s="391"/>
      <c r="H30" s="387"/>
      <c r="I30" s="32">
        <f t="shared" si="1"/>
        <v>724790</v>
      </c>
      <c r="J30" s="33">
        <f t="shared" si="2"/>
        <v>46505</v>
      </c>
      <c r="K30" s="39">
        <f t="shared" si="3"/>
        <v>6.8562624855333668E-2</v>
      </c>
    </row>
    <row r="31" spans="1:11" s="35" customFormat="1" ht="13.5" customHeight="1" x14ac:dyDescent="0.25">
      <c r="A31" s="36" t="s">
        <v>48</v>
      </c>
      <c r="B31" s="37">
        <v>4</v>
      </c>
      <c r="C31" s="382">
        <v>3355013</v>
      </c>
      <c r="D31" s="377"/>
      <c r="E31" s="29">
        <f t="shared" si="0"/>
        <v>3355013</v>
      </c>
      <c r="F31" s="397">
        <v>342431</v>
      </c>
      <c r="G31" s="391"/>
      <c r="H31" s="387"/>
      <c r="I31" s="32">
        <f t="shared" si="1"/>
        <v>3697444</v>
      </c>
      <c r="J31" s="33">
        <f t="shared" si="2"/>
        <v>342431</v>
      </c>
      <c r="K31" s="39">
        <f t="shared" si="3"/>
        <v>0.10206547634837779</v>
      </c>
    </row>
    <row r="32" spans="1:11" s="35" customFormat="1" ht="13.5" customHeight="1" x14ac:dyDescent="0.25">
      <c r="A32" s="36" t="s">
        <v>38</v>
      </c>
      <c r="B32" s="37">
        <v>3</v>
      </c>
      <c r="C32" s="382">
        <v>1271930</v>
      </c>
      <c r="D32" s="377"/>
      <c r="E32" s="29">
        <f t="shared" si="0"/>
        <v>1271930</v>
      </c>
      <c r="F32" s="397">
        <v>89708</v>
      </c>
      <c r="G32" s="391"/>
      <c r="H32" s="387"/>
      <c r="I32" s="32">
        <f t="shared" si="1"/>
        <v>1361638</v>
      </c>
      <c r="J32" s="33">
        <f t="shared" si="2"/>
        <v>89708</v>
      </c>
      <c r="K32" s="39">
        <f t="shared" si="3"/>
        <v>7.0529038547718817E-2</v>
      </c>
    </row>
    <row r="33" spans="1:11" s="35" customFormat="1" ht="13.5" customHeight="1" x14ac:dyDescent="0.25">
      <c r="A33" s="36" t="s">
        <v>31</v>
      </c>
      <c r="B33" s="37">
        <v>2</v>
      </c>
      <c r="C33" s="382">
        <v>573155</v>
      </c>
      <c r="D33" s="377"/>
      <c r="E33" s="29">
        <f t="shared" si="0"/>
        <v>573155</v>
      </c>
      <c r="F33" s="397">
        <v>39662</v>
      </c>
      <c r="G33" s="391"/>
      <c r="H33" s="387"/>
      <c r="I33" s="32">
        <f t="shared" si="1"/>
        <v>612817</v>
      </c>
      <c r="J33" s="33">
        <f t="shared" si="2"/>
        <v>39662</v>
      </c>
      <c r="K33" s="39">
        <f t="shared" si="3"/>
        <v>6.919943121843132E-2</v>
      </c>
    </row>
    <row r="34" spans="1:11" s="35" customFormat="1" ht="13.5" customHeight="1" x14ac:dyDescent="0.25">
      <c r="A34" s="36" t="s">
        <v>19</v>
      </c>
      <c r="B34" s="37">
        <v>1</v>
      </c>
      <c r="C34" s="382">
        <v>346312</v>
      </c>
      <c r="D34" s="377"/>
      <c r="E34" s="29">
        <f t="shared" ref="E34:E65" si="4">C34+D34</f>
        <v>346312</v>
      </c>
      <c r="F34" s="397">
        <v>12934</v>
      </c>
      <c r="G34" s="391" t="e">
        <f>#REF!*0.06</f>
        <v>#REF!</v>
      </c>
      <c r="H34" s="387">
        <v>7846</v>
      </c>
      <c r="I34" s="32">
        <f t="shared" ref="I34:I65" si="5">E34+F34+H34</f>
        <v>367092</v>
      </c>
      <c r="J34" s="33">
        <f t="shared" ref="J34:J65" si="6">I34-C34</f>
        <v>20780</v>
      </c>
      <c r="K34" s="39">
        <f t="shared" ref="K34:K65" si="7">J34/C34</f>
        <v>6.0003696089075749E-2</v>
      </c>
    </row>
    <row r="35" spans="1:11" s="35" customFormat="1" ht="13.5" customHeight="1" x14ac:dyDescent="0.25">
      <c r="A35" s="36" t="s">
        <v>60</v>
      </c>
      <c r="B35" s="37">
        <v>5</v>
      </c>
      <c r="C35" s="382">
        <v>7509805</v>
      </c>
      <c r="D35" s="377"/>
      <c r="E35" s="29">
        <f t="shared" si="4"/>
        <v>7509805</v>
      </c>
      <c r="F35" s="397">
        <v>848877</v>
      </c>
      <c r="G35" s="391"/>
      <c r="H35" s="387"/>
      <c r="I35" s="32">
        <f t="shared" si="5"/>
        <v>8358682</v>
      </c>
      <c r="J35" s="33">
        <f t="shared" si="6"/>
        <v>848877</v>
      </c>
      <c r="K35" s="39">
        <f t="shared" si="7"/>
        <v>0.11303582449877193</v>
      </c>
    </row>
    <row r="36" spans="1:11" s="35" customFormat="1" ht="13.5" customHeight="1" x14ac:dyDescent="0.25">
      <c r="A36" s="36" t="s">
        <v>75</v>
      </c>
      <c r="B36" s="37">
        <v>7</v>
      </c>
      <c r="C36" s="382">
        <v>14097366</v>
      </c>
      <c r="D36" s="377"/>
      <c r="E36" s="29">
        <f t="shared" si="4"/>
        <v>14097366</v>
      </c>
      <c r="F36" s="397">
        <v>1874763</v>
      </c>
      <c r="G36" s="391"/>
      <c r="H36" s="387"/>
      <c r="I36" s="32">
        <f t="shared" si="5"/>
        <v>15972129</v>
      </c>
      <c r="J36" s="33">
        <f t="shared" si="6"/>
        <v>1874763</v>
      </c>
      <c r="K36" s="39">
        <f t="shared" si="7"/>
        <v>0.13298675795180462</v>
      </c>
    </row>
    <row r="37" spans="1:11" s="35" customFormat="1" ht="13.5" customHeight="1" x14ac:dyDescent="0.25">
      <c r="A37" s="36" t="s">
        <v>61</v>
      </c>
      <c r="B37" s="37">
        <v>5</v>
      </c>
      <c r="C37" s="382">
        <v>6999941</v>
      </c>
      <c r="D37" s="377"/>
      <c r="E37" s="29">
        <f t="shared" si="4"/>
        <v>6999941</v>
      </c>
      <c r="F37" s="397">
        <v>617505</v>
      </c>
      <c r="G37" s="391"/>
      <c r="H37" s="387"/>
      <c r="I37" s="32">
        <f t="shared" si="5"/>
        <v>7617446</v>
      </c>
      <c r="J37" s="33">
        <f t="shared" si="6"/>
        <v>617505</v>
      </c>
      <c r="K37" s="39">
        <f t="shared" si="7"/>
        <v>8.8215743532695484E-2</v>
      </c>
    </row>
    <row r="38" spans="1:11" s="35" customFormat="1" ht="13.5" customHeight="1" x14ac:dyDescent="0.25">
      <c r="A38" s="36" t="s">
        <v>39</v>
      </c>
      <c r="B38" s="37">
        <v>3</v>
      </c>
      <c r="C38" s="382">
        <v>1339404</v>
      </c>
      <c r="D38" s="377"/>
      <c r="E38" s="29">
        <f t="shared" si="4"/>
        <v>1339404</v>
      </c>
      <c r="F38" s="397">
        <v>113429</v>
      </c>
      <c r="G38" s="391"/>
      <c r="H38" s="387"/>
      <c r="I38" s="32">
        <f t="shared" si="5"/>
        <v>1452833</v>
      </c>
      <c r="J38" s="33">
        <f t="shared" si="6"/>
        <v>113429</v>
      </c>
      <c r="K38" s="39">
        <f t="shared" si="7"/>
        <v>8.468617385045886E-2</v>
      </c>
    </row>
    <row r="39" spans="1:11" s="35" customFormat="1" ht="13.5" customHeight="1" x14ac:dyDescent="0.25">
      <c r="A39" s="36" t="s">
        <v>20</v>
      </c>
      <c r="B39" s="37">
        <v>1</v>
      </c>
      <c r="C39" s="382">
        <v>363332</v>
      </c>
      <c r="D39" s="377"/>
      <c r="E39" s="29">
        <f t="shared" si="4"/>
        <v>363332</v>
      </c>
      <c r="F39" s="397">
        <v>20218</v>
      </c>
      <c r="G39" s="391" t="e">
        <f>#REF!*0.06</f>
        <v>#REF!</v>
      </c>
      <c r="H39" s="387">
        <v>1583</v>
      </c>
      <c r="I39" s="32">
        <f t="shared" si="5"/>
        <v>385133</v>
      </c>
      <c r="J39" s="33">
        <f t="shared" si="6"/>
        <v>21801</v>
      </c>
      <c r="K39" s="39">
        <f t="shared" si="7"/>
        <v>6.0002972487972435E-2</v>
      </c>
    </row>
    <row r="40" spans="1:11" s="35" customFormat="1" ht="13.5" customHeight="1" x14ac:dyDescent="0.25">
      <c r="A40" s="36" t="s">
        <v>40</v>
      </c>
      <c r="B40" s="37">
        <v>3</v>
      </c>
      <c r="C40" s="382">
        <v>661706</v>
      </c>
      <c r="D40" s="377"/>
      <c r="E40" s="29">
        <f t="shared" si="4"/>
        <v>661706</v>
      </c>
      <c r="F40" s="397">
        <v>70990</v>
      </c>
      <c r="G40" s="391"/>
      <c r="H40" s="387"/>
      <c r="I40" s="32">
        <f t="shared" si="5"/>
        <v>732696</v>
      </c>
      <c r="J40" s="33">
        <f t="shared" si="6"/>
        <v>70990</v>
      </c>
      <c r="K40" s="39">
        <f t="shared" si="7"/>
        <v>0.10728329499808072</v>
      </c>
    </row>
    <row r="41" spans="1:11" s="35" customFormat="1" ht="13.5" customHeight="1" x14ac:dyDescent="0.25">
      <c r="A41" s="36" t="s">
        <v>70</v>
      </c>
      <c r="B41" s="37">
        <v>6</v>
      </c>
      <c r="C41" s="382">
        <v>7188994</v>
      </c>
      <c r="D41" s="377"/>
      <c r="E41" s="29">
        <f t="shared" si="4"/>
        <v>7188994</v>
      </c>
      <c r="F41" s="397">
        <v>887505</v>
      </c>
      <c r="G41" s="391"/>
      <c r="H41" s="387"/>
      <c r="I41" s="32">
        <f t="shared" si="5"/>
        <v>8076499</v>
      </c>
      <c r="J41" s="33">
        <f t="shared" si="6"/>
        <v>887505</v>
      </c>
      <c r="K41" s="39">
        <f t="shared" si="7"/>
        <v>0.12345329541240402</v>
      </c>
    </row>
    <row r="42" spans="1:11" s="35" customFormat="1" ht="13.5" customHeight="1" x14ac:dyDescent="0.25">
      <c r="A42" s="36" t="s">
        <v>62</v>
      </c>
      <c r="B42" s="37">
        <v>5</v>
      </c>
      <c r="C42" s="382">
        <v>7923446</v>
      </c>
      <c r="D42" s="377"/>
      <c r="E42" s="29">
        <f t="shared" si="4"/>
        <v>7923446</v>
      </c>
      <c r="F42" s="397">
        <v>853726</v>
      </c>
      <c r="G42" s="391"/>
      <c r="H42" s="387"/>
      <c r="I42" s="32">
        <f t="shared" si="5"/>
        <v>8777172</v>
      </c>
      <c r="J42" s="33">
        <f t="shared" si="6"/>
        <v>853726</v>
      </c>
      <c r="K42" s="39">
        <f t="shared" si="7"/>
        <v>0.10774680612450693</v>
      </c>
    </row>
    <row r="43" spans="1:11" s="35" customFormat="1" ht="13.5" customHeight="1" x14ac:dyDescent="0.25">
      <c r="A43" s="36" t="s">
        <v>49</v>
      </c>
      <c r="B43" s="37">
        <v>4</v>
      </c>
      <c r="C43" s="382">
        <v>4079800</v>
      </c>
      <c r="D43" s="377"/>
      <c r="E43" s="29">
        <f t="shared" si="4"/>
        <v>4079800</v>
      </c>
      <c r="F43" s="397">
        <v>498979</v>
      </c>
      <c r="G43" s="391"/>
      <c r="H43" s="387"/>
      <c r="I43" s="32">
        <f t="shared" si="5"/>
        <v>4578779</v>
      </c>
      <c r="J43" s="33">
        <f t="shared" si="6"/>
        <v>498979</v>
      </c>
      <c r="K43" s="39">
        <f t="shared" si="7"/>
        <v>0.1223047698416589</v>
      </c>
    </row>
    <row r="44" spans="1:11" s="35" customFormat="1" ht="13.5" customHeight="1" x14ac:dyDescent="0.25">
      <c r="A44" s="36" t="s">
        <v>82</v>
      </c>
      <c r="B44" s="37">
        <v>8</v>
      </c>
      <c r="C44" s="382">
        <v>85979829</v>
      </c>
      <c r="D44" s="377"/>
      <c r="E44" s="29">
        <f t="shared" si="4"/>
        <v>85979829</v>
      </c>
      <c r="F44" s="397">
        <v>10689888</v>
      </c>
      <c r="G44" s="391"/>
      <c r="H44" s="387"/>
      <c r="I44" s="32">
        <f t="shared" si="5"/>
        <v>96669717</v>
      </c>
      <c r="J44" s="33">
        <f t="shared" si="6"/>
        <v>10689888</v>
      </c>
      <c r="K44" s="39">
        <f t="shared" si="7"/>
        <v>0.12433018446687072</v>
      </c>
    </row>
    <row r="45" spans="1:11" s="35" customFormat="1" ht="13.5" customHeight="1" x14ac:dyDescent="0.25">
      <c r="A45" s="36" t="s">
        <v>63</v>
      </c>
      <c r="B45" s="37">
        <v>5</v>
      </c>
      <c r="C45" s="382">
        <v>4198761</v>
      </c>
      <c r="D45" s="377"/>
      <c r="E45" s="29">
        <f t="shared" si="4"/>
        <v>4198761</v>
      </c>
      <c r="F45" s="397">
        <v>509928</v>
      </c>
      <c r="G45" s="391"/>
      <c r="H45" s="387"/>
      <c r="I45" s="32">
        <f t="shared" si="5"/>
        <v>4708689</v>
      </c>
      <c r="J45" s="33">
        <f t="shared" si="6"/>
        <v>509928</v>
      </c>
      <c r="K45" s="39">
        <f t="shared" si="7"/>
        <v>0.12144725551180455</v>
      </c>
    </row>
    <row r="46" spans="1:11" s="35" customFormat="1" ht="13.5" customHeight="1" x14ac:dyDescent="0.25">
      <c r="A46" s="36" t="s">
        <v>50</v>
      </c>
      <c r="B46" s="37">
        <v>4</v>
      </c>
      <c r="C46" s="382">
        <v>1935030</v>
      </c>
      <c r="D46" s="377"/>
      <c r="E46" s="29">
        <f t="shared" si="4"/>
        <v>1935030</v>
      </c>
      <c r="F46" s="397">
        <v>230530</v>
      </c>
      <c r="G46" s="391"/>
      <c r="H46" s="387"/>
      <c r="I46" s="32">
        <f t="shared" si="5"/>
        <v>2165560</v>
      </c>
      <c r="J46" s="33">
        <f t="shared" si="6"/>
        <v>230530</v>
      </c>
      <c r="K46" s="39">
        <f t="shared" si="7"/>
        <v>0.11913510384851915</v>
      </c>
    </row>
    <row r="47" spans="1:11" s="35" customFormat="1" ht="13.5" customHeight="1" x14ac:dyDescent="0.25">
      <c r="A47" s="36" t="s">
        <v>64</v>
      </c>
      <c r="B47" s="37">
        <v>5</v>
      </c>
      <c r="C47" s="382">
        <v>4355551</v>
      </c>
      <c r="D47" s="377"/>
      <c r="E47" s="29">
        <f t="shared" si="4"/>
        <v>4355551</v>
      </c>
      <c r="F47" s="397">
        <v>481518</v>
      </c>
      <c r="G47" s="391"/>
      <c r="H47" s="387"/>
      <c r="I47" s="32">
        <f t="shared" si="5"/>
        <v>4837069</v>
      </c>
      <c r="J47" s="33">
        <f t="shared" si="6"/>
        <v>481518</v>
      </c>
      <c r="K47" s="39">
        <f t="shared" si="7"/>
        <v>0.1105527176699343</v>
      </c>
    </row>
    <row r="48" spans="1:11" s="35" customFormat="1" ht="13.5" customHeight="1" x14ac:dyDescent="0.25">
      <c r="A48" s="36" t="s">
        <v>41</v>
      </c>
      <c r="B48" s="37">
        <v>3</v>
      </c>
      <c r="C48" s="382">
        <v>1496990</v>
      </c>
      <c r="D48" s="377"/>
      <c r="E48" s="29">
        <f t="shared" si="4"/>
        <v>1496990</v>
      </c>
      <c r="F48" s="397">
        <v>104535</v>
      </c>
      <c r="G48" s="391"/>
      <c r="H48" s="387"/>
      <c r="I48" s="32">
        <f t="shared" si="5"/>
        <v>1601525</v>
      </c>
      <c r="J48" s="33">
        <f t="shared" si="6"/>
        <v>104535</v>
      </c>
      <c r="K48" s="39">
        <f t="shared" si="7"/>
        <v>6.9830125785743394E-2</v>
      </c>
    </row>
    <row r="49" spans="1:11" s="35" customFormat="1" ht="13.5" customHeight="1" x14ac:dyDescent="0.25">
      <c r="A49" s="36" t="s">
        <v>83</v>
      </c>
      <c r="B49" s="37">
        <v>8</v>
      </c>
      <c r="C49" s="382">
        <v>35410487</v>
      </c>
      <c r="D49" s="377"/>
      <c r="E49" s="29">
        <f t="shared" si="4"/>
        <v>35410487</v>
      </c>
      <c r="F49" s="397">
        <v>4211977</v>
      </c>
      <c r="G49" s="391"/>
      <c r="H49" s="387"/>
      <c r="I49" s="32">
        <f t="shared" si="5"/>
        <v>39622464</v>
      </c>
      <c r="J49" s="33">
        <f t="shared" si="6"/>
        <v>4211977</v>
      </c>
      <c r="K49" s="39">
        <f t="shared" si="7"/>
        <v>0.11894716387266857</v>
      </c>
    </row>
    <row r="50" spans="1:11" s="35" customFormat="1" ht="13.5" customHeight="1" x14ac:dyDescent="0.25">
      <c r="A50" s="36" t="s">
        <v>71</v>
      </c>
      <c r="B50" s="37">
        <v>6</v>
      </c>
      <c r="C50" s="382">
        <v>9255958</v>
      </c>
      <c r="D50" s="377"/>
      <c r="E50" s="29">
        <f t="shared" si="4"/>
        <v>9255958</v>
      </c>
      <c r="F50" s="397">
        <v>1149067</v>
      </c>
      <c r="G50" s="391"/>
      <c r="H50" s="387"/>
      <c r="I50" s="32">
        <f t="shared" si="5"/>
        <v>10405025</v>
      </c>
      <c r="J50" s="33">
        <f t="shared" si="6"/>
        <v>1149067</v>
      </c>
      <c r="K50" s="39">
        <f t="shared" si="7"/>
        <v>0.1241434976260696</v>
      </c>
    </row>
    <row r="51" spans="1:11" s="35" customFormat="1" ht="13.5" customHeight="1" x14ac:dyDescent="0.25">
      <c r="A51" s="36" t="s">
        <v>84</v>
      </c>
      <c r="B51" s="37">
        <v>8</v>
      </c>
      <c r="C51" s="382">
        <v>35457082</v>
      </c>
      <c r="D51" s="377"/>
      <c r="E51" s="29">
        <f t="shared" si="4"/>
        <v>35457082</v>
      </c>
      <c r="F51" s="397">
        <v>3563115</v>
      </c>
      <c r="G51" s="391"/>
      <c r="H51" s="387"/>
      <c r="I51" s="32">
        <f t="shared" si="5"/>
        <v>39020197</v>
      </c>
      <c r="J51" s="33">
        <f t="shared" si="6"/>
        <v>3563115</v>
      </c>
      <c r="K51" s="39">
        <f t="shared" si="7"/>
        <v>0.10049092590303962</v>
      </c>
    </row>
    <row r="52" spans="1:11" s="35" customFormat="1" ht="13.5" customHeight="1" x14ac:dyDescent="0.25">
      <c r="A52" s="36" t="s">
        <v>72</v>
      </c>
      <c r="B52" s="37">
        <v>6</v>
      </c>
      <c r="C52" s="382">
        <v>13494505</v>
      </c>
      <c r="D52" s="377"/>
      <c r="E52" s="29">
        <f t="shared" si="4"/>
        <v>13494505</v>
      </c>
      <c r="F52" s="397">
        <v>1148615</v>
      </c>
      <c r="G52" s="391"/>
      <c r="H52" s="387"/>
      <c r="I52" s="32">
        <f t="shared" si="5"/>
        <v>14643120</v>
      </c>
      <c r="J52" s="33">
        <f t="shared" si="6"/>
        <v>1148615</v>
      </c>
      <c r="K52" s="39">
        <f t="shared" si="7"/>
        <v>8.5117238461136585E-2</v>
      </c>
    </row>
    <row r="53" spans="1:11" s="35" customFormat="1" ht="13.5" customHeight="1" x14ac:dyDescent="0.25">
      <c r="A53" s="36" t="s">
        <v>76</v>
      </c>
      <c r="B53" s="37">
        <v>7</v>
      </c>
      <c r="C53" s="382">
        <v>26391476</v>
      </c>
      <c r="D53" s="377"/>
      <c r="E53" s="29">
        <f t="shared" si="4"/>
        <v>26391476</v>
      </c>
      <c r="F53" s="397">
        <v>2314338</v>
      </c>
      <c r="G53" s="391"/>
      <c r="H53" s="387"/>
      <c r="I53" s="32">
        <f t="shared" si="5"/>
        <v>28705814</v>
      </c>
      <c r="J53" s="33">
        <f t="shared" si="6"/>
        <v>2314338</v>
      </c>
      <c r="K53" s="39">
        <f t="shared" si="7"/>
        <v>8.769263227263227E-2</v>
      </c>
    </row>
    <row r="54" spans="1:11" s="35" customFormat="1" ht="13.5" customHeight="1" x14ac:dyDescent="0.25">
      <c r="A54" s="36" t="s">
        <v>77</v>
      </c>
      <c r="B54" s="37">
        <v>7</v>
      </c>
      <c r="C54" s="382">
        <v>15326014</v>
      </c>
      <c r="D54" s="377"/>
      <c r="E54" s="29">
        <f t="shared" si="4"/>
        <v>15326014</v>
      </c>
      <c r="F54" s="397">
        <v>2079027</v>
      </c>
      <c r="G54" s="391"/>
      <c r="H54" s="387"/>
      <c r="I54" s="32">
        <f t="shared" si="5"/>
        <v>17405041</v>
      </c>
      <c r="J54" s="33">
        <f t="shared" si="6"/>
        <v>2079027</v>
      </c>
      <c r="K54" s="39">
        <f t="shared" si="7"/>
        <v>0.13565347128092145</v>
      </c>
    </row>
    <row r="55" spans="1:11" s="35" customFormat="1" ht="13.5" customHeight="1" x14ac:dyDescent="0.25">
      <c r="A55" s="36" t="s">
        <v>51</v>
      </c>
      <c r="B55" s="37">
        <v>4</v>
      </c>
      <c r="C55" s="382">
        <v>2502316</v>
      </c>
      <c r="D55" s="377"/>
      <c r="E55" s="29">
        <f t="shared" si="4"/>
        <v>2502316</v>
      </c>
      <c r="F55" s="397">
        <v>184581</v>
      </c>
      <c r="G55" s="391"/>
      <c r="H55" s="387"/>
      <c r="I55" s="32">
        <f t="shared" si="5"/>
        <v>2686897</v>
      </c>
      <c r="J55" s="33">
        <f t="shared" si="6"/>
        <v>184581</v>
      </c>
      <c r="K55" s="39">
        <f t="shared" si="7"/>
        <v>7.3764064970211596E-2</v>
      </c>
    </row>
    <row r="56" spans="1:11" s="35" customFormat="1" ht="13.5" customHeight="1" x14ac:dyDescent="0.25">
      <c r="A56" s="36" t="s">
        <v>65</v>
      </c>
      <c r="B56" s="37">
        <v>5</v>
      </c>
      <c r="C56" s="382">
        <v>4433455</v>
      </c>
      <c r="D56" s="377"/>
      <c r="E56" s="29">
        <f t="shared" si="4"/>
        <v>4433455</v>
      </c>
      <c r="F56" s="397">
        <v>627776</v>
      </c>
      <c r="G56" s="391"/>
      <c r="H56" s="387"/>
      <c r="I56" s="32">
        <f t="shared" si="5"/>
        <v>5061231</v>
      </c>
      <c r="J56" s="33">
        <f t="shared" si="6"/>
        <v>627776</v>
      </c>
      <c r="K56" s="39">
        <f t="shared" si="7"/>
        <v>0.14159972301512025</v>
      </c>
    </row>
    <row r="57" spans="1:11" s="35" customFormat="1" ht="13.5" customHeight="1" x14ac:dyDescent="0.25">
      <c r="A57" s="36" t="s">
        <v>66</v>
      </c>
      <c r="B57" s="37">
        <v>5</v>
      </c>
      <c r="C57" s="382">
        <v>7932423</v>
      </c>
      <c r="D57" s="377"/>
      <c r="E57" s="29">
        <f t="shared" si="4"/>
        <v>7932423</v>
      </c>
      <c r="F57" s="397">
        <v>858649</v>
      </c>
      <c r="G57" s="391"/>
      <c r="H57" s="387"/>
      <c r="I57" s="32">
        <f t="shared" si="5"/>
        <v>8791072</v>
      </c>
      <c r="J57" s="33">
        <f t="shared" si="6"/>
        <v>858649</v>
      </c>
      <c r="K57" s="39">
        <f t="shared" si="7"/>
        <v>0.1082454881692517</v>
      </c>
    </row>
    <row r="58" spans="1:11" s="35" customFormat="1" ht="13.5" customHeight="1" x14ac:dyDescent="0.25">
      <c r="A58" s="36" t="s">
        <v>67</v>
      </c>
      <c r="B58" s="37">
        <v>5</v>
      </c>
      <c r="C58" s="382">
        <v>3982626</v>
      </c>
      <c r="D58" s="377"/>
      <c r="E58" s="29">
        <f t="shared" si="4"/>
        <v>3982626</v>
      </c>
      <c r="F58" s="397">
        <v>382013</v>
      </c>
      <c r="G58" s="391"/>
      <c r="H58" s="387"/>
      <c r="I58" s="32">
        <f t="shared" si="5"/>
        <v>4364639</v>
      </c>
      <c r="J58" s="33">
        <f t="shared" si="6"/>
        <v>382013</v>
      </c>
      <c r="K58" s="39">
        <f t="shared" si="7"/>
        <v>9.5919877990049779E-2</v>
      </c>
    </row>
    <row r="59" spans="1:11" s="35" customFormat="1" ht="13.5" customHeight="1" x14ac:dyDescent="0.25">
      <c r="A59" s="36" t="s">
        <v>73</v>
      </c>
      <c r="B59" s="37">
        <v>6</v>
      </c>
      <c r="C59" s="382">
        <v>9701073</v>
      </c>
      <c r="D59" s="377"/>
      <c r="E59" s="29">
        <f t="shared" si="4"/>
        <v>9701073</v>
      </c>
      <c r="F59" s="397">
        <v>1045912</v>
      </c>
      <c r="G59" s="391"/>
      <c r="H59" s="387"/>
      <c r="I59" s="32">
        <f t="shared" si="5"/>
        <v>10746985</v>
      </c>
      <c r="J59" s="33">
        <f t="shared" si="6"/>
        <v>1045912</v>
      </c>
      <c r="K59" s="39">
        <f t="shared" si="7"/>
        <v>0.10781405314649214</v>
      </c>
    </row>
    <row r="60" spans="1:11" s="35" customFormat="1" ht="13.5" customHeight="1" x14ac:dyDescent="0.25">
      <c r="A60" s="36" t="s">
        <v>74</v>
      </c>
      <c r="B60" s="37">
        <v>6</v>
      </c>
      <c r="C60" s="382">
        <v>10400514</v>
      </c>
      <c r="D60" s="377"/>
      <c r="E60" s="29">
        <f t="shared" si="4"/>
        <v>10400514</v>
      </c>
      <c r="F60" s="397">
        <v>1215077</v>
      </c>
      <c r="G60" s="391"/>
      <c r="H60" s="387"/>
      <c r="I60" s="32">
        <f t="shared" si="5"/>
        <v>11615591</v>
      </c>
      <c r="J60" s="33">
        <f t="shared" si="6"/>
        <v>1215077</v>
      </c>
      <c r="K60" s="39">
        <f t="shared" si="7"/>
        <v>0.1168285528965203</v>
      </c>
    </row>
    <row r="61" spans="1:11" s="35" customFormat="1" ht="13.5" customHeight="1" x14ac:dyDescent="0.25">
      <c r="A61" s="36" t="s">
        <v>52</v>
      </c>
      <c r="B61" s="37">
        <v>4</v>
      </c>
      <c r="C61" s="382">
        <v>2418708</v>
      </c>
      <c r="D61" s="377"/>
      <c r="E61" s="29">
        <f t="shared" si="4"/>
        <v>2418708</v>
      </c>
      <c r="F61" s="397">
        <v>224658</v>
      </c>
      <c r="G61" s="391"/>
      <c r="H61" s="387"/>
      <c r="I61" s="32">
        <f t="shared" si="5"/>
        <v>2643366</v>
      </c>
      <c r="J61" s="33">
        <f t="shared" si="6"/>
        <v>224658</v>
      </c>
      <c r="K61" s="39">
        <f t="shared" si="7"/>
        <v>9.288347332542829E-2</v>
      </c>
    </row>
    <row r="62" spans="1:11" s="35" customFormat="1" ht="13.5" customHeight="1" x14ac:dyDescent="0.25">
      <c r="A62" s="36" t="s">
        <v>42</v>
      </c>
      <c r="B62" s="37">
        <v>3</v>
      </c>
      <c r="C62" s="382">
        <v>1361986</v>
      </c>
      <c r="D62" s="377"/>
      <c r="E62" s="29">
        <f t="shared" si="4"/>
        <v>1361986</v>
      </c>
      <c r="F62" s="397">
        <v>91660</v>
      </c>
      <c r="G62" s="391"/>
      <c r="H62" s="387"/>
      <c r="I62" s="32">
        <f t="shared" si="5"/>
        <v>1453646</v>
      </c>
      <c r="J62" s="33">
        <f t="shared" si="6"/>
        <v>91660</v>
      </c>
      <c r="K62" s="39">
        <f t="shared" si="7"/>
        <v>6.7298782806871724E-2</v>
      </c>
    </row>
    <row r="63" spans="1:11" s="35" customFormat="1" ht="13.5" customHeight="1" x14ac:dyDescent="0.25">
      <c r="A63" s="36" t="s">
        <v>32</v>
      </c>
      <c r="B63" s="37">
        <v>2</v>
      </c>
      <c r="C63" s="382">
        <v>659085</v>
      </c>
      <c r="D63" s="377"/>
      <c r="E63" s="29">
        <f t="shared" si="4"/>
        <v>659085</v>
      </c>
      <c r="F63" s="397">
        <v>61196</v>
      </c>
      <c r="G63" s="391"/>
      <c r="H63" s="387"/>
      <c r="I63" s="32">
        <f t="shared" si="5"/>
        <v>720281</v>
      </c>
      <c r="J63" s="33">
        <f t="shared" si="6"/>
        <v>61196</v>
      </c>
      <c r="K63" s="39">
        <f t="shared" si="7"/>
        <v>9.2849935895976995E-2</v>
      </c>
    </row>
    <row r="64" spans="1:11" s="35" customFormat="1" ht="13.5" customHeight="1" x14ac:dyDescent="0.25">
      <c r="A64" s="36" t="s">
        <v>21</v>
      </c>
      <c r="B64" s="37">
        <v>1</v>
      </c>
      <c r="C64" s="382">
        <v>561694</v>
      </c>
      <c r="D64" s="377"/>
      <c r="E64" s="29">
        <f t="shared" si="4"/>
        <v>561694</v>
      </c>
      <c r="F64" s="397">
        <v>21813</v>
      </c>
      <c r="G64" s="391" t="e">
        <f>#REF!*0.06</f>
        <v>#REF!</v>
      </c>
      <c r="H64" s="387">
        <v>11889</v>
      </c>
      <c r="I64" s="32">
        <f t="shared" si="5"/>
        <v>595396</v>
      </c>
      <c r="J64" s="33">
        <f t="shared" si="6"/>
        <v>33702</v>
      </c>
      <c r="K64" s="39">
        <f t="shared" si="7"/>
        <v>6.0000640918364802E-2</v>
      </c>
    </row>
    <row r="65" spans="1:11" s="35" customFormat="1" ht="13.5" customHeight="1" x14ac:dyDescent="0.25">
      <c r="A65" s="36" t="s">
        <v>78</v>
      </c>
      <c r="B65" s="37">
        <v>7</v>
      </c>
      <c r="C65" s="382">
        <v>14040535</v>
      </c>
      <c r="D65" s="377"/>
      <c r="E65" s="29">
        <f t="shared" si="4"/>
        <v>14040535</v>
      </c>
      <c r="F65" s="397">
        <v>1547710</v>
      </c>
      <c r="G65" s="391"/>
      <c r="H65" s="387"/>
      <c r="I65" s="32">
        <f t="shared" si="5"/>
        <v>15588245</v>
      </c>
      <c r="J65" s="33">
        <f t="shared" si="6"/>
        <v>1547710</v>
      </c>
      <c r="K65" s="39">
        <f t="shared" si="7"/>
        <v>0.11023155456683097</v>
      </c>
    </row>
    <row r="66" spans="1:11" s="35" customFormat="1" ht="13.5" customHeight="1" x14ac:dyDescent="0.25">
      <c r="A66" s="36" t="s">
        <v>43</v>
      </c>
      <c r="B66" s="37">
        <v>3</v>
      </c>
      <c r="C66" s="382">
        <v>816610</v>
      </c>
      <c r="D66" s="377"/>
      <c r="E66" s="29">
        <f t="shared" ref="E66:E68" si="8">C66+D66</f>
        <v>816610</v>
      </c>
      <c r="F66" s="397">
        <v>67614</v>
      </c>
      <c r="G66" s="391"/>
      <c r="H66" s="387"/>
      <c r="I66" s="32">
        <f t="shared" ref="I66:I68" si="9">E66+F66+H66</f>
        <v>884224</v>
      </c>
      <c r="J66" s="33">
        <f t="shared" ref="J66:J68" si="10">I66-C66</f>
        <v>67614</v>
      </c>
      <c r="K66" s="39">
        <f t="shared" ref="K66:K68" si="11">J66/C66</f>
        <v>8.2798398256205538E-2</v>
      </c>
    </row>
    <row r="67" spans="1:11" ht="13.5" customHeight="1" x14ac:dyDescent="0.25">
      <c r="A67" s="36" t="s">
        <v>53</v>
      </c>
      <c r="B67" s="37">
        <v>4</v>
      </c>
      <c r="C67" s="382">
        <v>2068328</v>
      </c>
      <c r="D67" s="377"/>
      <c r="E67" s="29">
        <f t="shared" si="8"/>
        <v>2068328</v>
      </c>
      <c r="F67" s="397">
        <v>202608</v>
      </c>
      <c r="G67" s="391"/>
      <c r="H67" s="387"/>
      <c r="I67" s="32">
        <f t="shared" si="9"/>
        <v>2270936</v>
      </c>
      <c r="J67" s="33">
        <f t="shared" si="10"/>
        <v>202608</v>
      </c>
      <c r="K67" s="39">
        <f t="shared" si="11"/>
        <v>9.7957383935236578E-2</v>
      </c>
    </row>
    <row r="68" spans="1:11" ht="13.5" customHeight="1" thickBot="1" x14ac:dyDescent="0.3">
      <c r="A68" s="46" t="s">
        <v>33</v>
      </c>
      <c r="B68" s="47">
        <v>2</v>
      </c>
      <c r="C68" s="384">
        <v>910424</v>
      </c>
      <c r="D68" s="379"/>
      <c r="E68" s="49">
        <f t="shared" si="8"/>
        <v>910424</v>
      </c>
      <c r="F68" s="399">
        <v>54434</v>
      </c>
      <c r="G68" s="392" t="e">
        <f>#REF!*0.06</f>
        <v>#REF!</v>
      </c>
      <c r="H68" s="388">
        <v>191</v>
      </c>
      <c r="I68" s="52">
        <f t="shared" si="9"/>
        <v>965049</v>
      </c>
      <c r="J68" s="53">
        <f t="shared" si="10"/>
        <v>54625</v>
      </c>
      <c r="K68" s="54">
        <f t="shared" si="11"/>
        <v>5.9999516708698367E-2</v>
      </c>
    </row>
    <row r="69" spans="1:11" ht="14.25" thickBot="1" x14ac:dyDescent="0.3">
      <c r="A69" s="55"/>
      <c r="B69" s="56"/>
      <c r="C69" s="57"/>
      <c r="D69" s="58"/>
      <c r="E69" s="59"/>
      <c r="F69" s="59"/>
      <c r="G69" s="402"/>
      <c r="H69" s="389"/>
      <c r="I69" s="59"/>
      <c r="J69" s="58"/>
    </row>
    <row r="70" spans="1:11" s="35" customFormat="1" ht="14.25" thickBot="1" x14ac:dyDescent="0.3">
      <c r="A70" s="512" t="s">
        <v>85</v>
      </c>
      <c r="B70" s="512"/>
      <c r="C70" s="380">
        <f t="shared" ref="C70:E70" si="12">SUM(C2:C68)</f>
        <v>532475488</v>
      </c>
      <c r="D70" s="380">
        <f t="shared" si="12"/>
        <v>0</v>
      </c>
      <c r="E70" s="62">
        <f t="shared" si="12"/>
        <v>532475488</v>
      </c>
      <c r="F70" s="61">
        <f>SUM(F2:F68)</f>
        <v>57617129</v>
      </c>
      <c r="G70" s="403"/>
      <c r="H70" s="390">
        <f>SUM(H2:H68)</f>
        <v>23853</v>
      </c>
      <c r="I70" s="64">
        <f>SUM(I2:I68)</f>
        <v>590116470</v>
      </c>
      <c r="J70" s="65">
        <f>SUM(J2:J68)</f>
        <v>57640982</v>
      </c>
      <c r="K70" s="66">
        <f>J70/C70</f>
        <v>0.10825095858684861</v>
      </c>
    </row>
    <row r="71" spans="1:11" ht="13.5" customHeight="1" x14ac:dyDescent="0.25">
      <c r="C71" s="67"/>
      <c r="D71" s="68"/>
      <c r="E71" s="67"/>
      <c r="F71" s="70"/>
      <c r="G71" s="70"/>
      <c r="H71" s="393" t="s">
        <v>253</v>
      </c>
      <c r="I71" s="71">
        <f>I70-'New Revenue Summary '!B7</f>
        <v>0</v>
      </c>
      <c r="J71" s="71"/>
      <c r="K71" s="401" t="s">
        <v>255</v>
      </c>
    </row>
    <row r="72" spans="1:11" ht="15" customHeight="1" x14ac:dyDescent="0.25">
      <c r="C72" s="67"/>
      <c r="F72" s="73"/>
      <c r="G72" s="73"/>
      <c r="H72" s="73"/>
    </row>
    <row r="73" spans="1:11" x14ac:dyDescent="0.25">
      <c r="E73" s="74"/>
      <c r="F73" s="75"/>
      <c r="G73" s="75"/>
      <c r="H73" s="75"/>
    </row>
    <row r="74" spans="1:11" ht="14.25" customHeight="1" x14ac:dyDescent="0.25">
      <c r="A74" s="519" t="s">
        <v>5</v>
      </c>
      <c r="B74" s="520"/>
      <c r="C74" s="520"/>
      <c r="D74" s="521"/>
      <c r="G74" s="76"/>
      <c r="H74" s="76" t="s">
        <v>87</v>
      </c>
      <c r="I74" s="77">
        <f>16500000</f>
        <v>16500000</v>
      </c>
      <c r="J74" s="78"/>
    </row>
    <row r="75" spans="1:11" ht="14.25" thickBot="1" x14ac:dyDescent="0.3">
      <c r="A75" s="522"/>
      <c r="B75" s="523"/>
      <c r="C75" s="523"/>
      <c r="D75" s="524"/>
      <c r="E75" s="75"/>
      <c r="G75" s="76"/>
      <c r="H75" s="76" t="s">
        <v>246</v>
      </c>
      <c r="I75" s="77">
        <v>1830094</v>
      </c>
    </row>
    <row r="76" spans="1:11" ht="14.25" thickBot="1" x14ac:dyDescent="0.3">
      <c r="A76" s="522"/>
      <c r="B76" s="523"/>
      <c r="C76" s="523"/>
      <c r="D76" s="524"/>
      <c r="F76" s="79"/>
      <c r="G76" s="80"/>
      <c r="H76" s="80" t="s">
        <v>88</v>
      </c>
      <c r="I76" s="81">
        <f>I70+I74+I75</f>
        <v>608446564</v>
      </c>
    </row>
    <row r="77" spans="1:11" ht="49.5" customHeight="1" x14ac:dyDescent="0.25">
      <c r="A77" s="525"/>
      <c r="B77" s="526"/>
      <c r="C77" s="526"/>
      <c r="D77" s="527"/>
    </row>
  </sheetData>
  <autoFilter ref="A1:K1" xr:uid="{83209D20-9D6F-42A4-82B8-FE7A78BFBDA5}">
    <sortState xmlns:xlrd2="http://schemas.microsoft.com/office/spreadsheetml/2017/richdata2" ref="A2:K68">
      <sortCondition ref="A1"/>
    </sortState>
  </autoFilter>
  <mergeCells count="2">
    <mergeCell ref="A70:B70"/>
    <mergeCell ref="A74:D77"/>
  </mergeCells>
  <printOptions horizontalCentered="1"/>
  <pageMargins left="0.2" right="0.2" top="0.5" bottom="0.25" header="0.25" footer="0.25"/>
  <pageSetup scale="79" fitToHeight="0" pageOrder="overThenDown" orientation="landscape" r:id="rId1"/>
  <headerFooter>
    <oddFooter xml:space="preserve">&amp;C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E734-1983-4D93-9F55-402910FF4FB3}">
  <dimension ref="A1:N83"/>
  <sheetViews>
    <sheetView zoomScaleNormal="100" workbookViewId="0">
      <pane xSplit="2" ySplit="4" topLeftCell="C53" activePane="bottomRight" state="frozen"/>
      <selection pane="topRight" activeCell="C1" sqref="C1"/>
      <selection pane="bottomLeft" activeCell="A6" sqref="A6"/>
      <selection pane="bottomRight" activeCell="E5" sqref="E5"/>
    </sheetView>
  </sheetViews>
  <sheetFormatPr defaultColWidth="2.28515625" defaultRowHeight="13.5" outlineLevelCol="2" x14ac:dyDescent="0.25"/>
  <cols>
    <col min="1" max="1" width="13.28515625" style="419" customWidth="1"/>
    <col min="2" max="2" width="6.28515625" style="419" customWidth="1"/>
    <col min="3" max="3" width="14.42578125" style="419" customWidth="1"/>
    <col min="4" max="4" width="14.42578125" style="425" customWidth="1"/>
    <col min="5" max="5" width="13.7109375" style="425" customWidth="1"/>
    <col min="6" max="6" width="2.28515625" style="419" outlineLevel="2"/>
    <col min="7" max="7" width="10.7109375" style="425" customWidth="1" outlineLevel="1"/>
    <col min="8" max="8" width="9" style="425" customWidth="1" outlineLevel="1"/>
    <col min="9" max="9" width="12" style="419" customWidth="1" outlineLevel="1"/>
    <col min="10" max="10" width="10.28515625" style="425" customWidth="1" outlineLevel="1"/>
    <col min="11" max="11" width="8.7109375" style="425" customWidth="1" outlineLevel="1"/>
    <col min="12" max="12" width="11.7109375" style="419" customWidth="1" outlineLevel="1"/>
    <col min="13" max="13" width="11.85546875" style="419" customWidth="1" outlineLevel="1"/>
    <col min="14" max="14" width="14.5703125" style="419" customWidth="1" outlineLevel="1"/>
    <col min="15" max="16384" width="2.28515625" style="419"/>
  </cols>
  <sheetData>
    <row r="1" spans="1:14" s="414" customFormat="1" ht="42" customHeight="1" x14ac:dyDescent="0.25">
      <c r="A1" s="413" t="s">
        <v>281</v>
      </c>
      <c r="D1" s="415"/>
      <c r="E1" s="415"/>
      <c r="G1" s="528" t="s">
        <v>280</v>
      </c>
      <c r="H1" s="528"/>
      <c r="I1" s="528"/>
      <c r="J1" s="528"/>
      <c r="K1" s="528"/>
      <c r="L1" s="528"/>
      <c r="M1" s="528"/>
      <c r="N1" s="528"/>
    </row>
    <row r="2" spans="1:14" ht="32.65" customHeight="1" x14ac:dyDescent="0.25">
      <c r="A2" s="416" t="s">
        <v>268</v>
      </c>
      <c r="B2" s="416"/>
      <c r="C2" s="417">
        <v>57617129</v>
      </c>
      <c r="D2" s="418" t="s">
        <v>269</v>
      </c>
      <c r="E2" s="418" t="s">
        <v>270</v>
      </c>
      <c r="G2" s="420" t="s">
        <v>271</v>
      </c>
      <c r="H2" s="421" t="s">
        <v>272</v>
      </c>
      <c r="I2" s="421" t="s">
        <v>270</v>
      </c>
      <c r="J2" s="420" t="s">
        <v>271</v>
      </c>
      <c r="K2" s="421" t="s">
        <v>272</v>
      </c>
      <c r="L2" s="421" t="s">
        <v>270</v>
      </c>
      <c r="M2" s="422">
        <f>$C2*(H3+K3)</f>
        <v>2880856.45</v>
      </c>
      <c r="N2" s="422"/>
    </row>
    <row r="3" spans="1:14" ht="16.5" customHeight="1" thickBot="1" x14ac:dyDescent="0.3">
      <c r="D3" s="423">
        <v>0.95</v>
      </c>
      <c r="E3" s="424">
        <f>ROUND(D3*$C$2,0)</f>
        <v>54736273</v>
      </c>
      <c r="G3" s="425">
        <f>COUNTIF(H5:H71,"&gt;0")</f>
        <v>30</v>
      </c>
      <c r="H3" s="426">
        <v>2.5000000000000001E-2</v>
      </c>
      <c r="I3" s="427">
        <f>M2/2</f>
        <v>1440428.2250000001</v>
      </c>
      <c r="J3" s="425">
        <f>COUNTIF(K5:K71,"&gt;0")</f>
        <v>32</v>
      </c>
      <c r="K3" s="426">
        <v>2.5000000000000001E-2</v>
      </c>
      <c r="L3" s="427">
        <f>M2/2</f>
        <v>1440428.2250000001</v>
      </c>
      <c r="M3" s="425">
        <f>COUNTIF(M5:M71,"&gt;1")</f>
        <v>35</v>
      </c>
    </row>
    <row r="4" spans="1:14" s="414" customFormat="1" ht="54.75" thickBot="1" x14ac:dyDescent="0.3">
      <c r="A4" s="428" t="s">
        <v>11</v>
      </c>
      <c r="B4" s="429" t="s">
        <v>12</v>
      </c>
      <c r="C4" s="430" t="s">
        <v>93</v>
      </c>
      <c r="D4" s="431" t="s">
        <v>92</v>
      </c>
      <c r="E4" s="489" t="s">
        <v>282</v>
      </c>
      <c r="G4" s="432" t="s">
        <v>273</v>
      </c>
      <c r="H4" s="433" t="s">
        <v>274</v>
      </c>
      <c r="I4" s="434" t="s">
        <v>275</v>
      </c>
      <c r="J4" s="432" t="s">
        <v>276</v>
      </c>
      <c r="K4" s="433" t="s">
        <v>274</v>
      </c>
      <c r="L4" s="434" t="s">
        <v>277</v>
      </c>
      <c r="M4" s="435" t="s">
        <v>278</v>
      </c>
      <c r="N4" s="436" t="s">
        <v>279</v>
      </c>
    </row>
    <row r="5" spans="1:14" s="442" customFormat="1" ht="12.75" customHeight="1" x14ac:dyDescent="0.25">
      <c r="A5" s="437" t="s">
        <v>18</v>
      </c>
      <c r="B5" s="438">
        <v>1</v>
      </c>
      <c r="C5" s="439">
        <v>565939</v>
      </c>
      <c r="D5" s="440">
        <v>10541.5</v>
      </c>
      <c r="E5" s="441">
        <f t="shared" ref="E5:E68" si="0">D5/$D$73*E$3</f>
        <v>30194.377811061226</v>
      </c>
      <c r="G5" s="443">
        <v>21.600000000000005</v>
      </c>
      <c r="H5" s="444">
        <f t="shared" ref="H5:H68" si="1">IF(G5&gt;G$73,G5-G$73,0)</f>
        <v>0.29422885572139634</v>
      </c>
      <c r="I5" s="445">
        <f t="shared" ref="I5:I68" si="2">H5/H$73*I$3</f>
        <v>7031.9254853558341</v>
      </c>
      <c r="J5" s="446">
        <v>94.17</v>
      </c>
      <c r="K5" s="447">
        <f t="shared" ref="K5:K68" si="3">IF(J5&gt;J$73,J5-J$73,0)</f>
        <v>0</v>
      </c>
      <c r="L5" s="445">
        <f t="shared" ref="L5:L68" si="4">K5/K$73*L$3</f>
        <v>0</v>
      </c>
      <c r="M5" s="448">
        <f>I5+L5</f>
        <v>7031.9254853558341</v>
      </c>
      <c r="N5" s="449">
        <f t="shared" ref="N5:N36" si="5">C5+E5+M5</f>
        <v>603165.303296417</v>
      </c>
    </row>
    <row r="6" spans="1:14" ht="13.7" customHeight="1" x14ac:dyDescent="0.25">
      <c r="A6" s="450" t="s">
        <v>19</v>
      </c>
      <c r="B6" s="451">
        <v>1</v>
      </c>
      <c r="C6" s="439">
        <v>346312</v>
      </c>
      <c r="D6" s="452">
        <v>4515.5</v>
      </c>
      <c r="E6" s="453">
        <f t="shared" si="0"/>
        <v>12933.900583963095</v>
      </c>
      <c r="G6" s="443">
        <v>21.27333333333333</v>
      </c>
      <c r="H6" s="444">
        <f t="shared" si="1"/>
        <v>0</v>
      </c>
      <c r="I6" s="445">
        <f t="shared" si="2"/>
        <v>0</v>
      </c>
      <c r="J6" s="446">
        <v>91.413333333333341</v>
      </c>
      <c r="K6" s="447">
        <f t="shared" si="3"/>
        <v>0</v>
      </c>
      <c r="L6" s="445">
        <f t="shared" si="4"/>
        <v>0</v>
      </c>
      <c r="M6" s="454">
        <f t="shared" ref="M6:M69" si="6">I6+L6</f>
        <v>0</v>
      </c>
      <c r="N6" s="455">
        <f t="shared" si="5"/>
        <v>359245.90058396308</v>
      </c>
    </row>
    <row r="7" spans="1:14" s="456" customFormat="1" ht="13.7" customHeight="1" x14ac:dyDescent="0.25">
      <c r="A7" s="450" t="s">
        <v>20</v>
      </c>
      <c r="B7" s="451">
        <v>1</v>
      </c>
      <c r="C7" s="439">
        <v>363332</v>
      </c>
      <c r="D7" s="452">
        <v>7058.5</v>
      </c>
      <c r="E7" s="453">
        <f t="shared" si="0"/>
        <v>20217.902175153031</v>
      </c>
      <c r="G7" s="443">
        <v>19.496666666666666</v>
      </c>
      <c r="H7" s="444">
        <f t="shared" si="1"/>
        <v>0</v>
      </c>
      <c r="I7" s="445">
        <f t="shared" si="2"/>
        <v>0</v>
      </c>
      <c r="J7" s="446">
        <v>92.34666666666665</v>
      </c>
      <c r="K7" s="447">
        <f t="shared" si="3"/>
        <v>0</v>
      </c>
      <c r="L7" s="445">
        <f t="shared" si="4"/>
        <v>0</v>
      </c>
      <c r="M7" s="454">
        <f t="shared" si="6"/>
        <v>0</v>
      </c>
      <c r="N7" s="455">
        <f t="shared" si="5"/>
        <v>383549.90217515302</v>
      </c>
    </row>
    <row r="8" spans="1:14" s="442" customFormat="1" ht="13.7" customHeight="1" x14ac:dyDescent="0.25">
      <c r="A8" s="450" t="s">
        <v>21</v>
      </c>
      <c r="B8" s="451">
        <v>1</v>
      </c>
      <c r="C8" s="439">
        <v>561694</v>
      </c>
      <c r="D8" s="452">
        <v>7615.5</v>
      </c>
      <c r="E8" s="453">
        <f t="shared" si="0"/>
        <v>21813.336263353107</v>
      </c>
      <c r="G8" s="443">
        <v>18.606666666666666</v>
      </c>
      <c r="H8" s="444">
        <f t="shared" si="1"/>
        <v>0</v>
      </c>
      <c r="I8" s="445">
        <f t="shared" si="2"/>
        <v>0</v>
      </c>
      <c r="J8" s="446">
        <v>92.383333333333326</v>
      </c>
      <c r="K8" s="447">
        <f t="shared" si="3"/>
        <v>0</v>
      </c>
      <c r="L8" s="445">
        <f t="shared" si="4"/>
        <v>0</v>
      </c>
      <c r="M8" s="454">
        <f t="shared" si="6"/>
        <v>0</v>
      </c>
      <c r="N8" s="455">
        <f t="shared" si="5"/>
        <v>583507.33626335312</v>
      </c>
    </row>
    <row r="9" spans="1:14" s="442" customFormat="1" ht="13.7" customHeight="1" x14ac:dyDescent="0.25">
      <c r="A9" s="450" t="s">
        <v>22</v>
      </c>
      <c r="B9" s="451">
        <v>2</v>
      </c>
      <c r="C9" s="439">
        <v>840473</v>
      </c>
      <c r="D9" s="452">
        <v>19242</v>
      </c>
      <c r="E9" s="453">
        <f t="shared" si="0"/>
        <v>55115.516562200835</v>
      </c>
      <c r="G9" s="443">
        <v>20.076666666666668</v>
      </c>
      <c r="H9" s="444">
        <f t="shared" si="1"/>
        <v>0</v>
      </c>
      <c r="I9" s="445">
        <f t="shared" si="2"/>
        <v>0</v>
      </c>
      <c r="J9" s="446">
        <v>93.13</v>
      </c>
      <c r="K9" s="447">
        <f t="shared" si="3"/>
        <v>0</v>
      </c>
      <c r="L9" s="445">
        <f t="shared" si="4"/>
        <v>0</v>
      </c>
      <c r="M9" s="454">
        <f t="shared" si="6"/>
        <v>0</v>
      </c>
      <c r="N9" s="455">
        <f t="shared" si="5"/>
        <v>895588.51656220085</v>
      </c>
    </row>
    <row r="10" spans="1:14" s="442" customFormat="1" ht="13.7" customHeight="1" x14ac:dyDescent="0.25">
      <c r="A10" s="437" t="s">
        <v>23</v>
      </c>
      <c r="B10" s="438">
        <v>2</v>
      </c>
      <c r="C10" s="439">
        <v>516189</v>
      </c>
      <c r="D10" s="452">
        <v>12579</v>
      </c>
      <c r="E10" s="453">
        <f t="shared" si="0"/>
        <v>36030.458519692562</v>
      </c>
      <c r="G10" s="443">
        <v>19.283333333333331</v>
      </c>
      <c r="H10" s="444">
        <f t="shared" si="1"/>
        <v>0</v>
      </c>
      <c r="I10" s="445">
        <f t="shared" si="2"/>
        <v>0</v>
      </c>
      <c r="J10" s="446">
        <v>90.13</v>
      </c>
      <c r="K10" s="447">
        <f t="shared" si="3"/>
        <v>0</v>
      </c>
      <c r="L10" s="445">
        <f t="shared" si="4"/>
        <v>0</v>
      </c>
      <c r="M10" s="454">
        <f t="shared" si="6"/>
        <v>0</v>
      </c>
      <c r="N10" s="455">
        <f t="shared" si="5"/>
        <v>552219.45851969253</v>
      </c>
    </row>
    <row r="11" spans="1:14" s="442" customFormat="1" ht="13.7" customHeight="1" x14ac:dyDescent="0.25">
      <c r="A11" s="450" t="s">
        <v>24</v>
      </c>
      <c r="B11" s="451">
        <v>2</v>
      </c>
      <c r="C11" s="439">
        <v>568423</v>
      </c>
      <c r="D11" s="452">
        <v>11787</v>
      </c>
      <c r="E11" s="453">
        <f t="shared" si="0"/>
        <v>33761.905920312922</v>
      </c>
      <c r="G11" s="443">
        <v>18.486666666666668</v>
      </c>
      <c r="H11" s="444">
        <f t="shared" si="1"/>
        <v>0</v>
      </c>
      <c r="I11" s="445">
        <f t="shared" si="2"/>
        <v>0</v>
      </c>
      <c r="J11" s="446">
        <v>91.943333333333328</v>
      </c>
      <c r="K11" s="447">
        <f t="shared" si="3"/>
        <v>0</v>
      </c>
      <c r="L11" s="445">
        <f t="shared" si="4"/>
        <v>0</v>
      </c>
      <c r="M11" s="454">
        <f t="shared" si="6"/>
        <v>0</v>
      </c>
      <c r="N11" s="455">
        <f t="shared" si="5"/>
        <v>602184.90592031297</v>
      </c>
    </row>
    <row r="12" spans="1:14" s="442" customFormat="1" ht="13.7" customHeight="1" x14ac:dyDescent="0.25">
      <c r="A12" s="450" t="s">
        <v>25</v>
      </c>
      <c r="B12" s="451">
        <v>2</v>
      </c>
      <c r="C12" s="439">
        <v>736345</v>
      </c>
      <c r="D12" s="452">
        <v>15210</v>
      </c>
      <c r="E12" s="453">
        <f t="shared" si="0"/>
        <v>43566.521510813567</v>
      </c>
      <c r="G12" s="443">
        <v>19.133333333333336</v>
      </c>
      <c r="H12" s="444">
        <f t="shared" si="1"/>
        <v>0</v>
      </c>
      <c r="I12" s="445">
        <f t="shared" si="2"/>
        <v>0</v>
      </c>
      <c r="J12" s="446">
        <v>92.416666666666671</v>
      </c>
      <c r="K12" s="447">
        <f t="shared" si="3"/>
        <v>0</v>
      </c>
      <c r="L12" s="445">
        <f t="shared" si="4"/>
        <v>0</v>
      </c>
      <c r="M12" s="454">
        <f t="shared" si="6"/>
        <v>0</v>
      </c>
      <c r="N12" s="455">
        <f t="shared" si="5"/>
        <v>779911.52151081362</v>
      </c>
    </row>
    <row r="13" spans="1:14" s="442" customFormat="1" ht="13.7" customHeight="1" x14ac:dyDescent="0.25">
      <c r="A13" s="450" t="s">
        <v>26</v>
      </c>
      <c r="B13" s="451">
        <v>2</v>
      </c>
      <c r="C13" s="439">
        <v>633503</v>
      </c>
      <c r="D13" s="452">
        <v>12849</v>
      </c>
      <c r="E13" s="453">
        <f t="shared" si="0"/>
        <v>36803.828724026534</v>
      </c>
      <c r="G13" s="443">
        <v>19.330000000000002</v>
      </c>
      <c r="H13" s="444">
        <f t="shared" si="1"/>
        <v>0</v>
      </c>
      <c r="I13" s="445">
        <f t="shared" si="2"/>
        <v>0</v>
      </c>
      <c r="J13" s="446">
        <v>92.493333333333339</v>
      </c>
      <c r="K13" s="447">
        <f t="shared" si="3"/>
        <v>0</v>
      </c>
      <c r="L13" s="445">
        <f t="shared" si="4"/>
        <v>0</v>
      </c>
      <c r="M13" s="454">
        <f t="shared" si="6"/>
        <v>0</v>
      </c>
      <c r="N13" s="455">
        <f t="shared" si="5"/>
        <v>670306.82872402656</v>
      </c>
    </row>
    <row r="14" spans="1:14" s="442" customFormat="1" ht="13.7" customHeight="1" x14ac:dyDescent="0.25">
      <c r="A14" s="450" t="s">
        <v>27</v>
      </c>
      <c r="B14" s="451">
        <v>2</v>
      </c>
      <c r="C14" s="439">
        <v>646188</v>
      </c>
      <c r="D14" s="452">
        <v>13472.5</v>
      </c>
      <c r="E14" s="453">
        <f t="shared" si="0"/>
        <v>38589.741029219978</v>
      </c>
      <c r="G14" s="443">
        <v>20.116666666666667</v>
      </c>
      <c r="H14" s="444">
        <f t="shared" si="1"/>
        <v>0</v>
      </c>
      <c r="I14" s="445">
        <f t="shared" si="2"/>
        <v>0</v>
      </c>
      <c r="J14" s="446">
        <v>94.086666666666659</v>
      </c>
      <c r="K14" s="447">
        <f t="shared" si="3"/>
        <v>0</v>
      </c>
      <c r="L14" s="445">
        <f t="shared" si="4"/>
        <v>0</v>
      </c>
      <c r="M14" s="454">
        <f t="shared" si="6"/>
        <v>0</v>
      </c>
      <c r="N14" s="455">
        <f t="shared" si="5"/>
        <v>684777.74102921993</v>
      </c>
    </row>
    <row r="15" spans="1:14" s="442" customFormat="1" ht="13.7" customHeight="1" x14ac:dyDescent="0.25">
      <c r="A15" s="450" t="s">
        <v>28</v>
      </c>
      <c r="B15" s="451">
        <v>2</v>
      </c>
      <c r="C15" s="439">
        <v>676981</v>
      </c>
      <c r="D15" s="452">
        <v>17088.5</v>
      </c>
      <c r="E15" s="453">
        <f t="shared" si="0"/>
        <v>48947.173099114902</v>
      </c>
      <c r="G15" s="443">
        <v>18.973333333333333</v>
      </c>
      <c r="H15" s="444">
        <f t="shared" si="1"/>
        <v>0</v>
      </c>
      <c r="I15" s="445">
        <f t="shared" si="2"/>
        <v>0</v>
      </c>
      <c r="J15" s="446">
        <v>93.943333333333328</v>
      </c>
      <c r="K15" s="447">
        <f t="shared" si="3"/>
        <v>0</v>
      </c>
      <c r="L15" s="445">
        <f t="shared" si="4"/>
        <v>0</v>
      </c>
      <c r="M15" s="454">
        <f t="shared" si="6"/>
        <v>0</v>
      </c>
      <c r="N15" s="455">
        <f t="shared" si="5"/>
        <v>725928.17309911491</v>
      </c>
    </row>
    <row r="16" spans="1:14" s="442" customFormat="1" ht="13.7" customHeight="1" x14ac:dyDescent="0.25">
      <c r="A16" s="450" t="s">
        <v>29</v>
      </c>
      <c r="B16" s="451">
        <v>2</v>
      </c>
      <c r="C16" s="439">
        <v>1034691</v>
      </c>
      <c r="D16" s="452">
        <v>23886.5</v>
      </c>
      <c r="E16" s="453">
        <f t="shared" si="0"/>
        <v>68418.916243790169</v>
      </c>
      <c r="G16" s="443">
        <v>19.533333333333335</v>
      </c>
      <c r="H16" s="444">
        <f t="shared" si="1"/>
        <v>0</v>
      </c>
      <c r="I16" s="445">
        <f t="shared" si="2"/>
        <v>0</v>
      </c>
      <c r="J16" s="446">
        <v>93.806666666666672</v>
      </c>
      <c r="K16" s="447">
        <f t="shared" si="3"/>
        <v>0</v>
      </c>
      <c r="L16" s="445">
        <f t="shared" si="4"/>
        <v>0</v>
      </c>
      <c r="M16" s="454">
        <f t="shared" si="6"/>
        <v>0</v>
      </c>
      <c r="N16" s="455">
        <f t="shared" si="5"/>
        <v>1103109.9162437902</v>
      </c>
    </row>
    <row r="17" spans="1:14" s="442" customFormat="1" ht="13.7" customHeight="1" x14ac:dyDescent="0.25">
      <c r="A17" s="450" t="s">
        <v>30</v>
      </c>
      <c r="B17" s="451">
        <v>2</v>
      </c>
      <c r="C17" s="439">
        <v>678285</v>
      </c>
      <c r="D17" s="452">
        <v>16236</v>
      </c>
      <c r="E17" s="453">
        <f t="shared" si="0"/>
        <v>46505.328287282653</v>
      </c>
      <c r="G17" s="443">
        <v>19.463333333333335</v>
      </c>
      <c r="H17" s="444">
        <f t="shared" si="1"/>
        <v>0</v>
      </c>
      <c r="I17" s="445">
        <f t="shared" si="2"/>
        <v>0</v>
      </c>
      <c r="J17" s="446">
        <v>90.65666666666668</v>
      </c>
      <c r="K17" s="447">
        <f t="shared" si="3"/>
        <v>0</v>
      </c>
      <c r="L17" s="445">
        <f t="shared" si="4"/>
        <v>0</v>
      </c>
      <c r="M17" s="454">
        <f t="shared" si="6"/>
        <v>0</v>
      </c>
      <c r="N17" s="455">
        <f t="shared" si="5"/>
        <v>724790.32828728261</v>
      </c>
    </row>
    <row r="18" spans="1:14" s="442" customFormat="1" ht="13.7" customHeight="1" x14ac:dyDescent="0.25">
      <c r="A18" s="450" t="s">
        <v>31</v>
      </c>
      <c r="B18" s="451">
        <v>2</v>
      </c>
      <c r="C18" s="439">
        <v>573155</v>
      </c>
      <c r="D18" s="452">
        <v>13847</v>
      </c>
      <c r="E18" s="453">
        <f t="shared" si="0"/>
        <v>39662.434145972096</v>
      </c>
      <c r="G18" s="443">
        <v>19.493333333333336</v>
      </c>
      <c r="H18" s="444">
        <f t="shared" si="1"/>
        <v>0</v>
      </c>
      <c r="I18" s="445">
        <f t="shared" si="2"/>
        <v>0</v>
      </c>
      <c r="J18" s="446">
        <v>91.546666666666667</v>
      </c>
      <c r="K18" s="447">
        <f t="shared" si="3"/>
        <v>0</v>
      </c>
      <c r="L18" s="445">
        <f t="shared" si="4"/>
        <v>0</v>
      </c>
      <c r="M18" s="454">
        <f t="shared" si="6"/>
        <v>0</v>
      </c>
      <c r="N18" s="455">
        <f t="shared" si="5"/>
        <v>612817.43414597213</v>
      </c>
    </row>
    <row r="19" spans="1:14" s="442" customFormat="1" ht="13.7" customHeight="1" x14ac:dyDescent="0.25">
      <c r="A19" s="450" t="s">
        <v>32</v>
      </c>
      <c r="B19" s="451">
        <v>2</v>
      </c>
      <c r="C19" s="439">
        <v>659085</v>
      </c>
      <c r="D19" s="452">
        <v>21365</v>
      </c>
      <c r="E19" s="453">
        <f t="shared" si="0"/>
        <v>61196.497835537935</v>
      </c>
      <c r="G19" s="443">
        <v>18.72</v>
      </c>
      <c r="H19" s="444">
        <f t="shared" si="1"/>
        <v>0</v>
      </c>
      <c r="I19" s="445">
        <f t="shared" si="2"/>
        <v>0</v>
      </c>
      <c r="J19" s="446">
        <v>93.473333333333343</v>
      </c>
      <c r="K19" s="447">
        <f t="shared" si="3"/>
        <v>0</v>
      </c>
      <c r="L19" s="445">
        <f t="shared" si="4"/>
        <v>0</v>
      </c>
      <c r="M19" s="454">
        <f t="shared" si="6"/>
        <v>0</v>
      </c>
      <c r="N19" s="455">
        <f t="shared" si="5"/>
        <v>720281.49783553788</v>
      </c>
    </row>
    <row r="20" spans="1:14" s="442" customFormat="1" ht="13.7" customHeight="1" x14ac:dyDescent="0.25">
      <c r="A20" s="450" t="s">
        <v>33</v>
      </c>
      <c r="B20" s="451">
        <v>2</v>
      </c>
      <c r="C20" s="439">
        <v>910424</v>
      </c>
      <c r="D20" s="452">
        <v>19004</v>
      </c>
      <c r="E20" s="453">
        <f t="shared" si="0"/>
        <v>54433.805048750903</v>
      </c>
      <c r="G20" s="443">
        <v>19.220000000000002</v>
      </c>
      <c r="H20" s="444">
        <f t="shared" si="1"/>
        <v>0</v>
      </c>
      <c r="I20" s="445">
        <f t="shared" si="2"/>
        <v>0</v>
      </c>
      <c r="J20" s="446">
        <v>91.94</v>
      </c>
      <c r="K20" s="447">
        <f t="shared" si="3"/>
        <v>0</v>
      </c>
      <c r="L20" s="445">
        <f t="shared" si="4"/>
        <v>0</v>
      </c>
      <c r="M20" s="454">
        <f t="shared" si="6"/>
        <v>0</v>
      </c>
      <c r="N20" s="455">
        <f t="shared" si="5"/>
        <v>964857.80504875095</v>
      </c>
    </row>
    <row r="21" spans="1:14" s="442" customFormat="1" ht="13.7" customHeight="1" x14ac:dyDescent="0.25">
      <c r="A21" s="450" t="s">
        <v>34</v>
      </c>
      <c r="B21" s="451">
        <v>3</v>
      </c>
      <c r="C21" s="439">
        <v>1029812</v>
      </c>
      <c r="D21" s="452">
        <v>28955.5</v>
      </c>
      <c r="E21" s="453">
        <f t="shared" si="0"/>
        <v>82938.225746637894</v>
      </c>
      <c r="G21" s="443">
        <v>19.526666666666667</v>
      </c>
      <c r="H21" s="444">
        <f t="shared" si="1"/>
        <v>0</v>
      </c>
      <c r="I21" s="445">
        <f t="shared" si="2"/>
        <v>0</v>
      </c>
      <c r="J21" s="446">
        <v>93.416666666666671</v>
      </c>
      <c r="K21" s="447">
        <f t="shared" si="3"/>
        <v>0</v>
      </c>
      <c r="L21" s="445">
        <f t="shared" si="4"/>
        <v>0</v>
      </c>
      <c r="M21" s="454">
        <f t="shared" si="6"/>
        <v>0</v>
      </c>
      <c r="N21" s="455">
        <f t="shared" si="5"/>
        <v>1112750.2257466379</v>
      </c>
    </row>
    <row r="22" spans="1:14" s="442" customFormat="1" ht="13.7" customHeight="1" x14ac:dyDescent="0.25">
      <c r="A22" s="450" t="s">
        <v>35</v>
      </c>
      <c r="B22" s="451">
        <v>3</v>
      </c>
      <c r="C22" s="439">
        <v>954824</v>
      </c>
      <c r="D22" s="452">
        <v>30650</v>
      </c>
      <c r="E22" s="453">
        <f t="shared" si="0"/>
        <v>87791.839862356079</v>
      </c>
      <c r="G22" s="443">
        <v>19.61</v>
      </c>
      <c r="H22" s="444">
        <f t="shared" si="1"/>
        <v>0</v>
      </c>
      <c r="I22" s="445">
        <f t="shared" si="2"/>
        <v>0</v>
      </c>
      <c r="J22" s="446">
        <v>93.926666666666662</v>
      </c>
      <c r="K22" s="447">
        <f t="shared" si="3"/>
        <v>0</v>
      </c>
      <c r="L22" s="445">
        <f t="shared" si="4"/>
        <v>0</v>
      </c>
      <c r="M22" s="454">
        <f t="shared" si="6"/>
        <v>0</v>
      </c>
      <c r="N22" s="455">
        <f t="shared" si="5"/>
        <v>1042615.8398623561</v>
      </c>
    </row>
    <row r="23" spans="1:14" s="442" customFormat="1" ht="13.7" customHeight="1" x14ac:dyDescent="0.25">
      <c r="A23" s="450" t="s">
        <v>36</v>
      </c>
      <c r="B23" s="451">
        <v>3</v>
      </c>
      <c r="C23" s="439">
        <v>1542546</v>
      </c>
      <c r="D23" s="452">
        <v>35044.5</v>
      </c>
      <c r="E23" s="453">
        <f t="shared" si="0"/>
        <v>100379.15602141395</v>
      </c>
      <c r="G23" s="443">
        <v>19.103333333333335</v>
      </c>
      <c r="H23" s="444">
        <f t="shared" si="1"/>
        <v>0</v>
      </c>
      <c r="I23" s="445">
        <f t="shared" si="2"/>
        <v>0</v>
      </c>
      <c r="J23" s="446">
        <v>92.046666666666667</v>
      </c>
      <c r="K23" s="447">
        <f t="shared" si="3"/>
        <v>0</v>
      </c>
      <c r="L23" s="445">
        <f t="shared" si="4"/>
        <v>0</v>
      </c>
      <c r="M23" s="454">
        <f t="shared" si="6"/>
        <v>0</v>
      </c>
      <c r="N23" s="455">
        <f t="shared" si="5"/>
        <v>1642925.1560214139</v>
      </c>
    </row>
    <row r="24" spans="1:14" s="442" customFormat="1" ht="13.7" customHeight="1" x14ac:dyDescent="0.25">
      <c r="A24" s="450" t="s">
        <v>37</v>
      </c>
      <c r="B24" s="451">
        <v>3</v>
      </c>
      <c r="C24" s="439">
        <v>1457809</v>
      </c>
      <c r="D24" s="452">
        <v>36882.5</v>
      </c>
      <c r="E24" s="453">
        <f t="shared" si="0"/>
        <v>105643.80207906518</v>
      </c>
      <c r="G24" s="443">
        <v>19.856666666666666</v>
      </c>
      <c r="H24" s="444">
        <f t="shared" si="1"/>
        <v>0</v>
      </c>
      <c r="I24" s="445">
        <f t="shared" si="2"/>
        <v>0</v>
      </c>
      <c r="J24" s="446">
        <v>95.04</v>
      </c>
      <c r="K24" s="447">
        <f t="shared" si="3"/>
        <v>0</v>
      </c>
      <c r="L24" s="445">
        <f t="shared" si="4"/>
        <v>0</v>
      </c>
      <c r="M24" s="454">
        <f t="shared" si="6"/>
        <v>0</v>
      </c>
      <c r="N24" s="455">
        <f t="shared" si="5"/>
        <v>1563452.8020790652</v>
      </c>
    </row>
    <row r="25" spans="1:14" s="442" customFormat="1" ht="13.7" customHeight="1" x14ac:dyDescent="0.25">
      <c r="A25" s="450" t="s">
        <v>38</v>
      </c>
      <c r="B25" s="451">
        <v>3</v>
      </c>
      <c r="C25" s="439">
        <v>1271930</v>
      </c>
      <c r="D25" s="452">
        <v>31319</v>
      </c>
      <c r="E25" s="453">
        <f t="shared" si="0"/>
        <v>89708.079368650244</v>
      </c>
      <c r="G25" s="443">
        <v>18.283333333333331</v>
      </c>
      <c r="H25" s="444">
        <f t="shared" si="1"/>
        <v>0</v>
      </c>
      <c r="I25" s="445">
        <f t="shared" si="2"/>
        <v>0</v>
      </c>
      <c r="J25" s="446">
        <v>92.759999999999991</v>
      </c>
      <c r="K25" s="447">
        <f t="shared" si="3"/>
        <v>0</v>
      </c>
      <c r="L25" s="445">
        <f t="shared" si="4"/>
        <v>0</v>
      </c>
      <c r="M25" s="454">
        <f t="shared" si="6"/>
        <v>0</v>
      </c>
      <c r="N25" s="455">
        <f t="shared" si="5"/>
        <v>1361638.0793686502</v>
      </c>
    </row>
    <row r="26" spans="1:14" s="442" customFormat="1" ht="13.7" customHeight="1" x14ac:dyDescent="0.25">
      <c r="A26" s="450" t="s">
        <v>39</v>
      </c>
      <c r="B26" s="451">
        <v>3</v>
      </c>
      <c r="C26" s="439">
        <v>1339404</v>
      </c>
      <c r="D26" s="452">
        <v>39600.5</v>
      </c>
      <c r="E26" s="453">
        <f t="shared" si="0"/>
        <v>113429.06213602713</v>
      </c>
      <c r="G26" s="443">
        <v>18.583333333333332</v>
      </c>
      <c r="H26" s="444">
        <f t="shared" si="1"/>
        <v>0</v>
      </c>
      <c r="I26" s="445">
        <f t="shared" si="2"/>
        <v>0</v>
      </c>
      <c r="J26" s="446">
        <v>92.40333333333335</v>
      </c>
      <c r="K26" s="447">
        <f t="shared" si="3"/>
        <v>0</v>
      </c>
      <c r="L26" s="445">
        <f t="shared" si="4"/>
        <v>0</v>
      </c>
      <c r="M26" s="454">
        <f t="shared" si="6"/>
        <v>0</v>
      </c>
      <c r="N26" s="455">
        <f t="shared" si="5"/>
        <v>1452833.062136027</v>
      </c>
    </row>
    <row r="27" spans="1:14" s="442" customFormat="1" ht="13.7" customHeight="1" x14ac:dyDescent="0.25">
      <c r="A27" s="450" t="s">
        <v>40</v>
      </c>
      <c r="B27" s="451">
        <v>3</v>
      </c>
      <c r="C27" s="439">
        <v>661706</v>
      </c>
      <c r="D27" s="452">
        <v>24784</v>
      </c>
      <c r="E27" s="453">
        <f t="shared" si="0"/>
        <v>70989.656089678072</v>
      </c>
      <c r="G27" s="443">
        <v>19.013333333333332</v>
      </c>
      <c r="H27" s="444">
        <f t="shared" si="1"/>
        <v>0</v>
      </c>
      <c r="I27" s="445">
        <f t="shared" si="2"/>
        <v>0</v>
      </c>
      <c r="J27" s="446">
        <v>91.006666666666661</v>
      </c>
      <c r="K27" s="447">
        <f t="shared" si="3"/>
        <v>0</v>
      </c>
      <c r="L27" s="445">
        <f t="shared" si="4"/>
        <v>0</v>
      </c>
      <c r="M27" s="454">
        <f t="shared" si="6"/>
        <v>0</v>
      </c>
      <c r="N27" s="455">
        <f t="shared" si="5"/>
        <v>732695.65608967806</v>
      </c>
    </row>
    <row r="28" spans="1:14" s="442" customFormat="1" ht="13.7" customHeight="1" x14ac:dyDescent="0.25">
      <c r="A28" s="450" t="s">
        <v>41</v>
      </c>
      <c r="B28" s="451">
        <v>3</v>
      </c>
      <c r="C28" s="439">
        <v>1496990</v>
      </c>
      <c r="D28" s="452">
        <v>36495.5</v>
      </c>
      <c r="E28" s="453">
        <f t="shared" si="0"/>
        <v>104535.30478618651</v>
      </c>
      <c r="G28" s="443">
        <v>19.830000000000002</v>
      </c>
      <c r="H28" s="444">
        <f t="shared" si="1"/>
        <v>0</v>
      </c>
      <c r="I28" s="445">
        <f t="shared" si="2"/>
        <v>0</v>
      </c>
      <c r="J28" s="446">
        <v>94.01</v>
      </c>
      <c r="K28" s="447">
        <f t="shared" si="3"/>
        <v>0</v>
      </c>
      <c r="L28" s="445">
        <f t="shared" si="4"/>
        <v>0</v>
      </c>
      <c r="M28" s="454">
        <f t="shared" si="6"/>
        <v>0</v>
      </c>
      <c r="N28" s="455">
        <f t="shared" si="5"/>
        <v>1601525.3047861864</v>
      </c>
    </row>
    <row r="29" spans="1:14" s="442" customFormat="1" ht="13.7" customHeight="1" x14ac:dyDescent="0.25">
      <c r="A29" s="450" t="s">
        <v>42</v>
      </c>
      <c r="B29" s="451">
        <v>3</v>
      </c>
      <c r="C29" s="439">
        <v>1361986</v>
      </c>
      <c r="D29" s="452">
        <v>32000.5</v>
      </c>
      <c r="E29" s="453">
        <f t="shared" si="0"/>
        <v>91660.123051070987</v>
      </c>
      <c r="G29" s="443">
        <v>19.779999999999998</v>
      </c>
      <c r="H29" s="444">
        <f t="shared" si="1"/>
        <v>0</v>
      </c>
      <c r="I29" s="445">
        <f t="shared" si="2"/>
        <v>0</v>
      </c>
      <c r="J29" s="446">
        <v>92.11666666666666</v>
      </c>
      <c r="K29" s="447">
        <f t="shared" si="3"/>
        <v>0</v>
      </c>
      <c r="L29" s="445">
        <f t="shared" si="4"/>
        <v>0</v>
      </c>
      <c r="M29" s="454">
        <f t="shared" si="6"/>
        <v>0</v>
      </c>
      <c r="N29" s="455">
        <f t="shared" si="5"/>
        <v>1453646.1230510711</v>
      </c>
    </row>
    <row r="30" spans="1:14" s="442" customFormat="1" ht="13.7" customHeight="1" x14ac:dyDescent="0.25">
      <c r="A30" s="450" t="s">
        <v>43</v>
      </c>
      <c r="B30" s="451">
        <v>3</v>
      </c>
      <c r="C30" s="439">
        <v>816610</v>
      </c>
      <c r="D30" s="452">
        <v>23605.5</v>
      </c>
      <c r="E30" s="453">
        <f t="shared" si="0"/>
        <v>67614.03836446481</v>
      </c>
      <c r="G30" s="443">
        <v>20.696666666666669</v>
      </c>
      <c r="H30" s="444">
        <f t="shared" si="1"/>
        <v>0</v>
      </c>
      <c r="I30" s="445">
        <f t="shared" si="2"/>
        <v>0</v>
      </c>
      <c r="J30" s="446">
        <v>93.063333333333347</v>
      </c>
      <c r="K30" s="447">
        <f t="shared" si="3"/>
        <v>0</v>
      </c>
      <c r="L30" s="445">
        <f t="shared" si="4"/>
        <v>0</v>
      </c>
      <c r="M30" s="454">
        <f t="shared" si="6"/>
        <v>0</v>
      </c>
      <c r="N30" s="455">
        <f t="shared" si="5"/>
        <v>884224.03836446477</v>
      </c>
    </row>
    <row r="31" spans="1:14" s="442" customFormat="1" ht="13.7" customHeight="1" x14ac:dyDescent="0.25">
      <c r="A31" s="450" t="s">
        <v>44</v>
      </c>
      <c r="B31" s="451">
        <v>4</v>
      </c>
      <c r="C31" s="439">
        <v>3628527</v>
      </c>
      <c r="D31" s="452">
        <v>110990.5</v>
      </c>
      <c r="E31" s="453">
        <f t="shared" si="0"/>
        <v>317913.87283010874</v>
      </c>
      <c r="G31" s="443">
        <v>19.333333333333332</v>
      </c>
      <c r="H31" s="444">
        <f t="shared" si="1"/>
        <v>0</v>
      </c>
      <c r="I31" s="445">
        <f t="shared" si="2"/>
        <v>0</v>
      </c>
      <c r="J31" s="446">
        <v>91.34333333333332</v>
      </c>
      <c r="K31" s="447">
        <f t="shared" si="3"/>
        <v>0</v>
      </c>
      <c r="L31" s="445">
        <f t="shared" si="4"/>
        <v>0</v>
      </c>
      <c r="M31" s="454">
        <f t="shared" si="6"/>
        <v>0</v>
      </c>
      <c r="N31" s="455">
        <f t="shared" si="5"/>
        <v>3946440.8728301087</v>
      </c>
    </row>
    <row r="32" spans="1:14" s="442" customFormat="1" ht="13.7" customHeight="1" x14ac:dyDescent="0.25">
      <c r="A32" s="450" t="s">
        <v>45</v>
      </c>
      <c r="B32" s="451">
        <v>4</v>
      </c>
      <c r="C32" s="439">
        <v>1879038</v>
      </c>
      <c r="D32" s="452">
        <v>61956.5</v>
      </c>
      <c r="E32" s="453">
        <f t="shared" si="0"/>
        <v>177464.11505487975</v>
      </c>
      <c r="G32" s="443">
        <v>19.470000000000002</v>
      </c>
      <c r="H32" s="444">
        <f t="shared" si="1"/>
        <v>0</v>
      </c>
      <c r="I32" s="445">
        <f t="shared" si="2"/>
        <v>0</v>
      </c>
      <c r="J32" s="446">
        <v>94.583333333333329</v>
      </c>
      <c r="K32" s="447">
        <f t="shared" si="3"/>
        <v>0</v>
      </c>
      <c r="L32" s="445">
        <f t="shared" si="4"/>
        <v>0</v>
      </c>
      <c r="M32" s="454">
        <f t="shared" si="6"/>
        <v>0</v>
      </c>
      <c r="N32" s="455">
        <f t="shared" si="5"/>
        <v>2056502.1150548798</v>
      </c>
    </row>
    <row r="33" spans="1:14" s="442" customFormat="1" ht="13.7" customHeight="1" x14ac:dyDescent="0.25">
      <c r="A33" s="450" t="s">
        <v>46</v>
      </c>
      <c r="B33" s="451">
        <v>4</v>
      </c>
      <c r="C33" s="439">
        <v>2180671</v>
      </c>
      <c r="D33" s="452">
        <v>82331</v>
      </c>
      <c r="E33" s="453">
        <f t="shared" si="0"/>
        <v>235823.48997414808</v>
      </c>
      <c r="G33" s="443">
        <v>22.206666666666667</v>
      </c>
      <c r="H33" s="444">
        <f t="shared" si="1"/>
        <v>0.90089552238805837</v>
      </c>
      <c r="I33" s="445">
        <f t="shared" si="2"/>
        <v>21530.961563886005</v>
      </c>
      <c r="J33" s="446">
        <v>93.926666666666662</v>
      </c>
      <c r="K33" s="447">
        <f t="shared" si="3"/>
        <v>0</v>
      </c>
      <c r="L33" s="445">
        <f t="shared" si="4"/>
        <v>0</v>
      </c>
      <c r="M33" s="454">
        <f t="shared" si="6"/>
        <v>21530.961563886005</v>
      </c>
      <c r="N33" s="455">
        <f t="shared" si="5"/>
        <v>2438025.4515380342</v>
      </c>
    </row>
    <row r="34" spans="1:14" s="442" customFormat="1" ht="13.7" customHeight="1" x14ac:dyDescent="0.25">
      <c r="A34" s="450" t="s">
        <v>47</v>
      </c>
      <c r="B34" s="451">
        <v>4</v>
      </c>
      <c r="C34" s="439">
        <v>2322128</v>
      </c>
      <c r="D34" s="452">
        <v>66364.5</v>
      </c>
      <c r="E34" s="453">
        <f t="shared" si="0"/>
        <v>190090.09972415431</v>
      </c>
      <c r="G34" s="443">
        <v>18.836666666666666</v>
      </c>
      <c r="H34" s="444">
        <f t="shared" si="1"/>
        <v>0</v>
      </c>
      <c r="I34" s="445">
        <f t="shared" si="2"/>
        <v>0</v>
      </c>
      <c r="J34" s="446">
        <v>90.326666666666668</v>
      </c>
      <c r="K34" s="447">
        <f t="shared" si="3"/>
        <v>0</v>
      </c>
      <c r="L34" s="445">
        <f t="shared" si="4"/>
        <v>0</v>
      </c>
      <c r="M34" s="454">
        <f t="shared" si="6"/>
        <v>0</v>
      </c>
      <c r="N34" s="455">
        <f t="shared" si="5"/>
        <v>2512218.0997241545</v>
      </c>
    </row>
    <row r="35" spans="1:14" s="442" customFormat="1" ht="13.7" customHeight="1" x14ac:dyDescent="0.25">
      <c r="A35" s="450" t="s">
        <v>48</v>
      </c>
      <c r="B35" s="451">
        <v>4</v>
      </c>
      <c r="C35" s="439">
        <v>3355013</v>
      </c>
      <c r="D35" s="452">
        <v>105140</v>
      </c>
      <c r="E35" s="453">
        <f t="shared" si="0"/>
        <v>301156.08623582765</v>
      </c>
      <c r="G35" s="443">
        <v>21.403333333333332</v>
      </c>
      <c r="H35" s="444">
        <f t="shared" si="1"/>
        <v>9.7562189054723802E-2</v>
      </c>
      <c r="I35" s="445">
        <f t="shared" si="2"/>
        <v>2331.6885148431306</v>
      </c>
      <c r="J35" s="446">
        <v>98.969999999999985</v>
      </c>
      <c r="K35" s="447">
        <f t="shared" si="3"/>
        <v>3.0038805970148985</v>
      </c>
      <c r="L35" s="445">
        <f t="shared" si="4"/>
        <v>38943.130860678415</v>
      </c>
      <c r="M35" s="454">
        <f t="shared" si="6"/>
        <v>41274.819375521547</v>
      </c>
      <c r="N35" s="455">
        <f t="shared" si="5"/>
        <v>3697443.9056113493</v>
      </c>
    </row>
    <row r="36" spans="1:14" s="442" customFormat="1" ht="13.7" customHeight="1" x14ac:dyDescent="0.25">
      <c r="A36" s="450" t="s">
        <v>49</v>
      </c>
      <c r="B36" s="451">
        <v>4</v>
      </c>
      <c r="C36" s="439">
        <v>4079800</v>
      </c>
      <c r="D36" s="452">
        <v>143072.5</v>
      </c>
      <c r="E36" s="453">
        <f t="shared" si="0"/>
        <v>409807.43910952494</v>
      </c>
      <c r="G36" s="443">
        <v>23.16333333333333</v>
      </c>
      <c r="H36" s="444">
        <f t="shared" si="1"/>
        <v>1.8575621890547218</v>
      </c>
      <c r="I36" s="445">
        <f t="shared" si="2"/>
        <v>44394.826149260603</v>
      </c>
      <c r="J36" s="446">
        <v>99.42</v>
      </c>
      <c r="K36" s="447">
        <f t="shared" si="3"/>
        <v>3.4538805970149156</v>
      </c>
      <c r="L36" s="445">
        <f t="shared" si="4"/>
        <v>44777.054121383524</v>
      </c>
      <c r="M36" s="454">
        <f t="shared" si="6"/>
        <v>89171.88027064412</v>
      </c>
      <c r="N36" s="455">
        <f t="shared" si="5"/>
        <v>4578779.3193801688</v>
      </c>
    </row>
    <row r="37" spans="1:14" s="442" customFormat="1" ht="13.7" customHeight="1" x14ac:dyDescent="0.25">
      <c r="A37" s="450" t="s">
        <v>50</v>
      </c>
      <c r="B37" s="451">
        <v>4</v>
      </c>
      <c r="C37" s="439">
        <v>1935030</v>
      </c>
      <c r="D37" s="452">
        <v>56656</v>
      </c>
      <c r="E37" s="453">
        <f t="shared" si="0"/>
        <v>162281.7122101679</v>
      </c>
      <c r="G37" s="443">
        <v>22.613333333333333</v>
      </c>
      <c r="H37" s="444">
        <f t="shared" si="1"/>
        <v>1.3075621890547247</v>
      </c>
      <c r="I37" s="445">
        <f t="shared" si="2"/>
        <v>31250.095638505194</v>
      </c>
      <c r="J37" s="446">
        <v>98.82</v>
      </c>
      <c r="K37" s="447">
        <f t="shared" si="3"/>
        <v>2.853880597014907</v>
      </c>
      <c r="L37" s="445">
        <f t="shared" si="4"/>
        <v>36998.489773776899</v>
      </c>
      <c r="M37" s="454">
        <f t="shared" si="6"/>
        <v>68248.585412282089</v>
      </c>
      <c r="N37" s="455">
        <f t="shared" ref="N37:N68" si="7">C37+E37+M37</f>
        <v>2165560.2976224502</v>
      </c>
    </row>
    <row r="38" spans="1:14" s="442" customFormat="1" ht="13.7" customHeight="1" x14ac:dyDescent="0.25">
      <c r="A38" s="450" t="s">
        <v>51</v>
      </c>
      <c r="B38" s="451">
        <v>4</v>
      </c>
      <c r="C38" s="439">
        <v>2502316</v>
      </c>
      <c r="D38" s="452">
        <v>64441</v>
      </c>
      <c r="E38" s="453">
        <f t="shared" si="0"/>
        <v>184580.55310179733</v>
      </c>
      <c r="G38" s="443">
        <v>18.353333333333335</v>
      </c>
      <c r="H38" s="444">
        <f t="shared" si="1"/>
        <v>0</v>
      </c>
      <c r="I38" s="445">
        <f t="shared" si="2"/>
        <v>0</v>
      </c>
      <c r="J38" s="446">
        <v>94.173333333333332</v>
      </c>
      <c r="K38" s="447">
        <f t="shared" si="3"/>
        <v>0</v>
      </c>
      <c r="L38" s="445">
        <f t="shared" si="4"/>
        <v>0</v>
      </c>
      <c r="M38" s="454">
        <f t="shared" si="6"/>
        <v>0</v>
      </c>
      <c r="N38" s="455">
        <f t="shared" si="7"/>
        <v>2686896.5531017971</v>
      </c>
    </row>
    <row r="39" spans="1:14" s="442" customFormat="1" ht="13.7" customHeight="1" x14ac:dyDescent="0.25">
      <c r="A39" s="450" t="s">
        <v>52</v>
      </c>
      <c r="B39" s="451">
        <v>4</v>
      </c>
      <c r="C39" s="439">
        <v>2418708</v>
      </c>
      <c r="D39" s="452">
        <v>74613.5</v>
      </c>
      <c r="E39" s="453">
        <f t="shared" si="0"/>
        <v>213717.99163360213</v>
      </c>
      <c r="G39" s="443">
        <v>20.279999999999998</v>
      </c>
      <c r="H39" s="444">
        <f t="shared" si="1"/>
        <v>0</v>
      </c>
      <c r="I39" s="445">
        <f t="shared" si="2"/>
        <v>0</v>
      </c>
      <c r="J39" s="446">
        <v>96.81</v>
      </c>
      <c r="K39" s="447">
        <f t="shared" si="3"/>
        <v>0.84388059701491613</v>
      </c>
      <c r="L39" s="445">
        <f t="shared" si="4"/>
        <v>10940.299209295208</v>
      </c>
      <c r="M39" s="454">
        <f t="shared" si="6"/>
        <v>10940.299209295208</v>
      </c>
      <c r="N39" s="455">
        <f t="shared" si="7"/>
        <v>2643366.2908428973</v>
      </c>
    </row>
    <row r="40" spans="1:14" s="442" customFormat="1" ht="13.7" customHeight="1" x14ac:dyDescent="0.25">
      <c r="A40" s="450" t="s">
        <v>53</v>
      </c>
      <c r="B40" s="451">
        <v>4</v>
      </c>
      <c r="C40" s="439">
        <v>2068328</v>
      </c>
      <c r="D40" s="452">
        <v>56728.5</v>
      </c>
      <c r="E40" s="453">
        <f t="shared" si="0"/>
        <v>162489.37643170203</v>
      </c>
      <c r="G40" s="443">
        <v>21.59</v>
      </c>
      <c r="H40" s="444">
        <f t="shared" si="1"/>
        <v>0.28422885572139123</v>
      </c>
      <c r="I40" s="445">
        <f t="shared" si="2"/>
        <v>6792.9303851601589</v>
      </c>
      <c r="J40" s="446">
        <v>98.536666666666676</v>
      </c>
      <c r="K40" s="447">
        <f t="shared" si="3"/>
        <v>2.5705472636815898</v>
      </c>
      <c r="L40" s="445">
        <f t="shared" si="4"/>
        <v>33325.278831851814</v>
      </c>
      <c r="M40" s="454">
        <f t="shared" si="6"/>
        <v>40118.209217011972</v>
      </c>
      <c r="N40" s="455">
        <f t="shared" si="7"/>
        <v>2270935.5856487141</v>
      </c>
    </row>
    <row r="41" spans="1:14" s="442" customFormat="1" ht="13.7" customHeight="1" x14ac:dyDescent="0.25">
      <c r="A41" s="450" t="s">
        <v>54</v>
      </c>
      <c r="B41" s="451">
        <v>5</v>
      </c>
      <c r="C41" s="439">
        <v>6791555</v>
      </c>
      <c r="D41" s="452">
        <v>189269</v>
      </c>
      <c r="E41" s="453">
        <f t="shared" si="0"/>
        <v>542129.64890402195</v>
      </c>
      <c r="G41" s="443">
        <v>21.25</v>
      </c>
      <c r="H41" s="444">
        <f t="shared" si="1"/>
        <v>0</v>
      </c>
      <c r="I41" s="445">
        <f t="shared" si="2"/>
        <v>0</v>
      </c>
      <c r="J41" s="446">
        <v>97.063333333333333</v>
      </c>
      <c r="K41" s="447">
        <f t="shared" si="3"/>
        <v>1.0972139303482464</v>
      </c>
      <c r="L41" s="445">
        <f t="shared" si="4"/>
        <v>14224.58193384014</v>
      </c>
      <c r="M41" s="454">
        <f t="shared" si="6"/>
        <v>14224.58193384014</v>
      </c>
      <c r="N41" s="455">
        <f t="shared" si="7"/>
        <v>7347909.230837862</v>
      </c>
    </row>
    <row r="42" spans="1:14" s="442" customFormat="1" ht="13.7" customHeight="1" x14ac:dyDescent="0.25">
      <c r="A42" s="450" t="s">
        <v>55</v>
      </c>
      <c r="B42" s="451">
        <v>5</v>
      </c>
      <c r="C42" s="439">
        <v>4823923</v>
      </c>
      <c r="D42" s="452">
        <v>219115</v>
      </c>
      <c r="E42" s="453">
        <f t="shared" si="0"/>
        <v>627618.56415791693</v>
      </c>
      <c r="G42" s="443">
        <v>23.049999999999997</v>
      </c>
      <c r="H42" s="444">
        <f t="shared" si="1"/>
        <v>1.7442288557213885</v>
      </c>
      <c r="I42" s="445">
        <f t="shared" si="2"/>
        <v>41686.215013710986</v>
      </c>
      <c r="J42" s="446">
        <v>96.113333333333344</v>
      </c>
      <c r="K42" s="447">
        <f t="shared" si="3"/>
        <v>0.1472139303482578</v>
      </c>
      <c r="L42" s="445">
        <f t="shared" si="4"/>
        <v>1908.5217167966439</v>
      </c>
      <c r="M42" s="454">
        <f t="shared" si="6"/>
        <v>43594.736730507633</v>
      </c>
      <c r="N42" s="455">
        <f t="shared" si="7"/>
        <v>5495136.3008884247</v>
      </c>
    </row>
    <row r="43" spans="1:14" s="442" customFormat="1" ht="13.7" customHeight="1" x14ac:dyDescent="0.25">
      <c r="A43" s="450" t="s">
        <v>56</v>
      </c>
      <c r="B43" s="451">
        <v>5</v>
      </c>
      <c r="C43" s="439">
        <v>4276406</v>
      </c>
      <c r="D43" s="452">
        <v>150809</v>
      </c>
      <c r="E43" s="453">
        <f t="shared" si="0"/>
        <v>431967.35979778331</v>
      </c>
      <c r="G43" s="443">
        <v>20.79</v>
      </c>
      <c r="H43" s="444">
        <f t="shared" si="1"/>
        <v>0</v>
      </c>
      <c r="I43" s="445">
        <f t="shared" si="2"/>
        <v>0</v>
      </c>
      <c r="J43" s="446">
        <v>96.71</v>
      </c>
      <c r="K43" s="447">
        <f t="shared" si="3"/>
        <v>0.74388059701490761</v>
      </c>
      <c r="L43" s="445">
        <f t="shared" si="4"/>
        <v>9643.8718180273445</v>
      </c>
      <c r="M43" s="454">
        <f t="shared" si="6"/>
        <v>9643.8718180273445</v>
      </c>
      <c r="N43" s="455">
        <f t="shared" si="7"/>
        <v>4718017.2316158107</v>
      </c>
    </row>
    <row r="44" spans="1:14" s="442" customFormat="1" ht="13.7" customHeight="1" x14ac:dyDescent="0.25">
      <c r="A44" s="450" t="s">
        <v>57</v>
      </c>
      <c r="B44" s="451">
        <v>5</v>
      </c>
      <c r="C44" s="439">
        <v>4512090</v>
      </c>
      <c r="D44" s="452">
        <v>154861</v>
      </c>
      <c r="E44" s="453">
        <f t="shared" si="0"/>
        <v>443573.64153097308</v>
      </c>
      <c r="G44" s="443">
        <v>23.123333333333335</v>
      </c>
      <c r="H44" s="444">
        <f t="shared" si="1"/>
        <v>1.8175621890547262</v>
      </c>
      <c r="I44" s="445">
        <f t="shared" si="2"/>
        <v>43438.845748478489</v>
      </c>
      <c r="J44" s="446">
        <v>96.836666666666659</v>
      </c>
      <c r="K44" s="447">
        <f t="shared" si="3"/>
        <v>0.87054726368157276</v>
      </c>
      <c r="L44" s="445">
        <f t="shared" si="4"/>
        <v>11286.013180299811</v>
      </c>
      <c r="M44" s="454">
        <f t="shared" si="6"/>
        <v>54724.858928778296</v>
      </c>
      <c r="N44" s="455">
        <f t="shared" si="7"/>
        <v>5010388.5004597511</v>
      </c>
    </row>
    <row r="45" spans="1:14" s="442" customFormat="1" ht="13.7" customHeight="1" x14ac:dyDescent="0.25">
      <c r="A45" s="450" t="s">
        <v>58</v>
      </c>
      <c r="B45" s="451">
        <v>5</v>
      </c>
      <c r="C45" s="439">
        <v>7608908</v>
      </c>
      <c r="D45" s="452">
        <v>231039.5</v>
      </c>
      <c r="E45" s="453">
        <f t="shared" si="0"/>
        <v>661774.31601562211</v>
      </c>
      <c r="G45" s="443">
        <v>23.650000000000002</v>
      </c>
      <c r="H45" s="444">
        <f t="shared" si="1"/>
        <v>2.3442288557213935</v>
      </c>
      <c r="I45" s="445">
        <f t="shared" si="2"/>
        <v>56025.921025444353</v>
      </c>
      <c r="J45" s="446">
        <v>105.37</v>
      </c>
      <c r="K45" s="447">
        <f t="shared" si="3"/>
        <v>9.4038805970149184</v>
      </c>
      <c r="L45" s="445">
        <f t="shared" si="4"/>
        <v>121914.48390181479</v>
      </c>
      <c r="M45" s="454">
        <f t="shared" si="6"/>
        <v>177940.40492725914</v>
      </c>
      <c r="N45" s="455">
        <f t="shared" si="7"/>
        <v>8448622.720942881</v>
      </c>
    </row>
    <row r="46" spans="1:14" s="442" customFormat="1" ht="13.7" customHeight="1" x14ac:dyDescent="0.25">
      <c r="A46" s="450" t="s">
        <v>59</v>
      </c>
      <c r="B46" s="451">
        <v>5</v>
      </c>
      <c r="C46" s="439">
        <v>4159167</v>
      </c>
      <c r="D46" s="452">
        <v>144363.5</v>
      </c>
      <c r="E46" s="453">
        <f t="shared" si="0"/>
        <v>413505.29441987741</v>
      </c>
      <c r="G46" s="443">
        <v>21.97</v>
      </c>
      <c r="H46" s="444">
        <f t="shared" si="1"/>
        <v>0.66422885572139023</v>
      </c>
      <c r="I46" s="445">
        <f t="shared" si="2"/>
        <v>15874.744192591188</v>
      </c>
      <c r="J46" s="446">
        <v>96.083333333333329</v>
      </c>
      <c r="K46" s="447">
        <f t="shared" si="3"/>
        <v>0.11721393034824246</v>
      </c>
      <c r="L46" s="445">
        <f t="shared" si="4"/>
        <v>1519.5934994161191</v>
      </c>
      <c r="M46" s="454">
        <f t="shared" si="6"/>
        <v>17394.337692007306</v>
      </c>
      <c r="N46" s="455">
        <f t="shared" si="7"/>
        <v>4590066.6321118847</v>
      </c>
    </row>
    <row r="47" spans="1:14" s="442" customFormat="1" ht="13.7" customHeight="1" x14ac:dyDescent="0.25">
      <c r="A47" s="450" t="s">
        <v>60</v>
      </c>
      <c r="B47" s="451">
        <v>5</v>
      </c>
      <c r="C47" s="439">
        <v>7509805</v>
      </c>
      <c r="D47" s="452">
        <v>275059</v>
      </c>
      <c r="E47" s="453">
        <f t="shared" si="0"/>
        <v>787860.87049591518</v>
      </c>
      <c r="G47" s="443">
        <v>23.536666666666665</v>
      </c>
      <c r="H47" s="444">
        <f t="shared" si="1"/>
        <v>2.2308955223880567</v>
      </c>
      <c r="I47" s="445">
        <f t="shared" si="2"/>
        <v>53317.309889894655</v>
      </c>
      <c r="J47" s="446">
        <v>96.56</v>
      </c>
      <c r="K47" s="447">
        <f t="shared" si="3"/>
        <v>0.59388059701491613</v>
      </c>
      <c r="L47" s="445">
        <f t="shared" si="4"/>
        <v>7699.2307311258264</v>
      </c>
      <c r="M47" s="454">
        <f t="shared" si="6"/>
        <v>61016.540621020482</v>
      </c>
      <c r="N47" s="455">
        <f t="shared" si="7"/>
        <v>8358682.4111169362</v>
      </c>
    </row>
    <row r="48" spans="1:14" s="442" customFormat="1" ht="13.7" customHeight="1" x14ac:dyDescent="0.25">
      <c r="A48" s="450" t="s">
        <v>61</v>
      </c>
      <c r="B48" s="451">
        <v>5</v>
      </c>
      <c r="C48" s="439">
        <v>6999941</v>
      </c>
      <c r="D48" s="452">
        <v>215584</v>
      </c>
      <c r="E48" s="453">
        <f t="shared" si="0"/>
        <v>617504.6004856826</v>
      </c>
      <c r="G48" s="443">
        <v>21.3</v>
      </c>
      <c r="H48" s="444">
        <f t="shared" si="1"/>
        <v>0</v>
      </c>
      <c r="I48" s="445">
        <f t="shared" si="2"/>
        <v>0</v>
      </c>
      <c r="J48" s="446">
        <v>92.399999999999991</v>
      </c>
      <c r="K48" s="447">
        <f t="shared" si="3"/>
        <v>0</v>
      </c>
      <c r="L48" s="445">
        <f t="shared" si="4"/>
        <v>0</v>
      </c>
      <c r="M48" s="454">
        <f t="shared" si="6"/>
        <v>0</v>
      </c>
      <c r="N48" s="455">
        <f t="shared" si="7"/>
        <v>7617445.6004856825</v>
      </c>
    </row>
    <row r="49" spans="1:14" s="442" customFormat="1" ht="13.7" customHeight="1" x14ac:dyDescent="0.25">
      <c r="A49" s="450" t="s">
        <v>62</v>
      </c>
      <c r="B49" s="451">
        <v>5</v>
      </c>
      <c r="C49" s="439">
        <v>7923446</v>
      </c>
      <c r="D49" s="452">
        <v>298054</v>
      </c>
      <c r="E49" s="453">
        <f t="shared" si="0"/>
        <v>853726.23289835814</v>
      </c>
      <c r="G49" s="443">
        <v>20.206666666666667</v>
      </c>
      <c r="H49" s="444">
        <f t="shared" si="1"/>
        <v>0</v>
      </c>
      <c r="I49" s="445">
        <f t="shared" si="2"/>
        <v>0</v>
      </c>
      <c r="J49" s="446">
        <v>93.063333333333333</v>
      </c>
      <c r="K49" s="447">
        <f t="shared" si="3"/>
        <v>0</v>
      </c>
      <c r="L49" s="445">
        <f t="shared" si="4"/>
        <v>0</v>
      </c>
      <c r="M49" s="454">
        <f t="shared" si="6"/>
        <v>0</v>
      </c>
      <c r="N49" s="455">
        <f t="shared" si="7"/>
        <v>8777172.2328983583</v>
      </c>
    </row>
    <row r="50" spans="1:14" s="442" customFormat="1" ht="13.7" customHeight="1" x14ac:dyDescent="0.25">
      <c r="A50" s="450" t="s">
        <v>63</v>
      </c>
      <c r="B50" s="451">
        <v>5</v>
      </c>
      <c r="C50" s="439">
        <v>4198761</v>
      </c>
      <c r="D50" s="452">
        <v>111517.5</v>
      </c>
      <c r="E50" s="453">
        <f t="shared" si="0"/>
        <v>319423.376895605</v>
      </c>
      <c r="G50" s="443">
        <v>25.316666666666666</v>
      </c>
      <c r="H50" s="444">
        <f t="shared" si="1"/>
        <v>4.0108955223880578</v>
      </c>
      <c r="I50" s="445">
        <f t="shared" si="2"/>
        <v>95858.437724703326</v>
      </c>
      <c r="J50" s="446">
        <v>103.26666666666667</v>
      </c>
      <c r="K50" s="447">
        <f t="shared" si="3"/>
        <v>7.3005472636815796</v>
      </c>
      <c r="L50" s="445">
        <f t="shared" si="4"/>
        <v>94646.294438816345</v>
      </c>
      <c r="M50" s="454">
        <f t="shared" si="6"/>
        <v>190504.73216351966</v>
      </c>
      <c r="N50" s="455">
        <f t="shared" si="7"/>
        <v>4708689.1090591243</v>
      </c>
    </row>
    <row r="51" spans="1:14" s="442" customFormat="1" ht="13.7" customHeight="1" x14ac:dyDescent="0.25">
      <c r="A51" s="450" t="s">
        <v>64</v>
      </c>
      <c r="B51" s="451">
        <v>5</v>
      </c>
      <c r="C51" s="439">
        <v>4355551</v>
      </c>
      <c r="D51" s="452">
        <v>136998</v>
      </c>
      <c r="E51" s="453">
        <f t="shared" si="0"/>
        <v>392408.04167905572</v>
      </c>
      <c r="G51" s="443">
        <v>22.746666666666666</v>
      </c>
      <c r="H51" s="444">
        <f t="shared" si="1"/>
        <v>1.4408955223880575</v>
      </c>
      <c r="I51" s="445">
        <f t="shared" si="2"/>
        <v>34436.696974445906</v>
      </c>
      <c r="J51" s="446">
        <v>100.18333333333334</v>
      </c>
      <c r="K51" s="447">
        <f t="shared" si="3"/>
        <v>4.217213930348251</v>
      </c>
      <c r="L51" s="445">
        <f t="shared" si="4"/>
        <v>54673.116541394054</v>
      </c>
      <c r="M51" s="454">
        <f t="shared" si="6"/>
        <v>89109.813515839953</v>
      </c>
      <c r="N51" s="455">
        <f t="shared" si="7"/>
        <v>4837068.8551948955</v>
      </c>
    </row>
    <row r="52" spans="1:14" s="442" customFormat="1" ht="13.7" customHeight="1" x14ac:dyDescent="0.25">
      <c r="A52" s="450" t="s">
        <v>65</v>
      </c>
      <c r="B52" s="451">
        <v>5</v>
      </c>
      <c r="C52" s="439">
        <v>4433455</v>
      </c>
      <c r="D52" s="452">
        <v>177600.5</v>
      </c>
      <c r="E52" s="453">
        <f t="shared" si="0"/>
        <v>508707.16657338891</v>
      </c>
      <c r="G52" s="443">
        <v>24.53</v>
      </c>
      <c r="H52" s="444">
        <f t="shared" si="1"/>
        <v>3.2242288557213925</v>
      </c>
      <c r="I52" s="445">
        <f t="shared" si="2"/>
        <v>77057.4898426531</v>
      </c>
      <c r="J52" s="446">
        <v>99.206666666666663</v>
      </c>
      <c r="K52" s="447">
        <f t="shared" si="3"/>
        <v>3.2405472636815773</v>
      </c>
      <c r="L52" s="445">
        <f t="shared" si="4"/>
        <v>42011.342353345586</v>
      </c>
      <c r="M52" s="454">
        <f t="shared" si="6"/>
        <v>119068.83219599869</v>
      </c>
      <c r="N52" s="455">
        <f t="shared" si="7"/>
        <v>5061230.9987693876</v>
      </c>
    </row>
    <row r="53" spans="1:14" s="442" customFormat="1" ht="13.7" customHeight="1" x14ac:dyDescent="0.25">
      <c r="A53" s="450" t="s">
        <v>66</v>
      </c>
      <c r="B53" s="451">
        <v>5</v>
      </c>
      <c r="C53" s="439">
        <v>7932423</v>
      </c>
      <c r="D53" s="452">
        <v>278370</v>
      </c>
      <c r="E53" s="453">
        <f t="shared" si="0"/>
        <v>797344.68066832167</v>
      </c>
      <c r="G53" s="443">
        <v>22.819999999999997</v>
      </c>
      <c r="H53" s="444">
        <f t="shared" si="1"/>
        <v>1.5142288557213881</v>
      </c>
      <c r="I53" s="445">
        <f t="shared" si="2"/>
        <v>36189.327709213234</v>
      </c>
      <c r="J53" s="446">
        <v>97.903333333333322</v>
      </c>
      <c r="K53" s="447">
        <f t="shared" si="3"/>
        <v>1.9372139303482356</v>
      </c>
      <c r="L53" s="445">
        <f>K53/K$73*L$3</f>
        <v>25114.572020489115</v>
      </c>
      <c r="M53" s="454">
        <f t="shared" si="6"/>
        <v>61303.899729702345</v>
      </c>
      <c r="N53" s="455">
        <f t="shared" si="7"/>
        <v>8791071.580398025</v>
      </c>
    </row>
    <row r="54" spans="1:14" s="442" customFormat="1" ht="13.7" customHeight="1" x14ac:dyDescent="0.25">
      <c r="A54" s="450" t="s">
        <v>67</v>
      </c>
      <c r="B54" s="451">
        <v>5</v>
      </c>
      <c r="C54" s="439">
        <v>3982626</v>
      </c>
      <c r="D54" s="452">
        <v>113141.5</v>
      </c>
      <c r="E54" s="453">
        <f t="shared" si="0"/>
        <v>324075.05545796931</v>
      </c>
      <c r="G54" s="443">
        <v>23.73</v>
      </c>
      <c r="H54" s="444">
        <f t="shared" si="1"/>
        <v>2.4242288557213918</v>
      </c>
      <c r="I54" s="445">
        <f t="shared" si="2"/>
        <v>57937.88182700875</v>
      </c>
      <c r="J54" s="446">
        <v>94.856666666666669</v>
      </c>
      <c r="K54" s="447">
        <f t="shared" si="3"/>
        <v>0</v>
      </c>
      <c r="L54" s="445">
        <f t="shared" si="4"/>
        <v>0</v>
      </c>
      <c r="M54" s="454">
        <f t="shared" si="6"/>
        <v>57937.88182700875</v>
      </c>
      <c r="N54" s="455">
        <f t="shared" si="7"/>
        <v>4364638.9372849781</v>
      </c>
    </row>
    <row r="55" spans="1:14" s="442" customFormat="1" ht="13.7" customHeight="1" x14ac:dyDescent="0.25">
      <c r="A55" s="450" t="s">
        <v>68</v>
      </c>
      <c r="B55" s="451">
        <v>6</v>
      </c>
      <c r="C55" s="439">
        <v>13274032</v>
      </c>
      <c r="D55" s="452">
        <v>430377.5</v>
      </c>
      <c r="E55" s="453">
        <f>D55/$D$73*E$3</f>
        <v>1232744.9448731209</v>
      </c>
      <c r="G55" s="443">
        <v>21.496666666666666</v>
      </c>
      <c r="H55" s="444">
        <f t="shared" si="1"/>
        <v>0.19089552238805751</v>
      </c>
      <c r="I55" s="445">
        <f t="shared" si="2"/>
        <v>4562.309450001645</v>
      </c>
      <c r="J55" s="446">
        <v>99.706666666666663</v>
      </c>
      <c r="K55" s="447">
        <f t="shared" si="3"/>
        <v>3.7405472636815773</v>
      </c>
      <c r="L55" s="445">
        <f t="shared" si="4"/>
        <v>48493.479309684342</v>
      </c>
      <c r="M55" s="454">
        <f t="shared" si="6"/>
        <v>53055.788759685987</v>
      </c>
      <c r="N55" s="455">
        <f t="shared" si="7"/>
        <v>14559832.733632807</v>
      </c>
    </row>
    <row r="56" spans="1:14" s="442" customFormat="1" ht="13.7" customHeight="1" x14ac:dyDescent="0.25">
      <c r="A56" s="450" t="s">
        <v>69</v>
      </c>
      <c r="B56" s="451">
        <v>6</v>
      </c>
      <c r="C56" s="439">
        <v>8076991</v>
      </c>
      <c r="D56" s="452">
        <v>248942.5</v>
      </c>
      <c r="E56" s="453">
        <f t="shared" si="0"/>
        <v>713054.48923114443</v>
      </c>
      <c r="G56" s="443">
        <v>20.79</v>
      </c>
      <c r="H56" s="444">
        <f t="shared" si="1"/>
        <v>0</v>
      </c>
      <c r="I56" s="445">
        <f t="shared" si="2"/>
        <v>0</v>
      </c>
      <c r="J56" s="446">
        <v>96.466666666666654</v>
      </c>
      <c r="K56" s="447">
        <f t="shared" si="3"/>
        <v>0.50054726368156821</v>
      </c>
      <c r="L56" s="445">
        <f t="shared" si="4"/>
        <v>6489.2318326090699</v>
      </c>
      <c r="M56" s="454">
        <f t="shared" si="6"/>
        <v>6489.2318326090699</v>
      </c>
      <c r="N56" s="455">
        <f t="shared" si="7"/>
        <v>8796534.7210637536</v>
      </c>
    </row>
    <row r="57" spans="1:14" s="442" customFormat="1" ht="13.7" customHeight="1" x14ac:dyDescent="0.25">
      <c r="A57" s="450" t="s">
        <v>70</v>
      </c>
      <c r="B57" s="451">
        <v>6</v>
      </c>
      <c r="C57" s="439">
        <v>7188994</v>
      </c>
      <c r="D57" s="452">
        <v>286679.5</v>
      </c>
      <c r="E57" s="453">
        <f t="shared" si="0"/>
        <v>821145.86479022214</v>
      </c>
      <c r="G57" s="443">
        <v>21.883333333333336</v>
      </c>
      <c r="H57" s="444">
        <f t="shared" si="1"/>
        <v>0.57756218905472778</v>
      </c>
      <c r="I57" s="445">
        <f t="shared" si="2"/>
        <v>13803.453324229822</v>
      </c>
      <c r="J57" s="446">
        <v>100.02</v>
      </c>
      <c r="K57" s="447">
        <f t="shared" si="3"/>
        <v>4.0538805970149099</v>
      </c>
      <c r="L57" s="445">
        <f t="shared" si="4"/>
        <v>52555.61846898996</v>
      </c>
      <c r="M57" s="454">
        <f t="shared" si="6"/>
        <v>66359.071793219788</v>
      </c>
      <c r="N57" s="455">
        <f t="shared" si="7"/>
        <v>8076498.9365834417</v>
      </c>
    </row>
    <row r="58" spans="1:14" s="442" customFormat="1" ht="13.7" customHeight="1" x14ac:dyDescent="0.25">
      <c r="A58" s="450" t="s">
        <v>71</v>
      </c>
      <c r="B58" s="451">
        <v>6</v>
      </c>
      <c r="C58" s="439">
        <v>9255958</v>
      </c>
      <c r="D58" s="452">
        <v>363686.5</v>
      </c>
      <c r="E58" s="453">
        <f t="shared" si="0"/>
        <v>1041719.6400685403</v>
      </c>
      <c r="G58" s="443">
        <v>24.939999999999998</v>
      </c>
      <c r="H58" s="444">
        <f t="shared" si="1"/>
        <v>3.6342288557213891</v>
      </c>
      <c r="I58" s="445">
        <f t="shared" si="2"/>
        <v>86856.288950670729</v>
      </c>
      <c r="J58" s="446">
        <v>97.546666666666667</v>
      </c>
      <c r="K58" s="447">
        <f t="shared" si="3"/>
        <v>1.5805472636815807</v>
      </c>
      <c r="L58" s="445">
        <f t="shared" si="4"/>
        <v>20490.64765830095</v>
      </c>
      <c r="M58" s="454">
        <f t="shared" si="6"/>
        <v>107346.93660897168</v>
      </c>
      <c r="N58" s="455">
        <f t="shared" si="7"/>
        <v>10405024.576677512</v>
      </c>
    </row>
    <row r="59" spans="1:14" s="442" customFormat="1" ht="13.7" customHeight="1" x14ac:dyDescent="0.25">
      <c r="A59" s="450" t="s">
        <v>72</v>
      </c>
      <c r="B59" s="451">
        <v>6</v>
      </c>
      <c r="C59" s="439">
        <v>13494505</v>
      </c>
      <c r="D59" s="452">
        <v>377394.5</v>
      </c>
      <c r="E59" s="453">
        <f t="shared" si="0"/>
        <v>1080983.9317759851</v>
      </c>
      <c r="G59" s="443">
        <v>23.173333333333336</v>
      </c>
      <c r="H59" s="444">
        <f t="shared" si="1"/>
        <v>1.8675621890547269</v>
      </c>
      <c r="I59" s="445">
        <f t="shared" si="2"/>
        <v>44633.821249456276</v>
      </c>
      <c r="J59" s="446">
        <v>97.740000000000009</v>
      </c>
      <c r="K59" s="447">
        <f t="shared" si="3"/>
        <v>1.773880597014923</v>
      </c>
      <c r="L59" s="445">
        <f t="shared" si="4"/>
        <v>22997.073948085384</v>
      </c>
      <c r="M59" s="454">
        <f t="shared" si="6"/>
        <v>67630.895197541657</v>
      </c>
      <c r="N59" s="455">
        <f t="shared" si="7"/>
        <v>14643119.826973528</v>
      </c>
    </row>
    <row r="60" spans="1:14" s="442" customFormat="1" ht="13.7" customHeight="1" x14ac:dyDescent="0.25">
      <c r="A60" s="450" t="s">
        <v>73</v>
      </c>
      <c r="B60" s="451">
        <v>6</v>
      </c>
      <c r="C60" s="439">
        <v>9701073</v>
      </c>
      <c r="D60" s="452">
        <v>321125</v>
      </c>
      <c r="E60" s="453">
        <f t="shared" si="0"/>
        <v>919809.28469165065</v>
      </c>
      <c r="G60" s="443">
        <v>23.576666666666668</v>
      </c>
      <c r="H60" s="444">
        <f t="shared" si="1"/>
        <v>2.2708955223880594</v>
      </c>
      <c r="I60" s="445">
        <f t="shared" si="2"/>
        <v>54273.290290676938</v>
      </c>
      <c r="J60" s="446">
        <v>101.50666666666666</v>
      </c>
      <c r="K60" s="447">
        <f t="shared" si="3"/>
        <v>5.5405472636815745</v>
      </c>
      <c r="L60" s="445">
        <f t="shared" si="4"/>
        <v>71829.17235250384</v>
      </c>
      <c r="M60" s="454">
        <f t="shared" si="6"/>
        <v>126102.46264318077</v>
      </c>
      <c r="N60" s="455">
        <f t="shared" si="7"/>
        <v>10746984.74733483</v>
      </c>
    </row>
    <row r="61" spans="1:14" s="442" customFormat="1" ht="13.7" customHeight="1" x14ac:dyDescent="0.25">
      <c r="A61" s="450" t="s">
        <v>74</v>
      </c>
      <c r="B61" s="451">
        <v>6</v>
      </c>
      <c r="C61" s="439">
        <v>10400514</v>
      </c>
      <c r="D61" s="452">
        <v>383399.5</v>
      </c>
      <c r="E61" s="453">
        <f t="shared" si="0"/>
        <v>1098184.2579871905</v>
      </c>
      <c r="G61" s="443">
        <v>24.303333333333331</v>
      </c>
      <c r="H61" s="444">
        <f t="shared" si="1"/>
        <v>2.9975621890547224</v>
      </c>
      <c r="I61" s="445">
        <f t="shared" si="2"/>
        <v>71640.267571553777</v>
      </c>
      <c r="J61" s="446">
        <v>99.456666666666663</v>
      </c>
      <c r="K61" s="447">
        <f t="shared" si="3"/>
        <v>3.4905472636815773</v>
      </c>
      <c r="L61" s="445">
        <f t="shared" si="4"/>
        <v>45252.410831514972</v>
      </c>
      <c r="M61" s="454">
        <f t="shared" si="6"/>
        <v>116892.67840306874</v>
      </c>
      <c r="N61" s="455">
        <f t="shared" si="7"/>
        <v>11615590.936390258</v>
      </c>
    </row>
    <row r="62" spans="1:14" s="442" customFormat="1" ht="13.7" customHeight="1" x14ac:dyDescent="0.25">
      <c r="A62" s="450" t="s">
        <v>75</v>
      </c>
      <c r="B62" s="451">
        <v>7</v>
      </c>
      <c r="C62" s="439">
        <v>14097366</v>
      </c>
      <c r="D62" s="452">
        <v>613453.5</v>
      </c>
      <c r="E62" s="453">
        <f t="shared" si="0"/>
        <v>1757135.7727569935</v>
      </c>
      <c r="G62" s="443">
        <v>23.813333333333333</v>
      </c>
      <c r="H62" s="444">
        <f>IF(G62&gt;G$73,G62-G$73,0)</f>
        <v>2.5075621890547239</v>
      </c>
      <c r="I62" s="445">
        <f t="shared" si="2"/>
        <v>59929.507661971664</v>
      </c>
      <c r="J62" s="446">
        <v>100.41666666666667</v>
      </c>
      <c r="K62" s="447">
        <f t="shared" si="3"/>
        <v>4.4505472636815853</v>
      </c>
      <c r="L62" s="445">
        <f t="shared" si="4"/>
        <v>57698.113787685492</v>
      </c>
      <c r="M62" s="454">
        <f t="shared" si="6"/>
        <v>117627.62144965716</v>
      </c>
      <c r="N62" s="455">
        <f t="shared" si="7"/>
        <v>15972129.394206651</v>
      </c>
    </row>
    <row r="63" spans="1:14" s="442" customFormat="1" ht="13.7" customHeight="1" x14ac:dyDescent="0.25">
      <c r="A63" s="450" t="s">
        <v>76</v>
      </c>
      <c r="B63" s="451">
        <v>7</v>
      </c>
      <c r="C63" s="439">
        <v>26391476</v>
      </c>
      <c r="D63" s="452">
        <v>770125</v>
      </c>
      <c r="E63" s="453">
        <f t="shared" si="0"/>
        <v>2205895.2911581392</v>
      </c>
      <c r="G63" s="443">
        <v>23.633333333333336</v>
      </c>
      <c r="H63" s="444">
        <f t="shared" si="1"/>
        <v>2.3275621890547278</v>
      </c>
      <c r="I63" s="445">
        <f t="shared" si="2"/>
        <v>55627.595858451787</v>
      </c>
      <c r="J63" s="446">
        <v>100.04</v>
      </c>
      <c r="K63" s="447">
        <f t="shared" si="3"/>
        <v>4.0738805970149201</v>
      </c>
      <c r="L63" s="445">
        <f t="shared" si="4"/>
        <v>52814.903947243642</v>
      </c>
      <c r="M63" s="454">
        <f t="shared" si="6"/>
        <v>108442.49980569544</v>
      </c>
      <c r="N63" s="455">
        <f t="shared" si="7"/>
        <v>28705813.790963836</v>
      </c>
    </row>
    <row r="64" spans="1:14" s="442" customFormat="1" ht="13.7" customHeight="1" x14ac:dyDescent="0.25">
      <c r="A64" s="450" t="s">
        <v>77</v>
      </c>
      <c r="B64" s="451">
        <v>7</v>
      </c>
      <c r="C64" s="439">
        <v>15326014</v>
      </c>
      <c r="D64" s="452">
        <v>723401</v>
      </c>
      <c r="E64" s="453">
        <f t="shared" si="0"/>
        <v>2072062.1451311014</v>
      </c>
      <c r="G64" s="443">
        <v>21.17</v>
      </c>
      <c r="H64" s="444">
        <f t="shared" si="1"/>
        <v>0</v>
      </c>
      <c r="I64" s="445">
        <f t="shared" si="2"/>
        <v>0</v>
      </c>
      <c r="J64" s="446">
        <v>96.50333333333333</v>
      </c>
      <c r="K64" s="447">
        <f t="shared" si="3"/>
        <v>0.53721393034824416</v>
      </c>
      <c r="L64" s="445">
        <f t="shared" si="4"/>
        <v>6964.5885427406984</v>
      </c>
      <c r="M64" s="454">
        <f t="shared" si="6"/>
        <v>6964.5885427406984</v>
      </c>
      <c r="N64" s="455">
        <f t="shared" si="7"/>
        <v>17405040.733673841</v>
      </c>
    </row>
    <row r="65" spans="1:14" s="442" customFormat="1" ht="13.7" customHeight="1" x14ac:dyDescent="0.25">
      <c r="A65" s="450" t="s">
        <v>78</v>
      </c>
      <c r="B65" s="451">
        <v>7</v>
      </c>
      <c r="C65" s="439">
        <v>14040535</v>
      </c>
      <c r="D65" s="452">
        <v>540338.5</v>
      </c>
      <c r="E65" s="453">
        <f t="shared" si="0"/>
        <v>1547709.985757445</v>
      </c>
      <c r="G65" s="443">
        <v>20.77333333333333</v>
      </c>
      <c r="H65" s="444">
        <f t="shared" si="1"/>
        <v>0</v>
      </c>
      <c r="I65" s="445">
        <f t="shared" si="2"/>
        <v>0</v>
      </c>
      <c r="J65" s="446">
        <v>93.36333333333333</v>
      </c>
      <c r="K65" s="447">
        <f t="shared" si="3"/>
        <v>0</v>
      </c>
      <c r="L65" s="445">
        <f t="shared" si="4"/>
        <v>0</v>
      </c>
      <c r="M65" s="454">
        <f t="shared" si="6"/>
        <v>0</v>
      </c>
      <c r="N65" s="455">
        <f t="shared" si="7"/>
        <v>15588244.985757444</v>
      </c>
    </row>
    <row r="66" spans="1:14" s="442" customFormat="1" ht="13.7" customHeight="1" x14ac:dyDescent="0.25">
      <c r="A66" s="450" t="s">
        <v>79</v>
      </c>
      <c r="B66" s="451">
        <v>8</v>
      </c>
      <c r="C66" s="439">
        <v>45863743</v>
      </c>
      <c r="D66" s="452">
        <v>1518803.5</v>
      </c>
      <c r="E66" s="453">
        <f t="shared" si="0"/>
        <v>4350360.6412523957</v>
      </c>
      <c r="G66" s="443">
        <v>24.783333333333331</v>
      </c>
      <c r="H66" s="444">
        <f t="shared" si="1"/>
        <v>3.4775621890547228</v>
      </c>
      <c r="I66" s="445">
        <f t="shared" si="2"/>
        <v>83112.032380940393</v>
      </c>
      <c r="J66" s="446">
        <v>102.91333333333334</v>
      </c>
      <c r="K66" s="447">
        <f t="shared" si="3"/>
        <v>6.947213930348255</v>
      </c>
      <c r="L66" s="445">
        <f t="shared" si="4"/>
        <v>90065.584323003728</v>
      </c>
      <c r="M66" s="454">
        <f t="shared" si="6"/>
        <v>173177.61670394411</v>
      </c>
      <c r="N66" s="455">
        <f t="shared" si="7"/>
        <v>50387281.257956341</v>
      </c>
    </row>
    <row r="67" spans="1:14" s="442" customFormat="1" ht="13.7" customHeight="1" x14ac:dyDescent="0.25">
      <c r="A67" s="450" t="s">
        <v>80</v>
      </c>
      <c r="B67" s="451">
        <v>8</v>
      </c>
      <c r="C67" s="439">
        <v>23769047</v>
      </c>
      <c r="D67" s="452">
        <v>958610.5</v>
      </c>
      <c r="E67" s="453">
        <f t="shared" si="0"/>
        <v>2745780.7343025478</v>
      </c>
      <c r="G67" s="443">
        <v>22.029999999999998</v>
      </c>
      <c r="H67" s="444">
        <f t="shared" si="1"/>
        <v>0.72422885572138895</v>
      </c>
      <c r="I67" s="445">
        <f t="shared" si="2"/>
        <v>17308.714793764484</v>
      </c>
      <c r="J67" s="446">
        <v>100.94333333333333</v>
      </c>
      <c r="K67" s="447">
        <f t="shared" si="3"/>
        <v>4.9772139303482419</v>
      </c>
      <c r="L67" s="445">
        <f t="shared" si="4"/>
        <v>64525.964715028858</v>
      </c>
      <c r="M67" s="454">
        <f t="shared" si="6"/>
        <v>81834.679508793342</v>
      </c>
      <c r="N67" s="455">
        <f t="shared" si="7"/>
        <v>26596662.413811341</v>
      </c>
    </row>
    <row r="68" spans="1:14" s="442" customFormat="1" ht="13.7" customHeight="1" x14ac:dyDescent="0.25">
      <c r="A68" s="450" t="s">
        <v>81</v>
      </c>
      <c r="B68" s="451">
        <v>8</v>
      </c>
      <c r="C68" s="439">
        <v>36625590</v>
      </c>
      <c r="D68" s="452">
        <v>1250227</v>
      </c>
      <c r="E68" s="453">
        <f t="shared" si="0"/>
        <v>3581067.8164957212</v>
      </c>
      <c r="G68" s="443">
        <v>24.013333333333332</v>
      </c>
      <c r="H68" s="444">
        <f t="shared" si="1"/>
        <v>2.7075621890547232</v>
      </c>
      <c r="I68" s="445">
        <f t="shared" si="2"/>
        <v>64709.409665882733</v>
      </c>
      <c r="J68" s="446">
        <v>101.61666666666667</v>
      </c>
      <c r="K68" s="447">
        <f t="shared" si="3"/>
        <v>5.6505472636815881</v>
      </c>
      <c r="L68" s="445">
        <f t="shared" si="4"/>
        <v>73255.242482898553</v>
      </c>
      <c r="M68" s="454">
        <f t="shared" si="6"/>
        <v>137964.65214878129</v>
      </c>
      <c r="N68" s="455">
        <f t="shared" si="7"/>
        <v>40344622.468644507</v>
      </c>
    </row>
    <row r="69" spans="1:14" s="442" customFormat="1" ht="13.7" customHeight="1" x14ac:dyDescent="0.25">
      <c r="A69" s="450" t="s">
        <v>82</v>
      </c>
      <c r="B69" s="451">
        <v>8</v>
      </c>
      <c r="C69" s="439">
        <v>85979829</v>
      </c>
      <c r="D69" s="452">
        <v>3662500</v>
      </c>
      <c r="E69" s="453">
        <f t="shared" ref="E69:E71" si="8">D69/$D$73*E$3</f>
        <v>10490623.605085779</v>
      </c>
      <c r="G69" s="443">
        <v>25.003333333333334</v>
      </c>
      <c r="H69" s="444">
        <f t="shared" ref="H69:H71" si="9">IF(G69&gt;G$73,G69-G$73,0)</f>
        <v>3.6975621890547252</v>
      </c>
      <c r="I69" s="445">
        <f t="shared" ref="I69:I71" si="10">H69/H$73*I$3</f>
        <v>88369.924585242639</v>
      </c>
      <c r="J69" s="446">
        <v>104.52</v>
      </c>
      <c r="K69" s="447">
        <f t="shared" ref="K69:K71" si="11">IF(J69&gt;J$73,J69-J$73,0)</f>
        <v>8.5538805970149099</v>
      </c>
      <c r="L69" s="445">
        <f t="shared" ref="L69:L71" si="12">K69/K$73*L$3</f>
        <v>110894.85107603879</v>
      </c>
      <c r="M69" s="454">
        <f t="shared" si="6"/>
        <v>199264.77566128143</v>
      </c>
      <c r="N69" s="455">
        <f t="shared" ref="N69:N71" si="13">C69+E69+M69</f>
        <v>96669717.38074705</v>
      </c>
    </row>
    <row r="70" spans="1:14" ht="13.7" customHeight="1" x14ac:dyDescent="0.25">
      <c r="A70" s="450" t="s">
        <v>83</v>
      </c>
      <c r="B70" s="451">
        <v>8</v>
      </c>
      <c r="C70" s="439">
        <v>35410487</v>
      </c>
      <c r="D70" s="452">
        <v>1419366</v>
      </c>
      <c r="E70" s="453">
        <f t="shared" si="8"/>
        <v>4065538.4201655104</v>
      </c>
      <c r="G70" s="443">
        <v>24.756666666666664</v>
      </c>
      <c r="H70" s="444">
        <f t="shared" si="9"/>
        <v>3.4508955223880555</v>
      </c>
      <c r="I70" s="445">
        <f t="shared" si="10"/>
        <v>82474.712113752234</v>
      </c>
      <c r="J70" s="446">
        <v>100.89999999999999</v>
      </c>
      <c r="K70" s="447">
        <f t="shared" si="11"/>
        <v>4.9338805970149053</v>
      </c>
      <c r="L70" s="445">
        <f t="shared" si="12"/>
        <v>63964.179512146111</v>
      </c>
      <c r="M70" s="454">
        <f t="shared" ref="M70:M71" si="14">I70+L70</f>
        <v>146438.89162589834</v>
      </c>
      <c r="N70" s="455">
        <f t="shared" si="13"/>
        <v>39622464.311791405</v>
      </c>
    </row>
    <row r="71" spans="1:14" ht="13.7" customHeight="1" thickBot="1" x14ac:dyDescent="0.3">
      <c r="A71" s="457" t="s">
        <v>84</v>
      </c>
      <c r="B71" s="458">
        <v>8</v>
      </c>
      <c r="C71" s="439">
        <v>35457082</v>
      </c>
      <c r="D71" s="452">
        <v>1177457.5</v>
      </c>
      <c r="E71" s="453">
        <f t="shared" si="8"/>
        <v>3372631.6569243111</v>
      </c>
      <c r="G71" s="459">
        <v>24.986666666666665</v>
      </c>
      <c r="H71" s="460">
        <f t="shared" si="9"/>
        <v>3.680895522388056</v>
      </c>
      <c r="I71" s="461">
        <f t="shared" si="10"/>
        <v>87971.599418249985</v>
      </c>
      <c r="J71" s="462">
        <v>103.87333333333333</v>
      </c>
      <c r="K71" s="463">
        <f t="shared" si="11"/>
        <v>7.9072139303482487</v>
      </c>
      <c r="L71" s="461">
        <f t="shared" si="12"/>
        <v>102511.28727917407</v>
      </c>
      <c r="M71" s="464">
        <f t="shared" si="14"/>
        <v>190482.88669742405</v>
      </c>
      <c r="N71" s="465">
        <f t="shared" si="13"/>
        <v>39020196.543621734</v>
      </c>
    </row>
    <row r="72" spans="1:14" ht="14.25" thickBot="1" x14ac:dyDescent="0.3">
      <c r="A72" s="466"/>
      <c r="B72" s="467"/>
      <c r="C72" s="468"/>
      <c r="D72" s="469"/>
      <c r="E72" s="470"/>
      <c r="G72" s="471"/>
      <c r="H72" s="471"/>
      <c r="I72" s="468"/>
      <c r="J72" s="471"/>
      <c r="K72" s="471"/>
      <c r="L72" s="468"/>
      <c r="M72" s="472"/>
      <c r="N72" s="472"/>
    </row>
    <row r="73" spans="1:14" s="476" customFormat="1" ht="14.25" thickBot="1" x14ac:dyDescent="0.3">
      <c r="A73" s="529" t="s">
        <v>85</v>
      </c>
      <c r="B73" s="529"/>
      <c r="C73" s="473">
        <f>SUM(C5:C71)</f>
        <v>532475488</v>
      </c>
      <c r="D73" s="474">
        <f>SUM(D5:D71)</f>
        <v>19109598</v>
      </c>
      <c r="E73" s="475">
        <f t="shared" ref="E73" si="15">SUM(E5:E71)</f>
        <v>54736273</v>
      </c>
      <c r="G73" s="477">
        <f>'[9]Calculation '!I72</f>
        <v>21.305771144278609</v>
      </c>
      <c r="H73" s="477">
        <f>SUM(H5:H71)</f>
        <v>60.270199004975069</v>
      </c>
      <c r="I73" s="478">
        <f>SUM(I5:I71)</f>
        <v>1440428.2250000003</v>
      </c>
      <c r="J73" s="479">
        <f>'[9]Calculation '!M72</f>
        <v>95.966119402985086</v>
      </c>
      <c r="K73" s="479">
        <f>SUM(K5:K71)</f>
        <v>111.10751243781054</v>
      </c>
      <c r="L73" s="480">
        <f>SUM(L5:L71)</f>
        <v>1440428.2250000001</v>
      </c>
      <c r="M73" s="481">
        <f>SUM(M5:M71)</f>
        <v>2880856.45</v>
      </c>
      <c r="N73" s="482">
        <f t="shared" ref="N73" si="16">SUM(N5:N71)</f>
        <v>590092617.45000005</v>
      </c>
    </row>
    <row r="74" spans="1:14" ht="13.7" customHeight="1" x14ac:dyDescent="0.25">
      <c r="C74" s="483"/>
      <c r="D74" s="483"/>
      <c r="E74" s="483"/>
      <c r="G74" s="483"/>
      <c r="H74" s="483"/>
      <c r="I74" s="483"/>
      <c r="J74" s="483"/>
      <c r="K74" s="483"/>
      <c r="L74" s="483"/>
      <c r="M74" s="483"/>
      <c r="N74" s="483"/>
    </row>
    <row r="75" spans="1:14" x14ac:dyDescent="0.25">
      <c r="C75" s="484"/>
      <c r="I75" s="485"/>
      <c r="L75" s="485"/>
      <c r="M75" s="485"/>
    </row>
    <row r="76" spans="1:14" x14ac:dyDescent="0.25">
      <c r="A76" s="486"/>
      <c r="N76" s="487"/>
    </row>
    <row r="77" spans="1:14" x14ac:dyDescent="0.25">
      <c r="I77" s="487"/>
      <c r="L77" s="487"/>
      <c r="M77" s="487"/>
    </row>
    <row r="78" spans="1:14" x14ac:dyDescent="0.25">
      <c r="I78" s="485"/>
      <c r="L78" s="485"/>
      <c r="M78" s="485"/>
    </row>
    <row r="82" spans="14:14" x14ac:dyDescent="0.25">
      <c r="N82" s="483"/>
    </row>
    <row r="83" spans="14:14" x14ac:dyDescent="0.25">
      <c r="N83" s="488"/>
    </row>
  </sheetData>
  <autoFilter ref="A4:N4" xr:uid="{3D8D6DC6-7D6E-4484-826F-ECC1341D77B3}"/>
  <mergeCells count="2">
    <mergeCell ref="G1:N1"/>
    <mergeCell ref="A73:B7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8ECA-8898-4D7A-B5EF-064E2862B22D}">
  <dimension ref="A1:E320"/>
  <sheetViews>
    <sheetView zoomScale="110" zoomScaleNormal="110" workbookViewId="0">
      <pane ySplit="1" topLeftCell="A274" activePane="bottomLeft" state="frozen"/>
      <selection pane="bottomLeft" activeCell="F161" sqref="F161"/>
    </sheetView>
  </sheetViews>
  <sheetFormatPr defaultRowHeight="15" x14ac:dyDescent="0.25"/>
  <cols>
    <col min="1" max="1" width="17.42578125" bestFit="1" customWidth="1"/>
    <col min="2" max="2" width="17" customWidth="1"/>
    <col min="3" max="3" width="23.140625" style="131" customWidth="1"/>
    <col min="4" max="4" width="10.5703125" customWidth="1"/>
    <col min="5" max="5" width="21" customWidth="1"/>
  </cols>
  <sheetData>
    <row r="1" spans="1:5" s="104" customFormat="1" ht="47.25" x14ac:dyDescent="0.3">
      <c r="A1" s="101" t="s">
        <v>11</v>
      </c>
      <c r="B1" s="101" t="s">
        <v>95</v>
      </c>
      <c r="C1" s="102" t="s">
        <v>96</v>
      </c>
      <c r="D1" s="103" t="s">
        <v>97</v>
      </c>
      <c r="E1" s="103" t="s">
        <v>171</v>
      </c>
    </row>
    <row r="2" spans="1:5" ht="15.75" x14ac:dyDescent="0.3">
      <c r="A2" s="105" t="s">
        <v>54</v>
      </c>
      <c r="B2" s="105" t="s">
        <v>98</v>
      </c>
      <c r="C2" s="106">
        <v>3365123.9471999984</v>
      </c>
      <c r="D2" s="107">
        <v>-4.4000000000000003E-3</v>
      </c>
      <c r="E2" s="108">
        <f>C2*D2</f>
        <v>-14806.545367679993</v>
      </c>
    </row>
    <row r="3" spans="1:5" ht="15.75" x14ac:dyDescent="0.3">
      <c r="A3" s="105" t="s">
        <v>54</v>
      </c>
      <c r="B3" s="105" t="s">
        <v>99</v>
      </c>
      <c r="C3" s="106">
        <v>533136.97440000006</v>
      </c>
      <c r="D3" s="107">
        <v>-6.4000000000000003E-3</v>
      </c>
      <c r="E3" s="108">
        <f>C3*D3</f>
        <v>-3412.0766361600004</v>
      </c>
    </row>
    <row r="4" spans="1:5" ht="15.75" x14ac:dyDescent="0.3">
      <c r="A4" s="105" t="s">
        <v>54</v>
      </c>
      <c r="B4" s="105" t="s">
        <v>100</v>
      </c>
      <c r="C4" s="106">
        <v>525244.75199999998</v>
      </c>
      <c r="D4" s="107">
        <v>1E-3</v>
      </c>
      <c r="E4" s="108">
        <f>C4*D4</f>
        <v>525.24475199999995</v>
      </c>
    </row>
    <row r="5" spans="1:5" ht="15.75" x14ac:dyDescent="0.3">
      <c r="A5" s="105" t="s">
        <v>54</v>
      </c>
      <c r="B5" s="105" t="s">
        <v>101</v>
      </c>
      <c r="C5" s="106">
        <v>117867.1</v>
      </c>
      <c r="D5" s="107">
        <v>4.3E-3</v>
      </c>
      <c r="E5" s="108">
        <f>C5*D5</f>
        <v>506.82853</v>
      </c>
    </row>
    <row r="6" spans="1:5" s="111" customFormat="1" ht="15.75" x14ac:dyDescent="0.3">
      <c r="A6" s="109" t="s">
        <v>102</v>
      </c>
      <c r="B6" s="109"/>
      <c r="C6" s="251">
        <f>SUM(C2:C5)</f>
        <v>4541372.7735999981</v>
      </c>
      <c r="D6" s="110"/>
      <c r="E6" s="110">
        <f>SUM(E2:E5)</f>
        <v>-17186.548721839998</v>
      </c>
    </row>
    <row r="7" spans="1:5" ht="15.75" x14ac:dyDescent="0.3">
      <c r="A7" s="105" t="s">
        <v>22</v>
      </c>
      <c r="B7" s="105" t="s">
        <v>98</v>
      </c>
      <c r="C7" s="106">
        <v>533116.14269999997</v>
      </c>
      <c r="D7" s="107">
        <v>-4.4000000000000003E-3</v>
      </c>
      <c r="E7" s="108">
        <f>C7*D7</f>
        <v>-2345.7110278800001</v>
      </c>
    </row>
    <row r="8" spans="1:5" ht="15.75" x14ac:dyDescent="0.3">
      <c r="A8" s="105" t="s">
        <v>22</v>
      </c>
      <c r="B8" s="105" t="s">
        <v>99</v>
      </c>
      <c r="C8" s="106"/>
      <c r="D8" s="107">
        <v>-6.4000000000000003E-3</v>
      </c>
      <c r="E8" s="108">
        <f>C8*D8</f>
        <v>0</v>
      </c>
    </row>
    <row r="9" spans="1:5" ht="15.75" x14ac:dyDescent="0.3">
      <c r="A9" s="105" t="s">
        <v>22</v>
      </c>
      <c r="B9" s="105" t="s">
        <v>100</v>
      </c>
      <c r="C9" s="106"/>
      <c r="D9" s="107">
        <v>1E-3</v>
      </c>
      <c r="E9" s="108">
        <f>C9*D9</f>
        <v>0</v>
      </c>
    </row>
    <row r="10" spans="1:5" ht="15.75" x14ac:dyDescent="0.3">
      <c r="A10" s="105" t="s">
        <v>22</v>
      </c>
      <c r="B10" s="105" t="s">
        <v>101</v>
      </c>
      <c r="C10" s="106">
        <v>130552.38</v>
      </c>
      <c r="D10" s="107">
        <v>4.3E-3</v>
      </c>
      <c r="E10" s="108">
        <f>C10*D10</f>
        <v>561.37523399999998</v>
      </c>
    </row>
    <row r="11" spans="1:5" s="111" customFormat="1" ht="15.75" x14ac:dyDescent="0.3">
      <c r="A11" s="109" t="s">
        <v>103</v>
      </c>
      <c r="B11" s="109"/>
      <c r="C11" s="251">
        <f>SUM(C7:C10)</f>
        <v>663668.52269999997</v>
      </c>
      <c r="D11" s="110"/>
      <c r="E11" s="110">
        <f>SUM(E7:E10)</f>
        <v>-1784.33579388</v>
      </c>
    </row>
    <row r="12" spans="1:5" ht="15.75" x14ac:dyDescent="0.3">
      <c r="A12" s="105" t="s">
        <v>55</v>
      </c>
      <c r="B12" s="105" t="s">
        <v>98</v>
      </c>
      <c r="C12" s="106">
        <v>1847705.7075360003</v>
      </c>
      <c r="D12" s="107">
        <v>-4.4000000000000003E-3</v>
      </c>
      <c r="E12" s="108">
        <f>C12*D12</f>
        <v>-8129.9051131584019</v>
      </c>
    </row>
    <row r="13" spans="1:5" ht="15.75" x14ac:dyDescent="0.3">
      <c r="A13" s="105" t="s">
        <v>55</v>
      </c>
      <c r="B13" s="105" t="s">
        <v>99</v>
      </c>
      <c r="C13" s="106">
        <v>278705.94419199997</v>
      </c>
      <c r="D13" s="107">
        <v>-6.4000000000000003E-3</v>
      </c>
      <c r="E13" s="108">
        <f>C13*D13</f>
        <v>-1783.7180428288</v>
      </c>
    </row>
    <row r="14" spans="1:5" ht="15.75" x14ac:dyDescent="0.3">
      <c r="A14" s="105" t="s">
        <v>55</v>
      </c>
      <c r="B14" s="105" t="s">
        <v>100</v>
      </c>
      <c r="C14" s="106">
        <v>363465.49505600001</v>
      </c>
      <c r="D14" s="107">
        <v>1E-3</v>
      </c>
      <c r="E14" s="108">
        <f>C14*D14</f>
        <v>363.46549505600001</v>
      </c>
    </row>
    <row r="15" spans="1:5" ht="15.75" x14ac:dyDescent="0.3">
      <c r="A15" s="105" t="s">
        <v>55</v>
      </c>
      <c r="B15" s="105" t="s">
        <v>101</v>
      </c>
      <c r="C15" s="106">
        <v>99237.841039999999</v>
      </c>
      <c r="D15" s="107">
        <v>4.3E-3</v>
      </c>
      <c r="E15" s="108">
        <f>C15*D15</f>
        <v>426.722716472</v>
      </c>
    </row>
    <row r="16" spans="1:5" s="111" customFormat="1" ht="15.75" x14ac:dyDescent="0.3">
      <c r="A16" s="109" t="s">
        <v>104</v>
      </c>
      <c r="B16" s="109"/>
      <c r="C16" s="251">
        <f>SUM(C12:C15)</f>
        <v>2589114.9878240004</v>
      </c>
      <c r="D16" s="110"/>
      <c r="E16" s="110">
        <f>SUM(E12:E15)</f>
        <v>-9123.4349444592008</v>
      </c>
    </row>
    <row r="17" spans="1:5" ht="15.75" x14ac:dyDescent="0.3">
      <c r="A17" s="105" t="s">
        <v>34</v>
      </c>
      <c r="B17" s="105" t="s">
        <v>98</v>
      </c>
      <c r="C17" s="106">
        <v>515271.12</v>
      </c>
      <c r="D17" s="107">
        <v>-4.4000000000000003E-3</v>
      </c>
      <c r="E17" s="108">
        <f>C17*D17</f>
        <v>-2267.1929279999999</v>
      </c>
    </row>
    <row r="18" spans="1:5" ht="15.75" x14ac:dyDescent="0.3">
      <c r="A18" s="105" t="s">
        <v>34</v>
      </c>
      <c r="B18" s="105" t="s">
        <v>99</v>
      </c>
      <c r="C18" s="106">
        <v>93042.559999999998</v>
      </c>
      <c r="D18" s="107">
        <v>-6.4000000000000003E-3</v>
      </c>
      <c r="E18" s="108">
        <f>C18*D18</f>
        <v>-595.47238400000003</v>
      </c>
    </row>
    <row r="19" spans="1:5" ht="15.75" x14ac:dyDescent="0.3">
      <c r="A19" s="105" t="s">
        <v>34</v>
      </c>
      <c r="B19" s="105" t="s">
        <v>101</v>
      </c>
      <c r="C19" s="106">
        <v>81125.099999999991</v>
      </c>
      <c r="D19" s="107">
        <v>4.3E-3</v>
      </c>
      <c r="E19" s="108">
        <f>C19*D19</f>
        <v>348.83792999999997</v>
      </c>
    </row>
    <row r="20" spans="1:5" s="111" customFormat="1" ht="15.75" x14ac:dyDescent="0.3">
      <c r="A20" s="109" t="s">
        <v>105</v>
      </c>
      <c r="B20" s="109"/>
      <c r="C20" s="251">
        <f>SUM(C17:C19)</f>
        <v>689438.77999999991</v>
      </c>
      <c r="D20" s="110"/>
      <c r="E20" s="110">
        <f>SUM(E17:E19)</f>
        <v>-2513.8273819999999</v>
      </c>
    </row>
    <row r="21" spans="1:5" ht="15.75" x14ac:dyDescent="0.3">
      <c r="A21" s="105" t="s">
        <v>68</v>
      </c>
      <c r="B21" s="105" t="s">
        <v>98</v>
      </c>
      <c r="C21" s="106">
        <v>7026980.9549000002</v>
      </c>
      <c r="D21" s="107">
        <v>-4.4000000000000003E-3</v>
      </c>
      <c r="E21" s="108">
        <f>C21*D21</f>
        <v>-30918.716201560004</v>
      </c>
    </row>
    <row r="22" spans="1:5" ht="15.75" x14ac:dyDescent="0.3">
      <c r="A22" s="105" t="s">
        <v>68</v>
      </c>
      <c r="B22" s="105" t="s">
        <v>99</v>
      </c>
      <c r="C22" s="106">
        <v>349425.16500000004</v>
      </c>
      <c r="D22" s="107">
        <v>-6.4000000000000003E-3</v>
      </c>
      <c r="E22" s="108">
        <f>C22*D22</f>
        <v>-2236.3210560000002</v>
      </c>
    </row>
    <row r="23" spans="1:5" ht="15.75" x14ac:dyDescent="0.3">
      <c r="A23" s="105" t="s">
        <v>68</v>
      </c>
      <c r="B23" s="105" t="s">
        <v>100</v>
      </c>
      <c r="C23" s="106">
        <v>1086803.9180999999</v>
      </c>
      <c r="D23" s="107">
        <v>1E-3</v>
      </c>
      <c r="E23" s="108">
        <f>C23*D23</f>
        <v>1086.8039180999999</v>
      </c>
    </row>
    <row r="24" spans="1:5" ht="15.75" x14ac:dyDescent="0.3">
      <c r="A24" s="105" t="s">
        <v>68</v>
      </c>
      <c r="B24" s="105" t="s">
        <v>101</v>
      </c>
      <c r="C24" s="106">
        <v>134806.81230000002</v>
      </c>
      <c r="D24" s="107">
        <v>4.3E-3</v>
      </c>
      <c r="E24" s="108">
        <f>C24*D24</f>
        <v>579.66929289000007</v>
      </c>
    </row>
    <row r="25" spans="1:5" s="111" customFormat="1" ht="15.75" x14ac:dyDescent="0.3">
      <c r="A25" s="109" t="s">
        <v>106</v>
      </c>
      <c r="B25" s="109"/>
      <c r="C25" s="251">
        <f>SUM(C21:C24)</f>
        <v>8598016.850300001</v>
      </c>
      <c r="D25" s="110"/>
      <c r="E25" s="110">
        <f>SUM(E21:E24)</f>
        <v>-31488.564046570005</v>
      </c>
    </row>
    <row r="26" spans="1:5" ht="15.75" x14ac:dyDescent="0.3">
      <c r="A26" s="105" t="s">
        <v>79</v>
      </c>
      <c r="B26" s="105" t="s">
        <v>98</v>
      </c>
      <c r="C26" s="106">
        <v>26597563.616000038</v>
      </c>
      <c r="D26" s="107">
        <v>-4.4000000000000003E-3</v>
      </c>
      <c r="E26" s="108">
        <f>C26*D26</f>
        <v>-117029.27991040018</v>
      </c>
    </row>
    <row r="27" spans="1:5" ht="15.75" x14ac:dyDescent="0.3">
      <c r="A27" s="105" t="s">
        <v>79</v>
      </c>
      <c r="B27" s="105" t="s">
        <v>99</v>
      </c>
      <c r="C27" s="106">
        <v>1183949.52</v>
      </c>
      <c r="D27" s="107">
        <v>-6.4000000000000003E-3</v>
      </c>
      <c r="E27" s="108">
        <f>C27*D27</f>
        <v>-7577.2769280000002</v>
      </c>
    </row>
    <row r="28" spans="1:5" ht="15.75" x14ac:dyDescent="0.3">
      <c r="A28" s="105" t="s">
        <v>79</v>
      </c>
      <c r="B28" s="105" t="s">
        <v>100</v>
      </c>
      <c r="C28" s="106">
        <v>1800664.0496000005</v>
      </c>
      <c r="D28" s="107">
        <v>1E-3</v>
      </c>
      <c r="E28" s="108">
        <f>C28*D28</f>
        <v>1800.6640496000005</v>
      </c>
    </row>
    <row r="29" spans="1:5" ht="15.75" x14ac:dyDescent="0.3">
      <c r="A29" s="105" t="s">
        <v>79</v>
      </c>
      <c r="B29" s="105" t="s">
        <v>101</v>
      </c>
      <c r="C29" s="106">
        <v>228625</v>
      </c>
      <c r="D29" s="107">
        <v>4.3E-3</v>
      </c>
      <c r="E29" s="108">
        <f>C29*D29</f>
        <v>983.08749999999998</v>
      </c>
    </row>
    <row r="30" spans="1:5" s="111" customFormat="1" ht="15.75" x14ac:dyDescent="0.3">
      <c r="A30" s="109" t="s">
        <v>107</v>
      </c>
      <c r="B30" s="109"/>
      <c r="C30" s="251">
        <f>SUM(C26:C29)</f>
        <v>29810802.185600039</v>
      </c>
      <c r="D30" s="110"/>
      <c r="E30" s="110">
        <f>SUM(E26:E29)</f>
        <v>-121822.80528880018</v>
      </c>
    </row>
    <row r="31" spans="1:5" ht="15.75" x14ac:dyDescent="0.3">
      <c r="A31" s="105" t="s">
        <v>23</v>
      </c>
      <c r="B31" s="105" t="s">
        <v>98</v>
      </c>
      <c r="C31" s="106">
        <v>153034.63399999999</v>
      </c>
      <c r="D31" s="107">
        <v>-4.4000000000000003E-3</v>
      </c>
      <c r="E31" s="108">
        <f>C31*D31</f>
        <v>-673.35238960000004</v>
      </c>
    </row>
    <row r="32" spans="1:5" ht="15.75" x14ac:dyDescent="0.3">
      <c r="A32" s="105" t="s">
        <v>23</v>
      </c>
      <c r="B32" s="105" t="s">
        <v>99</v>
      </c>
      <c r="C32" s="106">
        <v>64371.03</v>
      </c>
      <c r="D32" s="107">
        <v>-6.4000000000000003E-3</v>
      </c>
      <c r="E32" s="108">
        <f>C32*D32</f>
        <v>-411.97459200000003</v>
      </c>
    </row>
    <row r="33" spans="1:5" ht="15.75" x14ac:dyDescent="0.3">
      <c r="A33" s="105" t="s">
        <v>23</v>
      </c>
      <c r="B33" s="105" t="s">
        <v>100</v>
      </c>
      <c r="C33" s="106">
        <v>56820</v>
      </c>
      <c r="D33" s="107">
        <v>1E-3</v>
      </c>
      <c r="E33" s="108">
        <f>C33*D33</f>
        <v>56.82</v>
      </c>
    </row>
    <row r="34" spans="1:5" ht="15.75" x14ac:dyDescent="0.3">
      <c r="A34" s="105" t="s">
        <v>23</v>
      </c>
      <c r="B34" s="105" t="s">
        <v>101</v>
      </c>
      <c r="C34" s="106">
        <v>69493.600000000006</v>
      </c>
      <c r="D34" s="107">
        <v>4.3E-3</v>
      </c>
      <c r="E34" s="108">
        <f>C34*D34</f>
        <v>298.82248000000004</v>
      </c>
    </row>
    <row r="35" spans="1:5" s="111" customFormat="1" ht="15.75" x14ac:dyDescent="0.3">
      <c r="A35" s="109" t="s">
        <v>108</v>
      </c>
      <c r="B35" s="109"/>
      <c r="C35" s="251">
        <f>SUM(C31:C34)</f>
        <v>343719.26399999997</v>
      </c>
      <c r="D35" s="110"/>
      <c r="E35" s="110">
        <f>SUM(E31:E34)</f>
        <v>-729.6845016000002</v>
      </c>
    </row>
    <row r="36" spans="1:5" ht="15.75" x14ac:dyDescent="0.3">
      <c r="A36" s="105" t="s">
        <v>56</v>
      </c>
      <c r="B36" s="105" t="s">
        <v>98</v>
      </c>
      <c r="C36" s="106">
        <v>2532495.16</v>
      </c>
      <c r="D36" s="107">
        <v>-4.4000000000000003E-3</v>
      </c>
      <c r="E36" s="108">
        <f>C36*D36</f>
        <v>-11142.978704000001</v>
      </c>
    </row>
    <row r="37" spans="1:5" ht="15.75" x14ac:dyDescent="0.3">
      <c r="A37" s="105" t="s">
        <v>56</v>
      </c>
      <c r="B37" s="105" t="s">
        <v>99</v>
      </c>
      <c r="C37" s="106">
        <v>191691.34000000003</v>
      </c>
      <c r="D37" s="107">
        <v>-6.4000000000000003E-3</v>
      </c>
      <c r="E37" s="108">
        <f>C37*D37</f>
        <v>-1226.8245760000002</v>
      </c>
    </row>
    <row r="38" spans="1:5" ht="15.75" x14ac:dyDescent="0.3">
      <c r="A38" s="105" t="s">
        <v>56</v>
      </c>
      <c r="B38" s="105" t="s">
        <v>100</v>
      </c>
      <c r="C38" s="106"/>
      <c r="D38" s="107">
        <v>1E-3</v>
      </c>
      <c r="E38" s="108">
        <f>C38*D38</f>
        <v>0</v>
      </c>
    </row>
    <row r="39" spans="1:5" ht="15.75" x14ac:dyDescent="0.3">
      <c r="A39" s="105" t="s">
        <v>56</v>
      </c>
      <c r="B39" s="105" t="s">
        <v>101</v>
      </c>
      <c r="C39" s="106">
        <v>69743.600000000006</v>
      </c>
      <c r="D39" s="107">
        <v>4.3E-3</v>
      </c>
      <c r="E39" s="108">
        <f>C39*D39</f>
        <v>299.89748000000003</v>
      </c>
    </row>
    <row r="40" spans="1:5" s="111" customFormat="1" ht="15.75" x14ac:dyDescent="0.3">
      <c r="A40" s="109" t="s">
        <v>109</v>
      </c>
      <c r="B40" s="109"/>
      <c r="C40" s="251">
        <f>SUM(C36:C39)</f>
        <v>2793930.1</v>
      </c>
      <c r="D40" s="110"/>
      <c r="E40" s="110">
        <f>SUM(E36:E39)</f>
        <v>-12069.905800000002</v>
      </c>
    </row>
    <row r="41" spans="1:5" ht="15.75" x14ac:dyDescent="0.3">
      <c r="A41" s="105" t="s">
        <v>44</v>
      </c>
      <c r="B41" s="105" t="s">
        <v>98</v>
      </c>
      <c r="C41" s="106">
        <v>2681588.7434</v>
      </c>
      <c r="D41" s="107">
        <v>-4.4000000000000003E-3</v>
      </c>
      <c r="E41" s="108">
        <f>C41*D41</f>
        <v>-11798.990470960001</v>
      </c>
    </row>
    <row r="42" spans="1:5" ht="15.75" x14ac:dyDescent="0.3">
      <c r="A42" s="105" t="s">
        <v>44</v>
      </c>
      <c r="B42" s="105" t="s">
        <v>99</v>
      </c>
      <c r="C42" s="106">
        <v>225892.59839999999</v>
      </c>
      <c r="D42" s="107">
        <v>-6.4000000000000003E-3</v>
      </c>
      <c r="E42" s="108">
        <f>C42*D42</f>
        <v>-1445.71262976</v>
      </c>
    </row>
    <row r="43" spans="1:5" ht="15.75" x14ac:dyDescent="0.3">
      <c r="A43" s="105" t="s">
        <v>44</v>
      </c>
      <c r="B43" s="105" t="s">
        <v>100</v>
      </c>
      <c r="C43" s="106">
        <v>200850.39800000002</v>
      </c>
      <c r="D43" s="107">
        <v>1E-3</v>
      </c>
      <c r="E43" s="108">
        <f>C43*D43</f>
        <v>200.85039800000001</v>
      </c>
    </row>
    <row r="44" spans="1:5" ht="15.75" x14ac:dyDescent="0.3">
      <c r="A44" s="105" t="s">
        <v>44</v>
      </c>
      <c r="B44" s="105" t="s">
        <v>101</v>
      </c>
      <c r="C44" s="106">
        <v>99727.38</v>
      </c>
      <c r="D44" s="107">
        <v>4.3E-3</v>
      </c>
      <c r="E44" s="108">
        <f>C44*D44</f>
        <v>428.82773400000002</v>
      </c>
    </row>
    <row r="45" spans="1:5" s="111" customFormat="1" ht="15.75" x14ac:dyDescent="0.3">
      <c r="A45" s="109" t="s">
        <v>110</v>
      </c>
      <c r="B45" s="109"/>
      <c r="C45" s="251">
        <f>SUM(C41:C44)</f>
        <v>3208059.1198</v>
      </c>
      <c r="D45" s="110"/>
      <c r="E45" s="110">
        <f>SUM(E41:E44)</f>
        <v>-12615.024968720001</v>
      </c>
    </row>
    <row r="46" spans="1:5" ht="15.75" x14ac:dyDescent="0.3">
      <c r="A46" s="105" t="s">
        <v>57</v>
      </c>
      <c r="B46" s="105" t="s">
        <v>98</v>
      </c>
      <c r="C46" s="106">
        <v>2789591.12</v>
      </c>
      <c r="D46" s="107">
        <v>-4.4000000000000003E-3</v>
      </c>
      <c r="E46" s="108">
        <f>C46*D46</f>
        <v>-12274.200928000002</v>
      </c>
    </row>
    <row r="47" spans="1:5" ht="15.75" x14ac:dyDescent="0.3">
      <c r="A47" s="105" t="s">
        <v>57</v>
      </c>
      <c r="B47" s="105" t="s">
        <v>99</v>
      </c>
      <c r="C47" s="106">
        <v>605200.24</v>
      </c>
      <c r="D47" s="107">
        <v>-6.4000000000000003E-3</v>
      </c>
      <c r="E47" s="108">
        <f>C47*D47</f>
        <v>-3873.281536</v>
      </c>
    </row>
    <row r="48" spans="1:5" ht="15.75" x14ac:dyDescent="0.3">
      <c r="A48" s="105" t="s">
        <v>57</v>
      </c>
      <c r="B48" s="105" t="s">
        <v>100</v>
      </c>
      <c r="C48" s="106">
        <v>219463.13</v>
      </c>
      <c r="D48" s="107">
        <v>1E-3</v>
      </c>
      <c r="E48" s="108">
        <f>C48*D48</f>
        <v>219.46313000000001</v>
      </c>
    </row>
    <row r="49" spans="1:5" ht="15.75" x14ac:dyDescent="0.3">
      <c r="A49" s="105" t="s">
        <v>57</v>
      </c>
      <c r="B49" s="105" t="s">
        <v>101</v>
      </c>
      <c r="C49" s="106">
        <v>114394.15000000001</v>
      </c>
      <c r="D49" s="107">
        <v>4.3E-3</v>
      </c>
      <c r="E49" s="108">
        <f>C49*D49</f>
        <v>491.89484500000003</v>
      </c>
    </row>
    <row r="50" spans="1:5" s="111" customFormat="1" ht="15.75" x14ac:dyDescent="0.3">
      <c r="A50" s="109" t="s">
        <v>111</v>
      </c>
      <c r="B50" s="109"/>
      <c r="C50" s="251">
        <f>SUM(C46:C49)</f>
        <v>3728648.64</v>
      </c>
      <c r="D50" s="110"/>
      <c r="E50" s="110">
        <f>SUM(E46:E49)</f>
        <v>-15436.124489000002</v>
      </c>
    </row>
    <row r="51" spans="1:5" ht="15.75" x14ac:dyDescent="0.3">
      <c r="A51" s="105" t="s">
        <v>58</v>
      </c>
      <c r="B51" s="105" t="s">
        <v>98</v>
      </c>
      <c r="C51" s="106">
        <v>4720759.4826069996</v>
      </c>
      <c r="D51" s="107">
        <v>-4.4000000000000003E-3</v>
      </c>
      <c r="E51" s="108">
        <f>C51*D51</f>
        <v>-20771.341723470799</v>
      </c>
    </row>
    <row r="52" spans="1:5" ht="15.75" x14ac:dyDescent="0.3">
      <c r="A52" s="105" t="s">
        <v>58</v>
      </c>
      <c r="B52" s="105" t="s">
        <v>99</v>
      </c>
      <c r="C52" s="106">
        <v>337750.11171500001</v>
      </c>
      <c r="D52" s="107">
        <v>-6.4000000000000003E-3</v>
      </c>
      <c r="E52" s="108">
        <f>C52*D52</f>
        <v>-2161.6007149760003</v>
      </c>
    </row>
    <row r="53" spans="1:5" ht="15.75" x14ac:dyDescent="0.3">
      <c r="A53" s="105" t="s">
        <v>58</v>
      </c>
      <c r="B53" s="105" t="s">
        <v>100</v>
      </c>
      <c r="C53" s="106">
        <v>360061.12</v>
      </c>
      <c r="D53" s="107">
        <v>1E-3</v>
      </c>
      <c r="E53" s="108">
        <f>C53*D53</f>
        <v>360.06112000000002</v>
      </c>
    </row>
    <row r="54" spans="1:5" ht="15.75" x14ac:dyDescent="0.3">
      <c r="A54" s="105" t="s">
        <v>58</v>
      </c>
      <c r="B54" s="105" t="s">
        <v>101</v>
      </c>
      <c r="C54" s="106">
        <v>93579.515337000004</v>
      </c>
      <c r="D54" s="107">
        <v>4.3E-3</v>
      </c>
      <c r="E54" s="108">
        <f>C54*D54</f>
        <v>402.3919159491</v>
      </c>
    </row>
    <row r="55" spans="1:5" s="111" customFormat="1" ht="15.75" x14ac:dyDescent="0.3">
      <c r="A55" s="109" t="s">
        <v>112</v>
      </c>
      <c r="B55" s="109"/>
      <c r="C55" s="251">
        <f>SUM(C51:C54)</f>
        <v>5512150.2296589995</v>
      </c>
      <c r="D55" s="110"/>
      <c r="E55" s="110">
        <f>SUM(E51:E54)</f>
        <v>-22170.4894024977</v>
      </c>
    </row>
    <row r="56" spans="1:5" ht="15.75" x14ac:dyDescent="0.3">
      <c r="A56" s="105" t="s">
        <v>45</v>
      </c>
      <c r="B56" s="105" t="s">
        <v>98</v>
      </c>
      <c r="C56" s="106">
        <v>908085.13266239979</v>
      </c>
      <c r="D56" s="107">
        <v>-4.4000000000000003E-3</v>
      </c>
      <c r="E56" s="108">
        <f>C56*D56</f>
        <v>-3995.5745837145591</v>
      </c>
    </row>
    <row r="57" spans="1:5" ht="15.75" x14ac:dyDescent="0.3">
      <c r="A57" s="105" t="s">
        <v>45</v>
      </c>
      <c r="B57" s="105" t="s">
        <v>100</v>
      </c>
      <c r="C57" s="106">
        <v>191305.25</v>
      </c>
      <c r="D57" s="107">
        <v>1E-3</v>
      </c>
      <c r="E57" s="108">
        <f>C57*D57</f>
        <v>191.30525</v>
      </c>
    </row>
    <row r="58" spans="1:5" ht="15.75" x14ac:dyDescent="0.3">
      <c r="A58" s="105" t="s">
        <v>45</v>
      </c>
      <c r="B58" s="105" t="s">
        <v>101</v>
      </c>
      <c r="C58" s="106">
        <v>108018.1</v>
      </c>
      <c r="D58" s="107">
        <v>4.3E-3</v>
      </c>
      <c r="E58" s="108">
        <f>C58*D58</f>
        <v>464.47783000000004</v>
      </c>
    </row>
    <row r="59" spans="1:5" s="111" customFormat="1" ht="15.75" x14ac:dyDescent="0.3">
      <c r="A59" s="109" t="s">
        <v>113</v>
      </c>
      <c r="B59" s="109"/>
      <c r="C59" s="251">
        <f>SUM(C56:C58)</f>
        <v>1207408.4826623998</v>
      </c>
      <c r="D59" s="110"/>
      <c r="E59" s="110">
        <f>SUM(E56:E58)</f>
        <v>-3339.7915037145594</v>
      </c>
    </row>
    <row r="60" spans="1:5" ht="15.75" x14ac:dyDescent="0.3">
      <c r="A60" s="105" t="s">
        <v>35</v>
      </c>
      <c r="B60" s="105" t="s">
        <v>98</v>
      </c>
      <c r="C60" s="106">
        <v>577209.44999999995</v>
      </c>
      <c r="D60" s="107">
        <v>-4.4000000000000003E-3</v>
      </c>
      <c r="E60" s="108">
        <f>C60*D60</f>
        <v>-2539.7215799999999</v>
      </c>
    </row>
    <row r="61" spans="1:5" ht="15.75" x14ac:dyDescent="0.3">
      <c r="A61" s="105" t="s">
        <v>35</v>
      </c>
      <c r="B61" s="105" t="s">
        <v>100</v>
      </c>
      <c r="C61" s="106"/>
      <c r="D61" s="107">
        <v>1E-3</v>
      </c>
      <c r="E61" s="108">
        <f>C61*D61</f>
        <v>0</v>
      </c>
    </row>
    <row r="62" spans="1:5" ht="15.75" x14ac:dyDescent="0.3">
      <c r="A62" s="105" t="s">
        <v>35</v>
      </c>
      <c r="B62" s="105" t="s">
        <v>101</v>
      </c>
      <c r="C62" s="106">
        <v>68030.5</v>
      </c>
      <c r="D62" s="107">
        <v>4.3E-3</v>
      </c>
      <c r="E62" s="108">
        <f>C62*D62</f>
        <v>292.53115000000003</v>
      </c>
    </row>
    <row r="63" spans="1:5" s="111" customFormat="1" ht="15.75" x14ac:dyDescent="0.3">
      <c r="A63" s="109" t="s">
        <v>114</v>
      </c>
      <c r="B63" s="109"/>
      <c r="C63" s="251">
        <f>SUM(C60:C62)</f>
        <v>645239.94999999995</v>
      </c>
      <c r="D63" s="110"/>
      <c r="E63" s="110">
        <f>SUM(E60:E62)</f>
        <v>-2247.1904299999997</v>
      </c>
    </row>
    <row r="64" spans="1:5" ht="15.75" x14ac:dyDescent="0.3">
      <c r="A64" s="105" t="s">
        <v>24</v>
      </c>
      <c r="B64" s="105" t="s">
        <v>98</v>
      </c>
      <c r="C64" s="106">
        <v>214098</v>
      </c>
      <c r="D64" s="107">
        <v>-4.4000000000000003E-3</v>
      </c>
      <c r="E64" s="108">
        <f>C64*D64</f>
        <v>-942.03120000000001</v>
      </c>
    </row>
    <row r="65" spans="1:5" ht="15.75" x14ac:dyDescent="0.3">
      <c r="A65" s="105" t="s">
        <v>24</v>
      </c>
      <c r="B65" s="105" t="s">
        <v>99</v>
      </c>
      <c r="C65" s="106">
        <v>40111.5</v>
      </c>
      <c r="D65" s="107">
        <v>-6.4000000000000003E-3</v>
      </c>
      <c r="E65" s="108">
        <f>C65*D65</f>
        <v>-256.71359999999999</v>
      </c>
    </row>
    <row r="66" spans="1:5" ht="15.75" x14ac:dyDescent="0.3">
      <c r="A66" s="105" t="s">
        <v>24</v>
      </c>
      <c r="B66" s="105" t="s">
        <v>101</v>
      </c>
      <c r="C66" s="106">
        <v>108427.02</v>
      </c>
      <c r="D66" s="107">
        <v>4.3E-3</v>
      </c>
      <c r="E66" s="108">
        <f>C66*D66</f>
        <v>466.23618600000003</v>
      </c>
    </row>
    <row r="67" spans="1:5" s="111" customFormat="1" ht="15.75" x14ac:dyDescent="0.3">
      <c r="A67" s="109" t="s">
        <v>115</v>
      </c>
      <c r="B67" s="109"/>
      <c r="C67" s="251">
        <f>SUM(C64:C66)</f>
        <v>362636.52</v>
      </c>
      <c r="D67" s="110"/>
      <c r="E67" s="110">
        <f>SUM(E64:E66)</f>
        <v>-732.50861399999985</v>
      </c>
    </row>
    <row r="68" spans="1:5" ht="15.75" x14ac:dyDescent="0.3">
      <c r="A68" s="105" t="s">
        <v>80</v>
      </c>
      <c r="B68" s="105" t="s">
        <v>116</v>
      </c>
      <c r="C68" s="106">
        <v>14388479.328999992</v>
      </c>
      <c r="D68" s="107">
        <v>-4.4000000000000003E-3</v>
      </c>
      <c r="E68" s="108">
        <f>C68*D68</f>
        <v>-63309.309047599971</v>
      </c>
    </row>
    <row r="69" spans="1:5" ht="15.75" x14ac:dyDescent="0.3">
      <c r="A69" s="105" t="s">
        <v>80</v>
      </c>
      <c r="B69" s="105" t="s">
        <v>101</v>
      </c>
      <c r="C69" s="106">
        <v>188835.19200000001</v>
      </c>
      <c r="D69" s="107">
        <v>4.3E-3</v>
      </c>
      <c r="E69" s="108">
        <f>C69*D69</f>
        <v>811.9913256000001</v>
      </c>
    </row>
    <row r="70" spans="1:5" s="111" customFormat="1" ht="15.75" x14ac:dyDescent="0.3">
      <c r="A70" s="109" t="s">
        <v>117</v>
      </c>
      <c r="B70" s="109"/>
      <c r="C70" s="251">
        <f>SUM(C68:C69)</f>
        <v>14577314.520999992</v>
      </c>
      <c r="D70" s="110"/>
      <c r="E70" s="110">
        <f>SUM(E68:E69)</f>
        <v>-62497.317721999971</v>
      </c>
    </row>
    <row r="71" spans="1:5" ht="15.75" x14ac:dyDescent="0.3">
      <c r="A71" s="105" t="s">
        <v>69</v>
      </c>
      <c r="B71" s="105" t="s">
        <v>98</v>
      </c>
      <c r="C71" s="106">
        <v>4213302.08</v>
      </c>
      <c r="D71" s="107">
        <v>-4.4000000000000003E-3</v>
      </c>
      <c r="E71" s="108">
        <f>C71*D71</f>
        <v>-18538.529152000003</v>
      </c>
    </row>
    <row r="72" spans="1:5" ht="15.75" x14ac:dyDescent="0.3">
      <c r="A72" s="105" t="s">
        <v>69</v>
      </c>
      <c r="B72" s="105" t="s">
        <v>99</v>
      </c>
      <c r="C72" s="106">
        <v>75264.800000000003</v>
      </c>
      <c r="D72" s="107">
        <v>-6.4000000000000003E-3</v>
      </c>
      <c r="E72" s="108">
        <f>C72*D72</f>
        <v>-481.69472000000002</v>
      </c>
    </row>
    <row r="73" spans="1:5" ht="15.75" x14ac:dyDescent="0.3">
      <c r="A73" s="105" t="s">
        <v>69</v>
      </c>
      <c r="B73" s="105" t="s">
        <v>100</v>
      </c>
      <c r="C73" s="106">
        <v>246324</v>
      </c>
      <c r="D73" s="107">
        <v>1E-3</v>
      </c>
      <c r="E73" s="108">
        <f>C73*D73</f>
        <v>246.32400000000001</v>
      </c>
    </row>
    <row r="74" spans="1:5" ht="15.75" x14ac:dyDescent="0.3">
      <c r="A74" s="105" t="s">
        <v>69</v>
      </c>
      <c r="B74" s="105" t="s">
        <v>101</v>
      </c>
      <c r="C74" s="106">
        <v>75810.295600000012</v>
      </c>
      <c r="D74" s="107">
        <v>4.3E-3</v>
      </c>
      <c r="E74" s="108">
        <f>C74*D74</f>
        <v>325.98427108000004</v>
      </c>
    </row>
    <row r="75" spans="1:5" s="111" customFormat="1" ht="15.75" x14ac:dyDescent="0.3">
      <c r="A75" s="109" t="s">
        <v>118</v>
      </c>
      <c r="B75" s="109"/>
      <c r="C75" s="251">
        <f>SUM(C71:C74)</f>
        <v>4610701.1755999997</v>
      </c>
      <c r="D75" s="110"/>
      <c r="E75" s="110">
        <f>SUM(E71:E74)</f>
        <v>-18447.915600920001</v>
      </c>
    </row>
    <row r="76" spans="1:5" ht="15.75" x14ac:dyDescent="0.3">
      <c r="A76" s="105" t="s">
        <v>46</v>
      </c>
      <c r="B76" s="105" t="s">
        <v>98</v>
      </c>
      <c r="C76" s="106">
        <v>1531360.4614559999</v>
      </c>
      <c r="D76" s="107">
        <v>-4.4000000000000003E-3</v>
      </c>
      <c r="E76" s="108">
        <f>C76*D76</f>
        <v>-6737.9860304063995</v>
      </c>
    </row>
    <row r="77" spans="1:5" ht="15.75" x14ac:dyDescent="0.3">
      <c r="A77" s="105" t="s">
        <v>46</v>
      </c>
      <c r="B77" s="105" t="s">
        <v>99</v>
      </c>
      <c r="C77" s="106">
        <v>38680.852442000003</v>
      </c>
      <c r="D77" s="107">
        <v>-6.4000000000000003E-3</v>
      </c>
      <c r="E77" s="108">
        <f>C77*D77</f>
        <v>-247.55745562880003</v>
      </c>
    </row>
    <row r="78" spans="1:5" ht="15.75" x14ac:dyDescent="0.3">
      <c r="A78" s="105" t="s">
        <v>46</v>
      </c>
      <c r="B78" s="105" t="s">
        <v>100</v>
      </c>
      <c r="C78" s="106">
        <v>122504.38980800001</v>
      </c>
      <c r="D78" s="107">
        <v>1E-3</v>
      </c>
      <c r="E78" s="108">
        <f>C78*D78</f>
        <v>122.50438980800001</v>
      </c>
    </row>
    <row r="79" spans="1:5" ht="15.75" x14ac:dyDescent="0.3">
      <c r="A79" s="105" t="s">
        <v>46</v>
      </c>
      <c r="B79" s="105" t="s">
        <v>101</v>
      </c>
      <c r="C79" s="106">
        <v>42859.026560000006</v>
      </c>
      <c r="D79" s="107">
        <v>4.3E-3</v>
      </c>
      <c r="E79" s="108">
        <f>C79*D79</f>
        <v>184.29381420800001</v>
      </c>
    </row>
    <row r="80" spans="1:5" s="111" customFormat="1" ht="15.75" x14ac:dyDescent="0.3">
      <c r="A80" s="109" t="s">
        <v>119</v>
      </c>
      <c r="B80" s="109"/>
      <c r="C80" s="251">
        <f>SUM(C76:C79)</f>
        <v>1735404.7302659999</v>
      </c>
      <c r="D80" s="110"/>
      <c r="E80" s="110">
        <f>SUM(E76:E79)</f>
        <v>-6678.7452820191993</v>
      </c>
    </row>
    <row r="81" spans="1:5" ht="15.75" x14ac:dyDescent="0.3">
      <c r="A81" s="105" t="s">
        <v>25</v>
      </c>
      <c r="B81" s="105" t="s">
        <v>98</v>
      </c>
      <c r="C81" s="106">
        <v>271746.19501499995</v>
      </c>
      <c r="D81" s="107">
        <v>-4.4000000000000003E-3</v>
      </c>
      <c r="E81" s="108">
        <f>C81*D81</f>
        <v>-1195.6832580659998</v>
      </c>
    </row>
    <row r="82" spans="1:5" ht="15.75" x14ac:dyDescent="0.3">
      <c r="A82" s="105" t="s">
        <v>25</v>
      </c>
      <c r="B82" s="105" t="s">
        <v>99</v>
      </c>
      <c r="C82" s="106">
        <v>73670.196020000003</v>
      </c>
      <c r="D82" s="107">
        <v>-6.4000000000000003E-3</v>
      </c>
      <c r="E82" s="108">
        <f>C82*D82</f>
        <v>-471.48925452800006</v>
      </c>
    </row>
    <row r="83" spans="1:5" ht="15.75" x14ac:dyDescent="0.3">
      <c r="A83" s="105" t="s">
        <v>25</v>
      </c>
      <c r="B83" s="105" t="s">
        <v>100</v>
      </c>
      <c r="C83" s="106">
        <v>154464.16999999998</v>
      </c>
      <c r="D83" s="107">
        <v>1E-3</v>
      </c>
      <c r="E83" s="108">
        <f>C83*D83</f>
        <v>154.46417</v>
      </c>
    </row>
    <row r="84" spans="1:5" ht="15.75" x14ac:dyDescent="0.3">
      <c r="A84" s="105" t="s">
        <v>25</v>
      </c>
      <c r="B84" s="105" t="s">
        <v>101</v>
      </c>
      <c r="C84" s="106">
        <v>79819.554099999994</v>
      </c>
      <c r="D84" s="107">
        <v>4.3E-3</v>
      </c>
      <c r="E84" s="108">
        <f>C84*D84</f>
        <v>343.22408263</v>
      </c>
    </row>
    <row r="85" spans="1:5" s="111" customFormat="1" ht="15.75" x14ac:dyDescent="0.3">
      <c r="A85" s="109" t="s">
        <v>120</v>
      </c>
      <c r="B85" s="109"/>
      <c r="C85" s="251">
        <f>SUM(C81:C84)</f>
        <v>579700.11513499997</v>
      </c>
      <c r="D85" s="110"/>
      <c r="E85" s="110">
        <f>SUM(E81:E84)</f>
        <v>-1169.4842599639996</v>
      </c>
    </row>
    <row r="86" spans="1:5" ht="15.75" x14ac:dyDescent="0.3">
      <c r="A86" s="105" t="s">
        <v>36</v>
      </c>
      <c r="B86" s="105" t="s">
        <v>98</v>
      </c>
      <c r="C86" s="106">
        <v>547750.25699999998</v>
      </c>
      <c r="D86" s="107">
        <v>-4.4000000000000003E-3</v>
      </c>
      <c r="E86" s="108">
        <f>C86*D86</f>
        <v>-2410.1011308000002</v>
      </c>
    </row>
    <row r="87" spans="1:5" ht="15.75" x14ac:dyDescent="0.3">
      <c r="A87" s="105" t="s">
        <v>36</v>
      </c>
      <c r="B87" s="105" t="s">
        <v>99</v>
      </c>
      <c r="C87" s="106">
        <v>262153.61780000001</v>
      </c>
      <c r="D87" s="107">
        <v>-6.4000000000000003E-3</v>
      </c>
      <c r="E87" s="108">
        <f>C87*D87</f>
        <v>-1677.7831539200001</v>
      </c>
    </row>
    <row r="88" spans="1:5" ht="15.75" x14ac:dyDescent="0.3">
      <c r="A88" s="105" t="s">
        <v>36</v>
      </c>
      <c r="B88" s="105" t="s">
        <v>100</v>
      </c>
      <c r="C88" s="106">
        <v>267953.74200000003</v>
      </c>
      <c r="D88" s="107">
        <v>1E-3</v>
      </c>
      <c r="E88" s="108">
        <f>C88*D88</f>
        <v>267.95374200000003</v>
      </c>
    </row>
    <row r="89" spans="1:5" s="111" customFormat="1" ht="15.75" x14ac:dyDescent="0.3">
      <c r="A89" s="109" t="s">
        <v>121</v>
      </c>
      <c r="B89" s="109"/>
      <c r="C89" s="251">
        <f>SUM(C86:C88)</f>
        <v>1077857.6168</v>
      </c>
      <c r="D89" s="110"/>
      <c r="E89" s="110">
        <f>SUM(E86:E88)</f>
        <v>-3819.9305427200002</v>
      </c>
    </row>
    <row r="90" spans="1:5" ht="15.75" x14ac:dyDescent="0.3">
      <c r="A90" s="105" t="s">
        <v>26</v>
      </c>
      <c r="B90" s="105" t="s">
        <v>98</v>
      </c>
      <c r="C90" s="106">
        <v>428648.06399999995</v>
      </c>
      <c r="D90" s="107">
        <v>-4.4000000000000003E-3</v>
      </c>
      <c r="E90" s="108">
        <f>C90*D90</f>
        <v>-1886.0514816</v>
      </c>
    </row>
    <row r="91" spans="1:5" ht="15.75" x14ac:dyDescent="0.3">
      <c r="A91" s="105" t="s">
        <v>26</v>
      </c>
      <c r="B91" s="105" t="s">
        <v>99</v>
      </c>
      <c r="C91" s="106">
        <v>8357.4399999999969</v>
      </c>
      <c r="D91" s="107">
        <v>-6.4000000000000003E-3</v>
      </c>
      <c r="E91" s="108">
        <f>C91*D91</f>
        <v>-53.487615999999981</v>
      </c>
    </row>
    <row r="92" spans="1:5" ht="15.75" x14ac:dyDescent="0.3">
      <c r="A92" s="105" t="s">
        <v>26</v>
      </c>
      <c r="B92" s="105" t="s">
        <v>100</v>
      </c>
      <c r="C92" s="106">
        <v>50876.800000000003</v>
      </c>
      <c r="D92" s="107">
        <v>1E-3</v>
      </c>
      <c r="E92" s="108">
        <f>C92*D92</f>
        <v>50.876800000000003</v>
      </c>
    </row>
    <row r="93" spans="1:5" ht="15.75" x14ac:dyDescent="0.3">
      <c r="A93" s="105" t="s">
        <v>26</v>
      </c>
      <c r="B93" s="105" t="s">
        <v>101</v>
      </c>
      <c r="C93" s="106">
        <v>54993.960000000006</v>
      </c>
      <c r="D93" s="107">
        <v>4.3E-3</v>
      </c>
      <c r="E93" s="108">
        <f>C93*D93</f>
        <v>236.47402800000003</v>
      </c>
    </row>
    <row r="94" spans="1:5" s="111" customFormat="1" ht="15.75" x14ac:dyDescent="0.3">
      <c r="A94" s="109" t="s">
        <v>122</v>
      </c>
      <c r="B94" s="109"/>
      <c r="C94" s="251">
        <f>SUM(C90:C93)</f>
        <v>542876.26399999997</v>
      </c>
      <c r="D94" s="110"/>
      <c r="E94" s="110">
        <f>SUM(E90:E93)</f>
        <v>-1652.1882695999998</v>
      </c>
    </row>
    <row r="95" spans="1:5" ht="15.75" x14ac:dyDescent="0.3">
      <c r="A95" s="105" t="s">
        <v>27</v>
      </c>
      <c r="B95" s="105" t="s">
        <v>98</v>
      </c>
      <c r="C95" s="106">
        <v>335662.94469999999</v>
      </c>
      <c r="D95" s="107">
        <v>-4.4000000000000003E-3</v>
      </c>
      <c r="E95" s="108">
        <f>C95*D95</f>
        <v>-1476.9169566800001</v>
      </c>
    </row>
    <row r="96" spans="1:5" ht="15.75" x14ac:dyDescent="0.3">
      <c r="A96" s="105" t="s">
        <v>27</v>
      </c>
      <c r="B96" s="105" t="s">
        <v>99</v>
      </c>
      <c r="C96" s="106">
        <v>49230.7575</v>
      </c>
      <c r="D96" s="107">
        <v>-6.4000000000000003E-3</v>
      </c>
      <c r="E96" s="108">
        <f>C96*D96</f>
        <v>-315.07684800000004</v>
      </c>
    </row>
    <row r="97" spans="1:5" ht="15.75" x14ac:dyDescent="0.3">
      <c r="A97" s="105" t="s">
        <v>27</v>
      </c>
      <c r="B97" s="105" t="s">
        <v>101</v>
      </c>
      <c r="C97" s="106">
        <v>63978.5</v>
      </c>
      <c r="D97" s="107">
        <v>4.3E-3</v>
      </c>
      <c r="E97" s="108">
        <f>C97*D97</f>
        <v>275.10755</v>
      </c>
    </row>
    <row r="98" spans="1:5" s="111" customFormat="1" ht="15.75" x14ac:dyDescent="0.3">
      <c r="A98" s="109" t="s">
        <v>123</v>
      </c>
      <c r="B98" s="109"/>
      <c r="C98" s="251">
        <f>SUM(C95:C97)</f>
        <v>448872.2022</v>
      </c>
      <c r="D98" s="110"/>
      <c r="E98" s="110">
        <f>SUM(E95:E97)</f>
        <v>-1516.8862546800003</v>
      </c>
    </row>
    <row r="99" spans="1:5" ht="15.75" x14ac:dyDescent="0.3">
      <c r="A99" s="105" t="s">
        <v>18</v>
      </c>
      <c r="B99" s="105" t="s">
        <v>98</v>
      </c>
      <c r="C99" s="106">
        <v>302336.52499999997</v>
      </c>
      <c r="D99" s="107">
        <v>-4.4000000000000003E-3</v>
      </c>
      <c r="E99" s="108">
        <f>C99*D99</f>
        <v>-1330.28071</v>
      </c>
    </row>
    <row r="100" spans="1:5" ht="15.75" x14ac:dyDescent="0.3">
      <c r="A100" s="105" t="s">
        <v>18</v>
      </c>
      <c r="B100" s="105" t="s">
        <v>99</v>
      </c>
      <c r="C100" s="106">
        <v>31868.928000000004</v>
      </c>
      <c r="D100" s="107">
        <v>-6.4000000000000003E-3</v>
      </c>
      <c r="E100" s="108">
        <f>C100*D100</f>
        <v>-203.96113920000002</v>
      </c>
    </row>
    <row r="101" spans="1:5" ht="15.75" x14ac:dyDescent="0.3">
      <c r="A101" s="105" t="s">
        <v>18</v>
      </c>
      <c r="B101" s="105" t="s">
        <v>100</v>
      </c>
      <c r="C101" s="106">
        <v>82328.06</v>
      </c>
      <c r="D101" s="107">
        <v>1E-3</v>
      </c>
      <c r="E101" s="108">
        <f>C101*D101</f>
        <v>82.328059999999994</v>
      </c>
    </row>
    <row r="102" spans="1:5" ht="15.75" x14ac:dyDescent="0.3">
      <c r="A102" s="105" t="s">
        <v>18</v>
      </c>
      <c r="B102" s="105" t="s">
        <v>101</v>
      </c>
      <c r="C102" s="106">
        <v>64151.555</v>
      </c>
      <c r="D102" s="107">
        <v>4.3E-3</v>
      </c>
      <c r="E102" s="108">
        <f>C102*D102</f>
        <v>275.85168650000003</v>
      </c>
    </row>
    <row r="103" spans="1:5" s="111" customFormat="1" ht="15.75" x14ac:dyDescent="0.3">
      <c r="A103" s="109" t="s">
        <v>124</v>
      </c>
      <c r="B103" s="109"/>
      <c r="C103" s="251">
        <f>SUM(C99:C102)</f>
        <v>480685.06799999997</v>
      </c>
      <c r="D103" s="110"/>
      <c r="E103" s="110">
        <f>SUM(E99:E102)</f>
        <v>-1176.0621026999997</v>
      </c>
    </row>
    <row r="104" spans="1:5" ht="15.75" x14ac:dyDescent="0.3">
      <c r="A104" s="105" t="s">
        <v>28</v>
      </c>
      <c r="B104" s="105" t="s">
        <v>98</v>
      </c>
      <c r="C104" s="106">
        <v>305081.14</v>
      </c>
      <c r="D104" s="107">
        <v>-4.4000000000000003E-3</v>
      </c>
      <c r="E104" s="108">
        <f>C104*D104</f>
        <v>-1342.3570160000002</v>
      </c>
    </row>
    <row r="105" spans="1:5" ht="15.75" x14ac:dyDescent="0.3">
      <c r="A105" s="105" t="s">
        <v>28</v>
      </c>
      <c r="B105" s="105" t="s">
        <v>99</v>
      </c>
      <c r="C105" s="106">
        <v>55997.760000000002</v>
      </c>
      <c r="D105" s="107">
        <v>-6.4000000000000003E-3</v>
      </c>
      <c r="E105" s="108">
        <f>C105*D105</f>
        <v>-358.38566400000002</v>
      </c>
    </row>
    <row r="106" spans="1:5" ht="15.75" x14ac:dyDescent="0.3">
      <c r="A106" s="105" t="s">
        <v>28</v>
      </c>
      <c r="B106" s="105" t="s">
        <v>101</v>
      </c>
      <c r="C106" s="106">
        <v>64293.5</v>
      </c>
      <c r="D106" s="107">
        <v>4.3E-3</v>
      </c>
      <c r="E106" s="108">
        <f>C106*D106</f>
        <v>276.46204999999998</v>
      </c>
    </row>
    <row r="107" spans="1:5" s="111" customFormat="1" ht="15.75" x14ac:dyDescent="0.3">
      <c r="A107" s="109" t="s">
        <v>125</v>
      </c>
      <c r="B107" s="109"/>
      <c r="C107" s="251">
        <f>SUM(C104:C106)</f>
        <v>425372.4</v>
      </c>
      <c r="D107" s="110"/>
      <c r="E107" s="110">
        <f>SUM(E104:E106)</f>
        <v>-1424.2806300000002</v>
      </c>
    </row>
    <row r="108" spans="1:5" ht="15.75" x14ac:dyDescent="0.3">
      <c r="A108" s="105" t="s">
        <v>29</v>
      </c>
      <c r="B108" s="105" t="s">
        <v>98</v>
      </c>
      <c r="C108" s="106">
        <v>417774.14</v>
      </c>
      <c r="D108" s="107">
        <v>-4.4000000000000003E-3</v>
      </c>
      <c r="E108" s="108">
        <f>C108*D108</f>
        <v>-1838.2062160000003</v>
      </c>
    </row>
    <row r="109" spans="1:5" ht="15.75" x14ac:dyDescent="0.3">
      <c r="A109" s="105" t="s">
        <v>29</v>
      </c>
      <c r="B109" s="105" t="s">
        <v>100</v>
      </c>
      <c r="C109" s="106">
        <v>109378.4</v>
      </c>
      <c r="D109" s="107">
        <v>1E-3</v>
      </c>
      <c r="E109" s="108">
        <f>C109*D109</f>
        <v>109.3784</v>
      </c>
    </row>
    <row r="110" spans="1:5" ht="15.75" x14ac:dyDescent="0.3">
      <c r="A110" s="105" t="s">
        <v>29</v>
      </c>
      <c r="B110" s="105" t="s">
        <v>101</v>
      </c>
      <c r="C110" s="106">
        <v>66890.5</v>
      </c>
      <c r="D110" s="107">
        <v>4.3E-3</v>
      </c>
      <c r="E110" s="108">
        <f>C110*D110</f>
        <v>287.62914999999998</v>
      </c>
    </row>
    <row r="111" spans="1:5" s="111" customFormat="1" ht="15.75" x14ac:dyDescent="0.3">
      <c r="A111" s="109" t="s">
        <v>126</v>
      </c>
      <c r="B111" s="109"/>
      <c r="C111" s="251">
        <f>SUM(C108:C110)</f>
        <v>594043.04</v>
      </c>
      <c r="D111" s="110"/>
      <c r="E111" s="110">
        <f>SUM(E108:E110)</f>
        <v>-1441.1986660000002</v>
      </c>
    </row>
    <row r="112" spans="1:5" ht="15.75" x14ac:dyDescent="0.3">
      <c r="A112" s="105" t="s">
        <v>37</v>
      </c>
      <c r="B112" s="105" t="s">
        <v>98</v>
      </c>
      <c r="C112" s="106">
        <v>745916.03002171998</v>
      </c>
      <c r="D112" s="107">
        <v>-4.4000000000000003E-3</v>
      </c>
      <c r="E112" s="108">
        <f>C112*D112</f>
        <v>-3282.0305320955681</v>
      </c>
    </row>
    <row r="113" spans="1:5" ht="15.75" x14ac:dyDescent="0.3">
      <c r="A113" s="105" t="s">
        <v>37</v>
      </c>
      <c r="B113" s="105" t="s">
        <v>99</v>
      </c>
      <c r="C113" s="106">
        <v>70563.468600000007</v>
      </c>
      <c r="D113" s="107">
        <v>-6.4000000000000003E-3</v>
      </c>
      <c r="E113" s="108">
        <f>C113*D113</f>
        <v>-451.60619904000009</v>
      </c>
    </row>
    <row r="114" spans="1:5" ht="15.75" x14ac:dyDescent="0.3">
      <c r="A114" s="105" t="s">
        <v>37</v>
      </c>
      <c r="B114" s="105" t="s">
        <v>101</v>
      </c>
      <c r="C114" s="106">
        <v>75861.36</v>
      </c>
      <c r="D114" s="107">
        <v>4.3E-3</v>
      </c>
      <c r="E114" s="108">
        <f>C114*D114</f>
        <v>326.20384799999999</v>
      </c>
    </row>
    <row r="115" spans="1:5" s="111" customFormat="1" ht="15.75" x14ac:dyDescent="0.3">
      <c r="A115" s="109" t="s">
        <v>127</v>
      </c>
      <c r="B115" s="109"/>
      <c r="C115" s="251">
        <f>SUM(C112:C114)</f>
        <v>892340.85862171999</v>
      </c>
      <c r="D115" s="110"/>
      <c r="E115" s="110">
        <f>SUM(E112:E114)</f>
        <v>-3407.4328831355679</v>
      </c>
    </row>
    <row r="116" spans="1:5" ht="15.75" x14ac:dyDescent="0.3">
      <c r="A116" s="105" t="s">
        <v>59</v>
      </c>
      <c r="B116" s="105" t="s">
        <v>98</v>
      </c>
      <c r="C116" s="106">
        <v>2384337.0799999996</v>
      </c>
      <c r="D116" s="107">
        <v>-4.4000000000000003E-3</v>
      </c>
      <c r="E116" s="108">
        <f>C116*D116</f>
        <v>-10491.083151999999</v>
      </c>
    </row>
    <row r="117" spans="1:5" ht="15.75" x14ac:dyDescent="0.3">
      <c r="A117" s="105" t="s">
        <v>59</v>
      </c>
      <c r="B117" s="105" t="s">
        <v>99</v>
      </c>
      <c r="C117" s="106">
        <v>213170.65000000002</v>
      </c>
      <c r="D117" s="107">
        <v>-6.4000000000000003E-3</v>
      </c>
      <c r="E117" s="108">
        <f>C117*D117</f>
        <v>-1364.2921600000002</v>
      </c>
    </row>
    <row r="118" spans="1:5" ht="15.75" x14ac:dyDescent="0.3">
      <c r="A118" s="105" t="s">
        <v>59</v>
      </c>
      <c r="B118" s="105" t="s">
        <v>100</v>
      </c>
      <c r="C118" s="106">
        <v>117956.8</v>
      </c>
      <c r="D118" s="107">
        <v>1E-3</v>
      </c>
      <c r="E118" s="108">
        <f>C118*D118</f>
        <v>117.9568</v>
      </c>
    </row>
    <row r="119" spans="1:5" ht="15.75" x14ac:dyDescent="0.3">
      <c r="A119" s="105" t="s">
        <v>59</v>
      </c>
      <c r="B119" s="105" t="s">
        <v>101</v>
      </c>
      <c r="C119" s="106">
        <v>86846.5</v>
      </c>
      <c r="D119" s="107">
        <v>4.3E-3</v>
      </c>
      <c r="E119" s="108">
        <f>C119*D119</f>
        <v>373.43995000000001</v>
      </c>
    </row>
    <row r="120" spans="1:5" s="111" customFormat="1" ht="15.75" x14ac:dyDescent="0.3">
      <c r="A120" s="109" t="s">
        <v>128</v>
      </c>
      <c r="B120" s="109"/>
      <c r="C120" s="251">
        <f>SUM(C116:C119)</f>
        <v>2802311.0299999993</v>
      </c>
      <c r="D120" s="110"/>
      <c r="E120" s="110">
        <f>SUM(E116:E119)</f>
        <v>-11363.978562</v>
      </c>
    </row>
    <row r="121" spans="1:5" ht="15.75" x14ac:dyDescent="0.3">
      <c r="A121" s="105" t="s">
        <v>47</v>
      </c>
      <c r="B121" s="105" t="s">
        <v>98</v>
      </c>
      <c r="C121" s="106">
        <v>1231279.1000000001</v>
      </c>
      <c r="D121" s="107">
        <v>-4.4000000000000003E-3</v>
      </c>
      <c r="E121" s="108">
        <f>C121*D121</f>
        <v>-5417.6280400000005</v>
      </c>
    </row>
    <row r="122" spans="1:5" ht="15.75" x14ac:dyDescent="0.3">
      <c r="A122" s="105" t="s">
        <v>47</v>
      </c>
      <c r="B122" s="105" t="s">
        <v>99</v>
      </c>
      <c r="C122" s="106">
        <v>275885.18</v>
      </c>
      <c r="D122" s="107">
        <v>-6.4000000000000003E-3</v>
      </c>
      <c r="E122" s="108">
        <f>C122*D122</f>
        <v>-1765.665152</v>
      </c>
    </row>
    <row r="123" spans="1:5" ht="15.75" x14ac:dyDescent="0.3">
      <c r="A123" s="105" t="s">
        <v>47</v>
      </c>
      <c r="B123" s="105" t="s">
        <v>100</v>
      </c>
      <c r="C123" s="106">
        <v>165213.53</v>
      </c>
      <c r="D123" s="107">
        <v>1E-3</v>
      </c>
      <c r="E123" s="108">
        <f>C123*D123</f>
        <v>165.21352999999999</v>
      </c>
    </row>
    <row r="124" spans="1:5" ht="15.75" x14ac:dyDescent="0.3">
      <c r="A124" s="105" t="s">
        <v>47</v>
      </c>
      <c r="B124" s="105" t="s">
        <v>101</v>
      </c>
      <c r="C124" s="106">
        <v>62017.8</v>
      </c>
      <c r="D124" s="107">
        <v>4.3E-3</v>
      </c>
      <c r="E124" s="108">
        <f>C124*D124</f>
        <v>266.67653999999999</v>
      </c>
    </row>
    <row r="125" spans="1:5" s="111" customFormat="1" ht="15.75" x14ac:dyDescent="0.3">
      <c r="A125" s="109" t="s">
        <v>129</v>
      </c>
      <c r="B125" s="109"/>
      <c r="C125" s="251">
        <f>SUM(C121:C124)</f>
        <v>1734395.61</v>
      </c>
      <c r="D125" s="110"/>
      <c r="E125" s="110">
        <f>SUM(E121:E124)</f>
        <v>-6751.4031220000006</v>
      </c>
    </row>
    <row r="126" spans="1:5" ht="15.75" x14ac:dyDescent="0.3">
      <c r="A126" s="105" t="s">
        <v>81</v>
      </c>
      <c r="B126" s="105" t="s">
        <v>98</v>
      </c>
      <c r="C126" s="106">
        <v>21132299.533300009</v>
      </c>
      <c r="D126" s="107">
        <v>-4.4000000000000003E-3</v>
      </c>
      <c r="E126" s="108">
        <f>C126*D126</f>
        <v>-92982.11794652004</v>
      </c>
    </row>
    <row r="127" spans="1:5" ht="15.75" x14ac:dyDescent="0.3">
      <c r="A127" s="105" t="s">
        <v>81</v>
      </c>
      <c r="B127" s="105" t="s">
        <v>99</v>
      </c>
      <c r="C127" s="106">
        <v>499245.01689999999</v>
      </c>
      <c r="D127" s="107">
        <v>-6.4000000000000003E-3</v>
      </c>
      <c r="E127" s="108">
        <f>C127*D127</f>
        <v>-3195.16810816</v>
      </c>
    </row>
    <row r="128" spans="1:5" ht="15.75" x14ac:dyDescent="0.3">
      <c r="A128" s="105" t="s">
        <v>81</v>
      </c>
      <c r="B128" s="105" t="s">
        <v>100</v>
      </c>
      <c r="C128" s="106">
        <v>1485208.3074</v>
      </c>
      <c r="D128" s="107">
        <v>1E-3</v>
      </c>
      <c r="E128" s="108">
        <f>C128*D128</f>
        <v>1485.2083074</v>
      </c>
    </row>
    <row r="129" spans="1:5" ht="15.75" x14ac:dyDescent="0.3">
      <c r="A129" s="105" t="s">
        <v>81</v>
      </c>
      <c r="B129" s="105" t="s">
        <v>101</v>
      </c>
      <c r="C129" s="106">
        <v>152501.03999999998</v>
      </c>
      <c r="D129" s="107">
        <v>4.3E-3</v>
      </c>
      <c r="E129" s="108">
        <f>C129*D129</f>
        <v>655.75447199999996</v>
      </c>
    </row>
    <row r="130" spans="1:5" s="111" customFormat="1" ht="15.75" x14ac:dyDescent="0.3">
      <c r="A130" s="109" t="s">
        <v>130</v>
      </c>
      <c r="B130" s="109"/>
      <c r="C130" s="251">
        <f>SUM(C126:C129)</f>
        <v>23269253.897600006</v>
      </c>
      <c r="D130" s="110"/>
      <c r="E130" s="110">
        <f>SUM(E126:E129)</f>
        <v>-94036.32327528004</v>
      </c>
    </row>
    <row r="131" spans="1:5" ht="15.75" x14ac:dyDescent="0.3">
      <c r="A131" s="105" t="s">
        <v>30</v>
      </c>
      <c r="B131" s="105" t="s">
        <v>98</v>
      </c>
      <c r="C131" s="106">
        <v>220291.24999999997</v>
      </c>
      <c r="D131" s="107">
        <v>-4.4000000000000003E-3</v>
      </c>
      <c r="E131" s="108">
        <f>C131*D131</f>
        <v>-969.28149999999994</v>
      </c>
    </row>
    <row r="132" spans="1:5" ht="15.75" x14ac:dyDescent="0.3">
      <c r="A132" s="105" t="s">
        <v>30</v>
      </c>
      <c r="B132" s="105" t="s">
        <v>99</v>
      </c>
      <c r="C132" s="106">
        <v>115638.9</v>
      </c>
      <c r="D132" s="107">
        <v>-6.4000000000000003E-3</v>
      </c>
      <c r="E132" s="108">
        <f>C132*D132</f>
        <v>-740.08896000000004</v>
      </c>
    </row>
    <row r="133" spans="1:5" ht="15.75" x14ac:dyDescent="0.3">
      <c r="A133" s="105" t="s">
        <v>30</v>
      </c>
      <c r="B133" s="105" t="s">
        <v>101</v>
      </c>
      <c r="C133" s="106">
        <v>59033.7</v>
      </c>
      <c r="D133" s="107">
        <v>4.3E-3</v>
      </c>
      <c r="E133" s="108">
        <f>C133*D133</f>
        <v>253.84491</v>
      </c>
    </row>
    <row r="134" spans="1:5" s="111" customFormat="1" ht="15.75" x14ac:dyDescent="0.3">
      <c r="A134" s="109" t="s">
        <v>131</v>
      </c>
      <c r="B134" s="109"/>
      <c r="C134" s="251">
        <f>SUM(C131:C133)</f>
        <v>394963.85</v>
      </c>
      <c r="D134" s="110"/>
      <c r="E134" s="110">
        <f>SUM(E131:E133)</f>
        <v>-1455.5255500000001</v>
      </c>
    </row>
    <row r="135" spans="1:5" ht="15.75" x14ac:dyDescent="0.3">
      <c r="A135" s="105" t="s">
        <v>48</v>
      </c>
      <c r="B135" s="105" t="s">
        <v>98</v>
      </c>
      <c r="C135" s="106">
        <v>1946157.4458070009</v>
      </c>
      <c r="D135" s="107">
        <v>-4.4000000000000003E-3</v>
      </c>
      <c r="E135" s="108">
        <f>C135*D135</f>
        <v>-8563.0927615508044</v>
      </c>
    </row>
    <row r="136" spans="1:5" ht="15.75" x14ac:dyDescent="0.3">
      <c r="A136" s="105" t="s">
        <v>48</v>
      </c>
      <c r="B136" s="105" t="s">
        <v>99</v>
      </c>
      <c r="C136" s="106">
        <v>56970.352795999999</v>
      </c>
      <c r="D136" s="107">
        <v>-6.4000000000000003E-3</v>
      </c>
      <c r="E136" s="108">
        <f>C136*D136</f>
        <v>-364.61025789440004</v>
      </c>
    </row>
    <row r="137" spans="1:5" ht="15.75" x14ac:dyDescent="0.3">
      <c r="A137" s="105" t="s">
        <v>48</v>
      </c>
      <c r="B137" s="105" t="s">
        <v>100</v>
      </c>
      <c r="C137" s="106">
        <v>387623.83</v>
      </c>
      <c r="D137" s="107">
        <v>1E-3</v>
      </c>
      <c r="E137" s="108">
        <f>C137*D137</f>
        <v>387.62383</v>
      </c>
    </row>
    <row r="138" spans="1:5" ht="15.75" x14ac:dyDescent="0.3">
      <c r="A138" s="105" t="s">
        <v>48</v>
      </c>
      <c r="B138" s="105" t="s">
        <v>101</v>
      </c>
      <c r="C138" s="106">
        <v>106003.6971</v>
      </c>
      <c r="D138" s="107">
        <v>4.3E-3</v>
      </c>
      <c r="E138" s="108">
        <f>C138*D138</f>
        <v>455.81589753000003</v>
      </c>
    </row>
    <row r="139" spans="1:5" s="111" customFormat="1" ht="15.75" x14ac:dyDescent="0.3">
      <c r="A139" s="109" t="s">
        <v>132</v>
      </c>
      <c r="B139" s="109"/>
      <c r="C139" s="251">
        <f>SUM(C135:C138)</f>
        <v>2496755.3257030006</v>
      </c>
      <c r="D139" s="110"/>
      <c r="E139" s="110">
        <f>SUM(E135:E138)</f>
        <v>-8084.2632919152029</v>
      </c>
    </row>
    <row r="140" spans="1:5" ht="15.75" x14ac:dyDescent="0.3">
      <c r="A140" s="105" t="s">
        <v>38</v>
      </c>
      <c r="B140" s="105" t="s">
        <v>98</v>
      </c>
      <c r="C140" s="106">
        <v>574880.82200000004</v>
      </c>
      <c r="D140" s="107">
        <v>-4.4000000000000003E-3</v>
      </c>
      <c r="E140" s="108">
        <f>C140*D140</f>
        <v>-2529.4756168000004</v>
      </c>
    </row>
    <row r="141" spans="1:5" ht="15.75" x14ac:dyDescent="0.3">
      <c r="A141" s="105" t="s">
        <v>38</v>
      </c>
      <c r="B141" s="105" t="s">
        <v>99</v>
      </c>
      <c r="C141" s="106">
        <v>121520.04800000001</v>
      </c>
      <c r="D141" s="107">
        <v>-6.4000000000000003E-3</v>
      </c>
      <c r="E141" s="108">
        <f>C141*D141</f>
        <v>-777.72830720000013</v>
      </c>
    </row>
    <row r="142" spans="1:5" ht="15.75" x14ac:dyDescent="0.3">
      <c r="A142" s="105" t="s">
        <v>38</v>
      </c>
      <c r="B142" s="105" t="s">
        <v>100</v>
      </c>
      <c r="C142" s="106">
        <v>192855.3</v>
      </c>
      <c r="D142" s="107">
        <v>1E-3</v>
      </c>
      <c r="E142" s="108">
        <f>C142*D142</f>
        <v>192.8553</v>
      </c>
    </row>
    <row r="143" spans="1:5" ht="15.75" x14ac:dyDescent="0.3">
      <c r="A143" s="105" t="s">
        <v>38</v>
      </c>
      <c r="B143" s="105" t="s">
        <v>101</v>
      </c>
      <c r="C143" s="106">
        <v>86541.599999999991</v>
      </c>
      <c r="D143" s="107">
        <v>4.3E-3</v>
      </c>
      <c r="E143" s="108">
        <f>C143*D143</f>
        <v>372.12887999999998</v>
      </c>
    </row>
    <row r="144" spans="1:5" s="111" customFormat="1" ht="15.75" x14ac:dyDescent="0.3">
      <c r="A144" s="109" t="s">
        <v>133</v>
      </c>
      <c r="B144" s="109"/>
      <c r="C144" s="251">
        <f>SUM(C140:C143)</f>
        <v>975797.77000000014</v>
      </c>
      <c r="D144" s="110"/>
      <c r="E144" s="110">
        <f>SUM(E140:E143)</f>
        <v>-2742.219744</v>
      </c>
    </row>
    <row r="145" spans="1:5" ht="15.75" x14ac:dyDescent="0.3">
      <c r="A145" s="105" t="s">
        <v>31</v>
      </c>
      <c r="B145" s="105" t="s">
        <v>98</v>
      </c>
      <c r="C145" s="106">
        <v>218578.88</v>
      </c>
      <c r="D145" s="107">
        <v>-4.4000000000000003E-3</v>
      </c>
      <c r="E145" s="108">
        <f>C145*D145</f>
        <v>-961.74707200000012</v>
      </c>
    </row>
    <row r="146" spans="1:5" ht="15.75" x14ac:dyDescent="0.3">
      <c r="A146" s="105" t="s">
        <v>31</v>
      </c>
      <c r="B146" s="105" t="s">
        <v>99</v>
      </c>
      <c r="C146" s="106">
        <v>97179.680000000008</v>
      </c>
      <c r="D146" s="107">
        <v>-6.4000000000000003E-3</v>
      </c>
      <c r="E146" s="108">
        <f>C146*D146</f>
        <v>-621.94995200000005</v>
      </c>
    </row>
    <row r="147" spans="1:5" ht="15.75" x14ac:dyDescent="0.3">
      <c r="A147" s="105" t="s">
        <v>31</v>
      </c>
      <c r="B147" s="105" t="s">
        <v>101</v>
      </c>
      <c r="C147" s="106">
        <v>76336.728000000003</v>
      </c>
      <c r="D147" s="107">
        <v>4.3E-3</v>
      </c>
      <c r="E147" s="108">
        <f>C147*D147</f>
        <v>328.24793040000003</v>
      </c>
    </row>
    <row r="148" spans="1:5" s="111" customFormat="1" ht="15.75" x14ac:dyDescent="0.3">
      <c r="A148" s="109" t="s">
        <v>134</v>
      </c>
      <c r="B148" s="109"/>
      <c r="C148" s="251">
        <f>SUM(C145:C147)</f>
        <v>392095.288</v>
      </c>
      <c r="D148" s="110"/>
      <c r="E148" s="110">
        <f>SUM(E145:E147)</f>
        <v>-1255.4490936</v>
      </c>
    </row>
    <row r="149" spans="1:5" ht="15.75" x14ac:dyDescent="0.3">
      <c r="A149" s="105" t="s">
        <v>19</v>
      </c>
      <c r="B149" s="105" t="s">
        <v>98</v>
      </c>
      <c r="C149" s="106">
        <v>148000.78799999997</v>
      </c>
      <c r="D149" s="107">
        <v>-4.4000000000000003E-3</v>
      </c>
      <c r="E149" s="108">
        <f>C149*D149</f>
        <v>-651.20346719999986</v>
      </c>
    </row>
    <row r="150" spans="1:5" ht="15.75" x14ac:dyDescent="0.3">
      <c r="A150" s="105" t="s">
        <v>19</v>
      </c>
      <c r="B150" s="105" t="s">
        <v>101</v>
      </c>
      <c r="C150" s="106">
        <v>75621.599999999991</v>
      </c>
      <c r="D150" s="107">
        <v>4.3E-3</v>
      </c>
      <c r="E150" s="108">
        <f>C150*D150</f>
        <v>325.17287999999996</v>
      </c>
    </row>
    <row r="151" spans="1:5" s="111" customFormat="1" ht="15.75" x14ac:dyDescent="0.3">
      <c r="A151" s="109" t="s">
        <v>135</v>
      </c>
      <c r="B151" s="109"/>
      <c r="C151" s="251">
        <f>SUM(C149:C150)</f>
        <v>223622.38799999998</v>
      </c>
      <c r="D151" s="110"/>
      <c r="E151" s="110">
        <f>SUM(E149:E150)</f>
        <v>-326.0305871999999</v>
      </c>
    </row>
    <row r="152" spans="1:5" ht="15.75" x14ac:dyDescent="0.3">
      <c r="A152" s="105" t="s">
        <v>60</v>
      </c>
      <c r="B152" s="105" t="s">
        <v>98</v>
      </c>
      <c r="C152" s="106">
        <v>4750759.78</v>
      </c>
      <c r="D152" s="107">
        <v>-4.4000000000000003E-3</v>
      </c>
      <c r="E152" s="108">
        <f>C152*D152</f>
        <v>-20903.343032000001</v>
      </c>
    </row>
    <row r="153" spans="1:5" ht="15.75" x14ac:dyDescent="0.3">
      <c r="A153" s="105" t="s">
        <v>60</v>
      </c>
      <c r="B153" s="105" t="s">
        <v>99</v>
      </c>
      <c r="C153" s="106">
        <v>199380.96000000002</v>
      </c>
      <c r="D153" s="107">
        <v>-6.4000000000000003E-3</v>
      </c>
      <c r="E153" s="108">
        <f>C153*D153</f>
        <v>-1276.0381440000001</v>
      </c>
    </row>
    <row r="154" spans="1:5" ht="15.75" x14ac:dyDescent="0.3">
      <c r="A154" s="105" t="s">
        <v>60</v>
      </c>
      <c r="B154" s="105" t="s">
        <v>100</v>
      </c>
      <c r="C154" s="106">
        <v>404062.3</v>
      </c>
      <c r="D154" s="107">
        <v>1E-3</v>
      </c>
      <c r="E154" s="108">
        <f>C154*D154</f>
        <v>404.06229999999999</v>
      </c>
    </row>
    <row r="155" spans="1:5" ht="15.75" x14ac:dyDescent="0.3">
      <c r="A155" s="105" t="s">
        <v>60</v>
      </c>
      <c r="B155" s="105" t="s">
        <v>101</v>
      </c>
      <c r="C155" s="106">
        <v>108159.84</v>
      </c>
      <c r="D155" s="107">
        <v>4.3E-3</v>
      </c>
      <c r="E155" s="108">
        <f>C155*D155</f>
        <v>465.087312</v>
      </c>
    </row>
    <row r="156" spans="1:5" s="111" customFormat="1" ht="15.75" x14ac:dyDescent="0.3">
      <c r="A156" s="109" t="s">
        <v>136</v>
      </c>
      <c r="B156" s="109"/>
      <c r="C156" s="251">
        <f>SUM(C152:C155)</f>
        <v>5462362.8799999999</v>
      </c>
      <c r="D156" s="110"/>
      <c r="E156" s="110">
        <f>SUM(E152:E155)</f>
        <v>-21310.231564000002</v>
      </c>
    </row>
    <row r="157" spans="1:5" ht="15.75" x14ac:dyDescent="0.3">
      <c r="A157" s="105" t="s">
        <v>75</v>
      </c>
      <c r="B157" s="105" t="s">
        <v>98</v>
      </c>
      <c r="C157" s="106">
        <v>8252644.8675000044</v>
      </c>
      <c r="D157" s="107">
        <v>-4.4000000000000003E-3</v>
      </c>
      <c r="E157" s="108">
        <f>C157*D157</f>
        <v>-36311.63741700002</v>
      </c>
    </row>
    <row r="158" spans="1:5" ht="15.75" x14ac:dyDescent="0.3">
      <c r="A158" s="105" t="s">
        <v>75</v>
      </c>
      <c r="B158" s="105" t="s">
        <v>99</v>
      </c>
      <c r="C158" s="106">
        <v>183376.55</v>
      </c>
      <c r="D158" s="107">
        <v>-6.4000000000000003E-3</v>
      </c>
      <c r="E158" s="108">
        <f>C158*D158</f>
        <v>-1173.6099199999999</v>
      </c>
    </row>
    <row r="159" spans="1:5" ht="15.75" x14ac:dyDescent="0.3">
      <c r="A159" s="105" t="s">
        <v>75</v>
      </c>
      <c r="B159" s="105" t="s">
        <v>100</v>
      </c>
      <c r="C159" s="106">
        <v>458460.44</v>
      </c>
      <c r="D159" s="107">
        <v>1E-3</v>
      </c>
      <c r="E159" s="108">
        <f>C159*D159</f>
        <v>458.46044000000001</v>
      </c>
    </row>
    <row r="160" spans="1:5" ht="15.75" x14ac:dyDescent="0.3">
      <c r="A160" s="105" t="s">
        <v>75</v>
      </c>
      <c r="B160" s="105" t="s">
        <v>101</v>
      </c>
      <c r="C160" s="106">
        <v>99580.51</v>
      </c>
      <c r="D160" s="107">
        <v>4.3E-3</v>
      </c>
      <c r="E160" s="108">
        <f>C160*D160</f>
        <v>428.19619299999999</v>
      </c>
    </row>
    <row r="161" spans="1:5" s="111" customFormat="1" ht="15.75" x14ac:dyDescent="0.3">
      <c r="A161" s="109" t="s">
        <v>137</v>
      </c>
      <c r="B161" s="109"/>
      <c r="C161" s="251">
        <f>SUM(C157:C160)</f>
        <v>8994062.3675000034</v>
      </c>
      <c r="D161" s="110"/>
      <c r="E161" s="110">
        <f>SUM(E157:E160)</f>
        <v>-36598.590704000017</v>
      </c>
    </row>
    <row r="162" spans="1:5" ht="15.75" x14ac:dyDescent="0.3">
      <c r="A162" s="105" t="s">
        <v>61</v>
      </c>
      <c r="B162" s="105" t="s">
        <v>98</v>
      </c>
      <c r="C162" s="106">
        <v>3922163.7473480003</v>
      </c>
      <c r="D162" s="107">
        <v>-4.4000000000000003E-3</v>
      </c>
      <c r="E162" s="108">
        <f>C162*D162</f>
        <v>-17257.520488331204</v>
      </c>
    </row>
    <row r="163" spans="1:5" ht="15.75" x14ac:dyDescent="0.3">
      <c r="A163" s="105" t="s">
        <v>61</v>
      </c>
      <c r="B163" s="105" t="s">
        <v>99</v>
      </c>
      <c r="C163" s="106">
        <v>226753.39883199998</v>
      </c>
      <c r="D163" s="107">
        <v>-6.4000000000000003E-3</v>
      </c>
      <c r="E163" s="108">
        <f>C163*D163</f>
        <v>-1451.2217525248</v>
      </c>
    </row>
    <row r="164" spans="1:5" ht="15.75" x14ac:dyDescent="0.3">
      <c r="A164" s="105" t="s">
        <v>61</v>
      </c>
      <c r="B164" s="105" t="s">
        <v>100</v>
      </c>
      <c r="C164" s="106">
        <v>65477.778688000006</v>
      </c>
      <c r="D164" s="107">
        <v>1E-3</v>
      </c>
      <c r="E164" s="108">
        <f>C164*D164</f>
        <v>65.477778688000001</v>
      </c>
    </row>
    <row r="165" spans="1:5" ht="15.75" x14ac:dyDescent="0.3">
      <c r="A165" s="105" t="s">
        <v>61</v>
      </c>
      <c r="B165" s="105" t="s">
        <v>101</v>
      </c>
      <c r="C165" s="106">
        <v>136692.84</v>
      </c>
      <c r="D165" s="107">
        <v>4.3E-3</v>
      </c>
      <c r="E165" s="108">
        <f>C165*D165</f>
        <v>587.77921200000003</v>
      </c>
    </row>
    <row r="166" spans="1:5" s="111" customFormat="1" ht="15.75" x14ac:dyDescent="0.3">
      <c r="A166" s="109" t="s">
        <v>138</v>
      </c>
      <c r="B166" s="109"/>
      <c r="C166" s="251">
        <f>SUM(C162:C165)</f>
        <v>4351087.7648679996</v>
      </c>
      <c r="D166" s="110"/>
      <c r="E166" s="110">
        <f>SUM(E162:E165)</f>
        <v>-18055.485250168003</v>
      </c>
    </row>
    <row r="167" spans="1:5" ht="15.75" x14ac:dyDescent="0.3">
      <c r="A167" s="105" t="s">
        <v>39</v>
      </c>
      <c r="B167" s="105" t="s">
        <v>98</v>
      </c>
      <c r="C167" s="106">
        <v>557002.16</v>
      </c>
      <c r="D167" s="107">
        <v>-4.4000000000000003E-3</v>
      </c>
      <c r="E167" s="108">
        <f>C167*D167</f>
        <v>-2450.8095040000003</v>
      </c>
    </row>
    <row r="168" spans="1:5" ht="15.75" x14ac:dyDescent="0.3">
      <c r="A168" s="105" t="s">
        <v>39</v>
      </c>
      <c r="B168" s="105" t="s">
        <v>99</v>
      </c>
      <c r="C168" s="106">
        <v>202663.552</v>
      </c>
      <c r="D168" s="107">
        <v>-6.4000000000000003E-3</v>
      </c>
      <c r="E168" s="108">
        <f>C168*D168</f>
        <v>-1297.0467328</v>
      </c>
    </row>
    <row r="169" spans="1:5" ht="15.75" x14ac:dyDescent="0.3">
      <c r="A169" s="105" t="s">
        <v>39</v>
      </c>
      <c r="B169" s="105" t="s">
        <v>100</v>
      </c>
      <c r="C169" s="106">
        <v>55244.800000000003</v>
      </c>
      <c r="D169" s="107">
        <v>1E-3</v>
      </c>
      <c r="E169" s="108">
        <f>C169*D169</f>
        <v>55.244800000000005</v>
      </c>
    </row>
    <row r="170" spans="1:5" ht="15.75" x14ac:dyDescent="0.3">
      <c r="A170" s="105" t="s">
        <v>39</v>
      </c>
      <c r="B170" s="105" t="s">
        <v>101</v>
      </c>
      <c r="C170" s="106">
        <v>84405.599999999991</v>
      </c>
      <c r="D170" s="107">
        <v>4.3E-3</v>
      </c>
      <c r="E170" s="108">
        <f>C170*D170</f>
        <v>362.94407999999999</v>
      </c>
    </row>
    <row r="171" spans="1:5" s="111" customFormat="1" ht="15.75" x14ac:dyDescent="0.3">
      <c r="A171" s="109" t="s">
        <v>139</v>
      </c>
      <c r="B171" s="109"/>
      <c r="C171" s="251">
        <f>SUM(C167:C170)</f>
        <v>899316.11200000008</v>
      </c>
      <c r="D171" s="110"/>
      <c r="E171" s="110">
        <f>SUM(E167:E170)</f>
        <v>-3329.6673568000006</v>
      </c>
    </row>
    <row r="172" spans="1:5" ht="15.75" x14ac:dyDescent="0.3">
      <c r="A172" s="105" t="s">
        <v>20</v>
      </c>
      <c r="B172" s="105" t="s">
        <v>98</v>
      </c>
      <c r="C172" s="106">
        <v>174168.4</v>
      </c>
      <c r="D172" s="107">
        <v>-4.4000000000000003E-3</v>
      </c>
      <c r="E172" s="108">
        <f>C172*D172</f>
        <v>-766.34096</v>
      </c>
    </row>
    <row r="173" spans="1:5" ht="15.75" x14ac:dyDescent="0.3">
      <c r="A173" s="105" t="s">
        <v>20</v>
      </c>
      <c r="B173" s="105" t="s">
        <v>99</v>
      </c>
      <c r="C173" s="106">
        <v>63720.800000000003</v>
      </c>
      <c r="D173" s="107">
        <v>-6.4000000000000003E-3</v>
      </c>
      <c r="E173" s="108">
        <f>C173*D173</f>
        <v>-407.81312000000003</v>
      </c>
    </row>
    <row r="174" spans="1:5" ht="15.75" x14ac:dyDescent="0.3">
      <c r="A174" s="105" t="s">
        <v>20</v>
      </c>
      <c r="B174" s="105" t="s">
        <v>101</v>
      </c>
      <c r="C174" s="106">
        <v>74291.399999999994</v>
      </c>
      <c r="D174" s="107">
        <v>4.3E-3</v>
      </c>
      <c r="E174" s="108">
        <f>C174*D174</f>
        <v>319.45301999999998</v>
      </c>
    </row>
    <row r="175" spans="1:5" s="111" customFormat="1" ht="15.75" x14ac:dyDescent="0.3">
      <c r="A175" s="109" t="s">
        <v>140</v>
      </c>
      <c r="B175" s="109"/>
      <c r="C175" s="251">
        <f>SUM(C172:C174)</f>
        <v>312180.59999999998</v>
      </c>
      <c r="D175" s="110"/>
      <c r="E175" s="110">
        <f>SUM(E172:E174)</f>
        <v>-854.7010600000001</v>
      </c>
    </row>
    <row r="176" spans="1:5" ht="15.75" x14ac:dyDescent="0.3">
      <c r="A176" s="105" t="s">
        <v>40</v>
      </c>
      <c r="B176" s="105" t="s">
        <v>98</v>
      </c>
      <c r="C176" s="106">
        <v>337891.84000000003</v>
      </c>
      <c r="D176" s="107">
        <v>-4.4000000000000003E-3</v>
      </c>
      <c r="E176" s="108">
        <f>C176*D176</f>
        <v>-1486.7240960000001</v>
      </c>
    </row>
    <row r="177" spans="1:5" ht="15.75" x14ac:dyDescent="0.3">
      <c r="A177" s="105" t="s">
        <v>40</v>
      </c>
      <c r="B177" s="105" t="s">
        <v>101</v>
      </c>
      <c r="C177" s="106">
        <v>60421.789999999994</v>
      </c>
      <c r="D177" s="107">
        <v>4.3E-3</v>
      </c>
      <c r="E177" s="108">
        <f>C177*D177</f>
        <v>259.81369699999999</v>
      </c>
    </row>
    <row r="178" spans="1:5" s="111" customFormat="1" ht="15.75" x14ac:dyDescent="0.3">
      <c r="A178" s="109" t="s">
        <v>141</v>
      </c>
      <c r="B178" s="109"/>
      <c r="C178" s="251">
        <f>SUM(C176:C177)</f>
        <v>398313.63</v>
      </c>
      <c r="D178" s="110"/>
      <c r="E178" s="110">
        <f>SUM(E176:E177)</f>
        <v>-1226.9103990000001</v>
      </c>
    </row>
    <row r="179" spans="1:5" ht="15.75" x14ac:dyDescent="0.3">
      <c r="A179" s="105" t="s">
        <v>70</v>
      </c>
      <c r="B179" s="105" t="s">
        <v>98</v>
      </c>
      <c r="C179" s="106">
        <v>4046950.1072000009</v>
      </c>
      <c r="D179" s="107">
        <v>-4.4000000000000003E-3</v>
      </c>
      <c r="E179" s="108">
        <f>C179*D179</f>
        <v>-17806.580471680005</v>
      </c>
    </row>
    <row r="180" spans="1:5" ht="15.75" x14ac:dyDescent="0.3">
      <c r="A180" s="105" t="s">
        <v>70</v>
      </c>
      <c r="B180" s="105" t="s">
        <v>99</v>
      </c>
      <c r="C180" s="106">
        <v>82594.137600000002</v>
      </c>
      <c r="D180" s="107">
        <v>-6.4000000000000003E-3</v>
      </c>
      <c r="E180" s="108">
        <f>C180*D180</f>
        <v>-528.60248064000007</v>
      </c>
    </row>
    <row r="181" spans="1:5" ht="15.75" x14ac:dyDescent="0.3">
      <c r="A181" s="105" t="s">
        <v>70</v>
      </c>
      <c r="B181" s="105" t="s">
        <v>100</v>
      </c>
      <c r="C181" s="106">
        <v>663276.47359999991</v>
      </c>
      <c r="D181" s="107">
        <v>1E-3</v>
      </c>
      <c r="E181" s="108">
        <f>C181*D181</f>
        <v>663.27647359999992</v>
      </c>
    </row>
    <row r="182" spans="1:5" ht="15.75" x14ac:dyDescent="0.3">
      <c r="A182" s="105" t="s">
        <v>70</v>
      </c>
      <c r="B182" s="105" t="s">
        <v>101</v>
      </c>
      <c r="C182" s="106">
        <v>101205.75824</v>
      </c>
      <c r="D182" s="107">
        <v>4.3E-3</v>
      </c>
      <c r="E182" s="108">
        <f>C182*D182</f>
        <v>435.18476043199996</v>
      </c>
    </row>
    <row r="183" spans="1:5" s="111" customFormat="1" ht="15.75" x14ac:dyDescent="0.3">
      <c r="A183" s="109" t="s">
        <v>142</v>
      </c>
      <c r="B183" s="109"/>
      <c r="C183" s="251">
        <f>SUM(C179:C182)</f>
        <v>4894026.4766400009</v>
      </c>
      <c r="D183" s="110"/>
      <c r="E183" s="110">
        <f>SUM(E179:E182)</f>
        <v>-17236.721718288009</v>
      </c>
    </row>
    <row r="184" spans="1:5" ht="15.75" x14ac:dyDescent="0.3">
      <c r="A184" s="105" t="s">
        <v>62</v>
      </c>
      <c r="B184" s="105" t="s">
        <v>98</v>
      </c>
      <c r="C184" s="106">
        <v>4682044.8680000007</v>
      </c>
      <c r="D184" s="107">
        <v>-4.4000000000000003E-3</v>
      </c>
      <c r="E184" s="108">
        <f>C184*D184</f>
        <v>-20600.997419200005</v>
      </c>
    </row>
    <row r="185" spans="1:5" ht="15.75" x14ac:dyDescent="0.3">
      <c r="A185" s="105" t="s">
        <v>62</v>
      </c>
      <c r="B185" s="105" t="s">
        <v>99</v>
      </c>
      <c r="C185" s="106">
        <v>129433</v>
      </c>
      <c r="D185" s="107">
        <v>-6.4000000000000003E-3</v>
      </c>
      <c r="E185" s="108">
        <f>C185*D185</f>
        <v>-828.37120000000004</v>
      </c>
    </row>
    <row r="186" spans="1:5" ht="15.75" x14ac:dyDescent="0.3">
      <c r="A186" s="105" t="s">
        <v>62</v>
      </c>
      <c r="B186" s="105" t="s">
        <v>100</v>
      </c>
      <c r="C186" s="106">
        <v>350391.7</v>
      </c>
      <c r="D186" s="107">
        <v>1E-3</v>
      </c>
      <c r="E186" s="108">
        <f>C186*D186</f>
        <v>350.39170000000001</v>
      </c>
    </row>
    <row r="187" spans="1:5" ht="15.75" x14ac:dyDescent="0.3">
      <c r="A187" s="105" t="s">
        <v>62</v>
      </c>
      <c r="B187" s="105" t="s">
        <v>101</v>
      </c>
      <c r="C187" s="106">
        <v>108339.192</v>
      </c>
      <c r="D187" s="107">
        <v>4.3E-3</v>
      </c>
      <c r="E187" s="108">
        <f>C187*D187</f>
        <v>465.85852560000001</v>
      </c>
    </row>
    <row r="188" spans="1:5" s="111" customFormat="1" ht="15.75" x14ac:dyDescent="0.3">
      <c r="A188" s="109" t="s">
        <v>143</v>
      </c>
      <c r="B188" s="109"/>
      <c r="C188" s="251">
        <f>SUM(C184:C187)</f>
        <v>5270208.7600000007</v>
      </c>
      <c r="D188" s="110"/>
      <c r="E188" s="110">
        <f>SUM(E184:E187)</f>
        <v>-20613.118393600005</v>
      </c>
    </row>
    <row r="189" spans="1:5" ht="15.75" x14ac:dyDescent="0.3">
      <c r="A189" s="105" t="s">
        <v>49</v>
      </c>
      <c r="B189" s="105" t="s">
        <v>98</v>
      </c>
      <c r="C189" s="106">
        <v>2309888.4284923379</v>
      </c>
      <c r="D189" s="107">
        <v>-4.4000000000000003E-3</v>
      </c>
      <c r="E189" s="108">
        <f>C189*D189</f>
        <v>-10163.509085366288</v>
      </c>
    </row>
    <row r="190" spans="1:5" ht="15.75" x14ac:dyDescent="0.3">
      <c r="A190" s="105" t="s">
        <v>49</v>
      </c>
      <c r="B190" s="105" t="s">
        <v>99</v>
      </c>
      <c r="C190" s="106">
        <v>246371.84000000003</v>
      </c>
      <c r="D190" s="107">
        <v>-6.4000000000000003E-3</v>
      </c>
      <c r="E190" s="108">
        <f>C190*D190</f>
        <v>-1576.7797760000003</v>
      </c>
    </row>
    <row r="191" spans="1:5" ht="15.75" x14ac:dyDescent="0.3">
      <c r="A191" s="105" t="s">
        <v>49</v>
      </c>
      <c r="B191" s="105" t="s">
        <v>100</v>
      </c>
      <c r="C191" s="106">
        <v>296910.37271233718</v>
      </c>
      <c r="D191" s="107">
        <v>1E-3</v>
      </c>
      <c r="E191" s="108">
        <f>C191*D191</f>
        <v>296.91037271233716</v>
      </c>
    </row>
    <row r="192" spans="1:5" s="111" customFormat="1" ht="15.75" x14ac:dyDescent="0.3">
      <c r="A192" s="109" t="s">
        <v>144</v>
      </c>
      <c r="B192" s="109"/>
      <c r="C192" s="251">
        <f>SUM(C189:C191)</f>
        <v>2853170.6412046747</v>
      </c>
      <c r="D192" s="110"/>
      <c r="E192" s="110">
        <f>SUM(E189:E191)</f>
        <v>-11443.378488653951</v>
      </c>
    </row>
    <row r="193" spans="1:5" ht="15.75" x14ac:dyDescent="0.3">
      <c r="A193" s="105" t="s">
        <v>82</v>
      </c>
      <c r="B193" s="105" t="s">
        <v>98</v>
      </c>
      <c r="C193" s="106">
        <v>47021926.856307402</v>
      </c>
      <c r="D193" s="107">
        <v>-4.4000000000000003E-3</v>
      </c>
      <c r="E193" s="108">
        <f>C193*D193</f>
        <v>-206896.47816775259</v>
      </c>
    </row>
    <row r="194" spans="1:5" ht="15.75" x14ac:dyDescent="0.3">
      <c r="A194" s="105" t="s">
        <v>82</v>
      </c>
      <c r="B194" s="105" t="s">
        <v>99</v>
      </c>
      <c r="C194" s="106">
        <v>944487.7568071438</v>
      </c>
      <c r="D194" s="107">
        <v>-6.4000000000000003E-3</v>
      </c>
      <c r="E194" s="108">
        <f>C194*D194</f>
        <v>-6044.721643565721</v>
      </c>
    </row>
    <row r="195" spans="1:5" ht="15.75" x14ac:dyDescent="0.3">
      <c r="A195" s="105" t="s">
        <v>82</v>
      </c>
      <c r="B195" s="105" t="s">
        <v>100</v>
      </c>
      <c r="C195" s="106">
        <v>5781265.8964595925</v>
      </c>
      <c r="D195" s="107">
        <v>1E-3</v>
      </c>
      <c r="E195" s="108">
        <f>C195*D195</f>
        <v>5781.265896459593</v>
      </c>
    </row>
    <row r="196" spans="1:5" ht="15.75" x14ac:dyDescent="0.3">
      <c r="A196" s="105" t="s">
        <v>82</v>
      </c>
      <c r="B196" s="105" t="s">
        <v>101</v>
      </c>
      <c r="C196" s="106">
        <v>167581.78770777513</v>
      </c>
      <c r="D196" s="107">
        <v>4.3E-3</v>
      </c>
      <c r="E196" s="108">
        <f>C196*D196</f>
        <v>720.60168714343308</v>
      </c>
    </row>
    <row r="197" spans="1:5" s="111" customFormat="1" ht="15.75" x14ac:dyDescent="0.3">
      <c r="A197" s="109" t="s">
        <v>145</v>
      </c>
      <c r="B197" s="109"/>
      <c r="C197" s="251">
        <f>SUM(C193:C196)</f>
        <v>53915262.297281913</v>
      </c>
      <c r="D197" s="110"/>
      <c r="E197" s="110">
        <f>SUM(E193:E196)</f>
        <v>-206439.33222771526</v>
      </c>
    </row>
    <row r="198" spans="1:5" ht="15.75" x14ac:dyDescent="0.3">
      <c r="A198" s="105" t="s">
        <v>63</v>
      </c>
      <c r="B198" s="105" t="s">
        <v>98</v>
      </c>
      <c r="C198" s="106">
        <v>4116818.7299999995</v>
      </c>
      <c r="D198" s="107">
        <v>-4.4000000000000003E-3</v>
      </c>
      <c r="E198" s="108">
        <f>C198*D198</f>
        <v>-18114.002411999998</v>
      </c>
    </row>
    <row r="199" spans="1:5" ht="15.75" x14ac:dyDescent="0.3">
      <c r="A199" s="105" t="s">
        <v>63</v>
      </c>
      <c r="B199" s="105" t="s">
        <v>99</v>
      </c>
      <c r="C199" s="106"/>
      <c r="D199" s="107">
        <v>-6.4000000000000003E-3</v>
      </c>
      <c r="E199" s="108">
        <f>C199*D199</f>
        <v>0</v>
      </c>
    </row>
    <row r="200" spans="1:5" ht="15.75" x14ac:dyDescent="0.3">
      <c r="A200" s="105" t="s">
        <v>63</v>
      </c>
      <c r="B200" s="105" t="s">
        <v>100</v>
      </c>
      <c r="C200" s="106">
        <v>335906</v>
      </c>
      <c r="D200" s="107">
        <v>1E-3</v>
      </c>
      <c r="E200" s="108">
        <f>C200*D200</f>
        <v>335.90600000000001</v>
      </c>
    </row>
    <row r="201" spans="1:5" ht="15.75" x14ac:dyDescent="0.3">
      <c r="A201" s="105" t="s">
        <v>63</v>
      </c>
      <c r="B201" s="105" t="s">
        <v>101</v>
      </c>
      <c r="C201" s="106">
        <v>76122.5</v>
      </c>
      <c r="D201" s="107">
        <v>4.3E-3</v>
      </c>
      <c r="E201" s="108">
        <f>C201*D201</f>
        <v>327.32675</v>
      </c>
    </row>
    <row r="202" spans="1:5" s="111" customFormat="1" ht="15.75" x14ac:dyDescent="0.3">
      <c r="A202" s="109" t="s">
        <v>146</v>
      </c>
      <c r="B202" s="109"/>
      <c r="C202" s="251">
        <f>SUM(C198:C201)</f>
        <v>4528847.2299999995</v>
      </c>
      <c r="D202" s="110"/>
      <c r="E202" s="110">
        <f>SUM(E198:E201)</f>
        <v>-17450.769661999999</v>
      </c>
    </row>
    <row r="203" spans="1:5" ht="15.75" x14ac:dyDescent="0.3">
      <c r="A203" s="105" t="s">
        <v>50</v>
      </c>
      <c r="B203" s="105" t="s">
        <v>98</v>
      </c>
      <c r="C203" s="106">
        <v>1293476.404048325</v>
      </c>
      <c r="D203" s="107">
        <v>-4.4000000000000003E-3</v>
      </c>
      <c r="E203" s="108">
        <f>C203*D203</f>
        <v>-5691.29617781263</v>
      </c>
    </row>
    <row r="204" spans="1:5" ht="15.75" x14ac:dyDescent="0.3">
      <c r="A204" s="105" t="s">
        <v>50</v>
      </c>
      <c r="B204" s="105" t="s">
        <v>99</v>
      </c>
      <c r="C204" s="106">
        <v>53365.441368749998</v>
      </c>
      <c r="D204" s="107">
        <v>-6.4000000000000003E-3</v>
      </c>
      <c r="E204" s="108">
        <f>C204*D204</f>
        <v>-341.53882476000001</v>
      </c>
    </row>
    <row r="205" spans="1:5" ht="15.75" x14ac:dyDescent="0.3">
      <c r="A205" s="105" t="s">
        <v>50</v>
      </c>
      <c r="B205" s="105" t="s">
        <v>100</v>
      </c>
      <c r="C205" s="106"/>
      <c r="D205" s="107">
        <v>1E-3</v>
      </c>
      <c r="E205" s="108">
        <f>C205*D205</f>
        <v>0</v>
      </c>
    </row>
    <row r="206" spans="1:5" ht="15.75" x14ac:dyDescent="0.3">
      <c r="A206" s="105" t="s">
        <v>50</v>
      </c>
      <c r="B206" s="105" t="s">
        <v>101</v>
      </c>
      <c r="C206" s="106">
        <v>15648.899999999996</v>
      </c>
      <c r="D206" s="107">
        <v>4.3E-3</v>
      </c>
      <c r="E206" s="108">
        <f>C206*D206</f>
        <v>67.290269999999978</v>
      </c>
    </row>
    <row r="207" spans="1:5" s="111" customFormat="1" ht="15.75" x14ac:dyDescent="0.3">
      <c r="A207" s="109" t="s">
        <v>147</v>
      </c>
      <c r="B207" s="109"/>
      <c r="C207" s="251">
        <f>SUM(C203:C206)</f>
        <v>1362490.745417075</v>
      </c>
      <c r="D207" s="110"/>
      <c r="E207" s="110">
        <f>SUM(E203:E206)</f>
        <v>-5965.54473257263</v>
      </c>
    </row>
    <row r="208" spans="1:5" ht="15.75" x14ac:dyDescent="0.3">
      <c r="A208" s="105" t="s">
        <v>64</v>
      </c>
      <c r="B208" s="105" t="s">
        <v>98</v>
      </c>
      <c r="C208" s="106">
        <v>2499664.8250832208</v>
      </c>
      <c r="D208" s="107">
        <v>-4.4000000000000003E-3</v>
      </c>
      <c r="E208" s="108">
        <f>C208*D208</f>
        <v>-10998.525230366173</v>
      </c>
    </row>
    <row r="209" spans="1:5" ht="15.75" x14ac:dyDescent="0.3">
      <c r="A209" s="105" t="s">
        <v>64</v>
      </c>
      <c r="B209" s="105" t="s">
        <v>99</v>
      </c>
      <c r="C209" s="106">
        <v>404272.69908234151</v>
      </c>
      <c r="D209" s="107">
        <v>-6.4000000000000003E-3</v>
      </c>
      <c r="E209" s="108">
        <f>C209*D209</f>
        <v>-2587.3452741269857</v>
      </c>
    </row>
    <row r="210" spans="1:5" ht="15.75" x14ac:dyDescent="0.3">
      <c r="A210" s="105" t="s">
        <v>64</v>
      </c>
      <c r="B210" s="105" t="s">
        <v>100</v>
      </c>
      <c r="C210" s="106">
        <v>150523.94652538002</v>
      </c>
      <c r="D210" s="107">
        <v>1E-3</v>
      </c>
      <c r="E210" s="108">
        <f>C210*D210</f>
        <v>150.52394652538001</v>
      </c>
    </row>
    <row r="211" spans="1:5" ht="15.75" x14ac:dyDescent="0.3">
      <c r="A211" s="105" t="s">
        <v>64</v>
      </c>
      <c r="B211" s="105" t="s">
        <v>101</v>
      </c>
      <c r="C211" s="106">
        <v>96158.773872000005</v>
      </c>
      <c r="D211" s="107">
        <v>4.3E-3</v>
      </c>
      <c r="E211" s="108">
        <f>C211*D211</f>
        <v>413.48272764960001</v>
      </c>
    </row>
    <row r="212" spans="1:5" ht="15.75" x14ac:dyDescent="0.3">
      <c r="A212" s="109" t="s">
        <v>148</v>
      </c>
      <c r="B212" s="109"/>
      <c r="C212" s="251">
        <f>SUM(C208:C211)</f>
        <v>3150620.2445629425</v>
      </c>
      <c r="D212" s="110"/>
      <c r="E212" s="110">
        <f>SUM(E208:E211)</f>
        <v>-13021.86383031818</v>
      </c>
    </row>
    <row r="213" spans="1:5" s="111" customFormat="1" ht="15.75" x14ac:dyDescent="0.3">
      <c r="A213" s="105" t="s">
        <v>41</v>
      </c>
      <c r="B213" s="105" t="s">
        <v>98</v>
      </c>
      <c r="C213" s="106">
        <v>1201576.05</v>
      </c>
      <c r="D213" s="107">
        <v>-4.4000000000000003E-3</v>
      </c>
      <c r="E213" s="108">
        <f>C213*D213</f>
        <v>-5286.9346200000009</v>
      </c>
    </row>
    <row r="214" spans="1:5" ht="15.75" x14ac:dyDescent="0.3">
      <c r="A214" s="105" t="s">
        <v>41</v>
      </c>
      <c r="B214" s="105" t="s">
        <v>101</v>
      </c>
      <c r="C214" s="106">
        <v>44238.48</v>
      </c>
      <c r="D214" s="107">
        <v>4.3E-3</v>
      </c>
      <c r="E214" s="108">
        <f>C214*D214</f>
        <v>190.22546400000002</v>
      </c>
    </row>
    <row r="215" spans="1:5" ht="15.75" x14ac:dyDescent="0.3">
      <c r="A215" s="109" t="s">
        <v>149</v>
      </c>
      <c r="B215" s="109"/>
      <c r="C215" s="251">
        <f>SUM(C213:C214)</f>
        <v>1245814.53</v>
      </c>
      <c r="D215" s="110"/>
      <c r="E215" s="110">
        <f>SUM(E213:E214)</f>
        <v>-5096.7091560000008</v>
      </c>
    </row>
    <row r="216" spans="1:5" s="111" customFormat="1" ht="15.75" x14ac:dyDescent="0.3">
      <c r="A216" s="105" t="s">
        <v>83</v>
      </c>
      <c r="B216" s="105" t="s">
        <v>98</v>
      </c>
      <c r="C216" s="106">
        <v>21127173.600000001</v>
      </c>
      <c r="D216" s="107">
        <v>-4.4000000000000003E-3</v>
      </c>
      <c r="E216" s="108">
        <f>C216*D216</f>
        <v>-92959.563840000017</v>
      </c>
    </row>
    <row r="217" spans="1:5" ht="15.75" x14ac:dyDescent="0.3">
      <c r="A217" s="105" t="s">
        <v>83</v>
      </c>
      <c r="B217" s="105" t="s">
        <v>99</v>
      </c>
      <c r="C217" s="106">
        <v>1284920</v>
      </c>
      <c r="D217" s="107">
        <v>-6.4000000000000003E-3</v>
      </c>
      <c r="E217" s="108">
        <f>C217*D217</f>
        <v>-8223.4880000000012</v>
      </c>
    </row>
    <row r="218" spans="1:5" ht="15.75" x14ac:dyDescent="0.3">
      <c r="A218" s="105" t="s">
        <v>83</v>
      </c>
      <c r="B218" s="105" t="s">
        <v>100</v>
      </c>
      <c r="C218" s="106">
        <v>2369593.2000000002</v>
      </c>
      <c r="D218" s="107">
        <v>1E-3</v>
      </c>
      <c r="E218" s="108">
        <f>C218*D218</f>
        <v>2369.5932000000003</v>
      </c>
    </row>
    <row r="219" spans="1:5" ht="15.75" x14ac:dyDescent="0.3">
      <c r="A219" s="105" t="s">
        <v>83</v>
      </c>
      <c r="B219" s="105" t="s">
        <v>101</v>
      </c>
      <c r="C219" s="106">
        <v>217380.8</v>
      </c>
      <c r="D219" s="107">
        <v>4.3E-3</v>
      </c>
      <c r="E219" s="108">
        <f>C219*D219</f>
        <v>934.73743999999999</v>
      </c>
    </row>
    <row r="220" spans="1:5" ht="15.75" x14ac:dyDescent="0.3">
      <c r="A220" s="109" t="s">
        <v>150</v>
      </c>
      <c r="B220" s="109"/>
      <c r="C220" s="251">
        <f>SUM(C216:C219)</f>
        <v>24999067.600000001</v>
      </c>
      <c r="D220" s="110"/>
      <c r="E220" s="110">
        <f>SUM(E216:E219)</f>
        <v>-97878.721200000015</v>
      </c>
    </row>
    <row r="221" spans="1:5" s="111" customFormat="1" ht="15.75" x14ac:dyDescent="0.3">
      <c r="A221" s="105" t="s">
        <v>71</v>
      </c>
      <c r="B221" s="105" t="s">
        <v>98</v>
      </c>
      <c r="C221" s="106">
        <v>5171630.3990000011</v>
      </c>
      <c r="D221" s="107">
        <v>-4.4000000000000003E-3</v>
      </c>
      <c r="E221" s="108">
        <f>C221*D221</f>
        <v>-22755.173755600008</v>
      </c>
    </row>
    <row r="222" spans="1:5" ht="15.75" x14ac:dyDescent="0.3">
      <c r="A222" s="105" t="s">
        <v>71</v>
      </c>
      <c r="B222" s="105" t="s">
        <v>99</v>
      </c>
      <c r="C222" s="106">
        <v>121900.545</v>
      </c>
      <c r="D222" s="107">
        <v>-6.4000000000000003E-3</v>
      </c>
      <c r="E222" s="108">
        <f>C222*D222</f>
        <v>-780.16348800000003</v>
      </c>
    </row>
    <row r="223" spans="1:5" ht="15.75" x14ac:dyDescent="0.3">
      <c r="A223" s="105" t="s">
        <v>71</v>
      </c>
      <c r="B223" s="105" t="s">
        <v>100</v>
      </c>
      <c r="C223" s="106">
        <v>100671.48</v>
      </c>
      <c r="D223" s="107">
        <v>1E-3</v>
      </c>
      <c r="E223" s="108">
        <f>C223*D223</f>
        <v>100.67148</v>
      </c>
    </row>
    <row r="224" spans="1:5" ht="15.75" x14ac:dyDescent="0.3">
      <c r="A224" s="105" t="s">
        <v>71</v>
      </c>
      <c r="B224" s="105" t="s">
        <v>101</v>
      </c>
      <c r="C224" s="106">
        <v>147914.76700000002</v>
      </c>
      <c r="D224" s="107">
        <v>4.3E-3</v>
      </c>
      <c r="E224" s="108">
        <f>C224*D224</f>
        <v>636.03349810000009</v>
      </c>
    </row>
    <row r="225" spans="1:5" ht="15.75" x14ac:dyDescent="0.3">
      <c r="A225" s="109" t="s">
        <v>151</v>
      </c>
      <c r="B225" s="109"/>
      <c r="C225" s="251">
        <f>SUM(C221:C224)</f>
        <v>5542117.1910000015</v>
      </c>
      <c r="D225" s="110"/>
      <c r="E225" s="110">
        <f>SUM(E221:E224)</f>
        <v>-22798.632265500004</v>
      </c>
    </row>
    <row r="226" spans="1:5" s="111" customFormat="1" ht="15.75" x14ac:dyDescent="0.3">
      <c r="A226" s="105" t="s">
        <v>84</v>
      </c>
      <c r="B226" s="105" t="s">
        <v>98</v>
      </c>
      <c r="C226" s="106">
        <v>18932079.057330176</v>
      </c>
      <c r="D226" s="107">
        <v>-4.4000000000000003E-3</v>
      </c>
      <c r="E226" s="108">
        <f>C226*D226</f>
        <v>-83301.147852252776</v>
      </c>
    </row>
    <row r="227" spans="1:5" ht="15.75" x14ac:dyDescent="0.3">
      <c r="A227" s="105" t="s">
        <v>84</v>
      </c>
      <c r="B227" s="105" t="s">
        <v>99</v>
      </c>
      <c r="C227" s="106">
        <v>959363.8500492</v>
      </c>
      <c r="D227" s="107">
        <v>-6.4000000000000003E-3</v>
      </c>
      <c r="E227" s="108">
        <f>C227*D227</f>
        <v>-6139.9286403148799</v>
      </c>
    </row>
    <row r="228" spans="1:5" ht="15.75" x14ac:dyDescent="0.3">
      <c r="A228" s="105" t="s">
        <v>84</v>
      </c>
      <c r="B228" s="105" t="s">
        <v>100</v>
      </c>
      <c r="C228" s="106">
        <v>1611691.4920255202</v>
      </c>
      <c r="D228" s="107">
        <v>1E-3</v>
      </c>
      <c r="E228" s="108">
        <f>C228*D228</f>
        <v>1611.6914920255201</v>
      </c>
    </row>
    <row r="229" spans="1:5" ht="15.75" x14ac:dyDescent="0.3">
      <c r="A229" s="105" t="s">
        <v>84</v>
      </c>
      <c r="B229" s="105" t="s">
        <v>101</v>
      </c>
      <c r="C229" s="106">
        <v>144433.63</v>
      </c>
      <c r="D229" s="107">
        <v>4.3E-3</v>
      </c>
      <c r="E229" s="108">
        <f>C229*D229</f>
        <v>621.06460900000002</v>
      </c>
    </row>
    <row r="230" spans="1:5" ht="15.75" x14ac:dyDescent="0.3">
      <c r="A230" s="109" t="s">
        <v>152</v>
      </c>
      <c r="B230" s="109"/>
      <c r="C230" s="251">
        <f>SUM(C226:C229)</f>
        <v>21647568.029404897</v>
      </c>
      <c r="D230" s="110"/>
      <c r="E230" s="110">
        <f>SUM(E226:E229)</f>
        <v>-87208.320391542147</v>
      </c>
    </row>
    <row r="231" spans="1:5" s="111" customFormat="1" ht="15.75" x14ac:dyDescent="0.3">
      <c r="A231" s="105" t="s">
        <v>72</v>
      </c>
      <c r="B231" s="105" t="s">
        <v>98</v>
      </c>
      <c r="C231" s="106">
        <v>10073165.408470711</v>
      </c>
      <c r="D231" s="107">
        <v>-4.4000000000000003E-3</v>
      </c>
      <c r="E231" s="108">
        <f>C231*D231</f>
        <v>-44321.927797271128</v>
      </c>
    </row>
    <row r="232" spans="1:5" ht="15.75" x14ac:dyDescent="0.3">
      <c r="A232" s="105" t="s">
        <v>72</v>
      </c>
      <c r="B232" s="105" t="s">
        <v>99</v>
      </c>
      <c r="C232" s="106">
        <v>507176.7308208</v>
      </c>
      <c r="D232" s="107">
        <v>-6.4000000000000003E-3</v>
      </c>
      <c r="E232" s="108">
        <f>C232*D232</f>
        <v>-3245.9310772531203</v>
      </c>
    </row>
    <row r="233" spans="1:5" ht="15.75" x14ac:dyDescent="0.3">
      <c r="A233" s="105" t="s">
        <v>72</v>
      </c>
      <c r="B233" s="105" t="s">
        <v>100</v>
      </c>
      <c r="C233" s="106">
        <v>203757.67620000002</v>
      </c>
      <c r="D233" s="107">
        <v>1E-3</v>
      </c>
      <c r="E233" s="108">
        <f>C233*D233</f>
        <v>203.75767620000002</v>
      </c>
    </row>
    <row r="234" spans="1:5" ht="15.75" x14ac:dyDescent="0.3">
      <c r="A234" s="105" t="s">
        <v>72</v>
      </c>
      <c r="B234" s="105" t="s">
        <v>101</v>
      </c>
      <c r="C234" s="106">
        <v>89693.099999999991</v>
      </c>
      <c r="D234" s="107">
        <v>4.3E-3</v>
      </c>
      <c r="E234" s="108">
        <f>C234*D234</f>
        <v>385.68032999999997</v>
      </c>
    </row>
    <row r="235" spans="1:5" ht="15.75" x14ac:dyDescent="0.3">
      <c r="A235" s="109" t="s">
        <v>153</v>
      </c>
      <c r="B235" s="109"/>
      <c r="C235" s="251">
        <f>SUM(C231:C234)</f>
        <v>10873792.91549151</v>
      </c>
      <c r="D235" s="110"/>
      <c r="E235" s="110">
        <f>SUM(E231:E234)</f>
        <v>-46978.42086832424</v>
      </c>
    </row>
    <row r="236" spans="1:5" s="111" customFormat="1" ht="15.75" x14ac:dyDescent="0.3">
      <c r="A236" s="105" t="s">
        <v>76</v>
      </c>
      <c r="B236" s="105" t="s">
        <v>98</v>
      </c>
      <c r="C236" s="106">
        <v>14618157.044400012</v>
      </c>
      <c r="D236" s="107">
        <v>-4.4000000000000003E-3</v>
      </c>
      <c r="E236" s="108">
        <f>C236*D236</f>
        <v>-64319.89099536006</v>
      </c>
    </row>
    <row r="237" spans="1:5" ht="15.75" x14ac:dyDescent="0.3">
      <c r="A237" s="105" t="s">
        <v>76</v>
      </c>
      <c r="B237" s="105" t="s">
        <v>99</v>
      </c>
      <c r="C237" s="106">
        <v>229106.11359999998</v>
      </c>
      <c r="D237" s="107">
        <v>-6.4000000000000003E-3</v>
      </c>
      <c r="E237" s="108">
        <f>C237*D237</f>
        <v>-1466.27912704</v>
      </c>
    </row>
    <row r="238" spans="1:5" ht="15.75" x14ac:dyDescent="0.3">
      <c r="A238" s="105" t="s">
        <v>76</v>
      </c>
      <c r="B238" s="105" t="s">
        <v>100</v>
      </c>
      <c r="C238" s="106">
        <v>1741242.2538000003</v>
      </c>
      <c r="D238" s="107">
        <v>1E-3</v>
      </c>
      <c r="E238" s="108">
        <f>C238*D238</f>
        <v>1741.2422538000003</v>
      </c>
    </row>
    <row r="239" spans="1:5" ht="15.75" x14ac:dyDescent="0.3">
      <c r="A239" s="109" t="s">
        <v>154</v>
      </c>
      <c r="B239" s="109"/>
      <c r="C239" s="251">
        <f>SUM(C236:C238)</f>
        <v>16588505.411800014</v>
      </c>
      <c r="D239" s="110"/>
      <c r="E239" s="110">
        <f>SUM(E236:E238)</f>
        <v>-64044.927868600054</v>
      </c>
    </row>
    <row r="240" spans="1:5" ht="15.75" x14ac:dyDescent="0.3">
      <c r="A240" s="105" t="s">
        <v>77</v>
      </c>
      <c r="B240" s="105" t="s">
        <v>98</v>
      </c>
      <c r="C240" s="106">
        <v>8448417.2224179935</v>
      </c>
      <c r="D240" s="107">
        <v>-4.4000000000000003E-3</v>
      </c>
      <c r="E240" s="108">
        <f>C240*D240</f>
        <v>-37173.035778639176</v>
      </c>
    </row>
    <row r="241" spans="1:5" s="111" customFormat="1" ht="15.75" x14ac:dyDescent="0.3">
      <c r="A241" s="105" t="s">
        <v>77</v>
      </c>
      <c r="B241" s="105" t="s">
        <v>99</v>
      </c>
      <c r="C241" s="106">
        <v>313554.83697200002</v>
      </c>
      <c r="D241" s="107">
        <v>-6.4000000000000003E-3</v>
      </c>
      <c r="E241" s="108">
        <f>C241*D241</f>
        <v>-2006.7509566208003</v>
      </c>
    </row>
    <row r="242" spans="1:5" ht="15.75" x14ac:dyDescent="0.3">
      <c r="A242" s="105" t="s">
        <v>77</v>
      </c>
      <c r="B242" s="105" t="s">
        <v>100</v>
      </c>
      <c r="C242" s="106">
        <v>751341.93706000003</v>
      </c>
      <c r="D242" s="107">
        <v>1E-3</v>
      </c>
      <c r="E242" s="108">
        <f>C242*D242</f>
        <v>751.34193706000008</v>
      </c>
    </row>
    <row r="243" spans="1:5" ht="15.75" x14ac:dyDescent="0.3">
      <c r="A243" s="105" t="s">
        <v>77</v>
      </c>
      <c r="B243" s="105" t="s">
        <v>101</v>
      </c>
      <c r="C243" s="106">
        <v>141979.26999999999</v>
      </c>
      <c r="D243" s="107">
        <v>4.3E-3</v>
      </c>
      <c r="E243" s="108">
        <f>C243*D243</f>
        <v>610.51086099999998</v>
      </c>
    </row>
    <row r="244" spans="1:5" ht="15.75" x14ac:dyDescent="0.3">
      <c r="A244" s="109" t="s">
        <v>155</v>
      </c>
      <c r="B244" s="109"/>
      <c r="C244" s="251">
        <f>SUM(C240:C243)</f>
        <v>9655293.2664499935</v>
      </c>
      <c r="D244" s="110"/>
      <c r="E244" s="110">
        <f>SUM(E240:E243)</f>
        <v>-37817.933937199974</v>
      </c>
    </row>
    <row r="245" spans="1:5" ht="15.75" x14ac:dyDescent="0.3">
      <c r="A245" s="105" t="s">
        <v>51</v>
      </c>
      <c r="B245" s="105" t="s">
        <v>98</v>
      </c>
      <c r="C245" s="106">
        <v>1432991.3618864415</v>
      </c>
      <c r="D245" s="107">
        <v>-4.4000000000000003E-3</v>
      </c>
      <c r="E245" s="108">
        <f>C245*D245</f>
        <v>-6305.1619923003427</v>
      </c>
    </row>
    <row r="246" spans="1:5" ht="15.75" x14ac:dyDescent="0.3">
      <c r="A246" s="105" t="s">
        <v>51</v>
      </c>
      <c r="B246" s="105" t="s">
        <v>99</v>
      </c>
      <c r="C246" s="106">
        <v>331112.87029909139</v>
      </c>
      <c r="D246" s="107">
        <v>-6.4000000000000003E-3</v>
      </c>
      <c r="E246" s="108">
        <f>C246*D246</f>
        <v>-2119.1223699141851</v>
      </c>
    </row>
    <row r="247" spans="1:5" s="111" customFormat="1" ht="15.75" x14ac:dyDescent="0.3">
      <c r="A247" s="105" t="s">
        <v>51</v>
      </c>
      <c r="B247" s="105" t="s">
        <v>100</v>
      </c>
      <c r="C247" s="106">
        <v>158919.99475407685</v>
      </c>
      <c r="D247" s="107">
        <v>1E-3</v>
      </c>
      <c r="E247" s="108">
        <f>C247*D247</f>
        <v>158.91999475407684</v>
      </c>
    </row>
    <row r="248" spans="1:5" ht="15.75" x14ac:dyDescent="0.3">
      <c r="A248" s="105" t="s">
        <v>51</v>
      </c>
      <c r="B248" s="105" t="s">
        <v>101</v>
      </c>
      <c r="C248" s="106">
        <v>66580.909595707752</v>
      </c>
      <c r="D248" s="107">
        <v>4.3E-3</v>
      </c>
      <c r="E248" s="108">
        <f>C248*D248</f>
        <v>286.29791126154333</v>
      </c>
    </row>
    <row r="249" spans="1:5" ht="15.75" x14ac:dyDescent="0.3">
      <c r="A249" s="109" t="s">
        <v>156</v>
      </c>
      <c r="B249" s="109"/>
      <c r="C249" s="251">
        <f>SUM(C245:C248)</f>
        <v>1989605.1365353174</v>
      </c>
      <c r="D249" s="110"/>
      <c r="E249" s="110">
        <f>SUM(E245:E248)</f>
        <v>-7979.0664561989088</v>
      </c>
    </row>
    <row r="250" spans="1:5" ht="15.75" x14ac:dyDescent="0.3">
      <c r="A250" s="105" t="s">
        <v>65</v>
      </c>
      <c r="B250" s="105" t="s">
        <v>98</v>
      </c>
      <c r="C250" s="106">
        <v>3416116.7199999993</v>
      </c>
      <c r="D250" s="107">
        <v>-4.4000000000000003E-3</v>
      </c>
      <c r="E250" s="108">
        <f>C250*D250</f>
        <v>-15030.913567999998</v>
      </c>
    </row>
    <row r="251" spans="1:5" ht="15.75" x14ac:dyDescent="0.3">
      <c r="A251" s="105" t="s">
        <v>65</v>
      </c>
      <c r="B251" s="105" t="s">
        <v>99</v>
      </c>
      <c r="C251" s="106">
        <v>285920.54399999999</v>
      </c>
      <c r="D251" s="107">
        <v>-6.4000000000000003E-3</v>
      </c>
      <c r="E251" s="108">
        <f>C251*D251</f>
        <v>-1829.8914816000001</v>
      </c>
    </row>
    <row r="252" spans="1:5" s="111" customFormat="1" ht="15.75" x14ac:dyDescent="0.3">
      <c r="A252" s="105" t="s">
        <v>65</v>
      </c>
      <c r="B252" s="105" t="s">
        <v>100</v>
      </c>
      <c r="C252" s="106">
        <v>125028.79999999999</v>
      </c>
      <c r="D252" s="107">
        <v>1E-3</v>
      </c>
      <c r="E252" s="108">
        <f>C252*D252</f>
        <v>125.02879999999999</v>
      </c>
    </row>
    <row r="253" spans="1:5" ht="15.75" x14ac:dyDescent="0.3">
      <c r="A253" s="105" t="s">
        <v>65</v>
      </c>
      <c r="B253" s="105" t="s">
        <v>101</v>
      </c>
      <c r="C253" s="106">
        <v>36752.245999999992</v>
      </c>
      <c r="D253" s="107">
        <v>4.3E-3</v>
      </c>
      <c r="E253" s="108">
        <f>C253*D253</f>
        <v>158.03465779999996</v>
      </c>
    </row>
    <row r="254" spans="1:5" ht="15.75" x14ac:dyDescent="0.3">
      <c r="A254" s="109" t="s">
        <v>157</v>
      </c>
      <c r="B254" s="109"/>
      <c r="C254" s="251">
        <f>SUM(C250:C253)</f>
        <v>3863818.3099999991</v>
      </c>
      <c r="D254" s="110"/>
      <c r="E254" s="110">
        <f>SUM(E250:E253)</f>
        <v>-16577.741591800001</v>
      </c>
    </row>
    <row r="255" spans="1:5" ht="15.75" x14ac:dyDescent="0.3">
      <c r="A255" s="105" t="s">
        <v>66</v>
      </c>
      <c r="B255" s="105" t="s">
        <v>98</v>
      </c>
      <c r="C255" s="106">
        <v>4138929.8631199999</v>
      </c>
      <c r="D255" s="107">
        <v>-4.4000000000000003E-3</v>
      </c>
      <c r="E255" s="108">
        <f>C255*D255</f>
        <v>-18211.291397728</v>
      </c>
    </row>
    <row r="256" spans="1:5" ht="15.75" x14ac:dyDescent="0.3">
      <c r="A256" s="105" t="s">
        <v>66</v>
      </c>
      <c r="B256" s="105" t="s">
        <v>99</v>
      </c>
      <c r="C256" s="106"/>
      <c r="D256" s="107">
        <v>-6.4000000000000003E-3</v>
      </c>
      <c r="E256" s="108">
        <f>C256*D256</f>
        <v>0</v>
      </c>
    </row>
    <row r="257" spans="1:5" ht="15.75" x14ac:dyDescent="0.3">
      <c r="A257" s="105" t="s">
        <v>66</v>
      </c>
      <c r="B257" s="105" t="s">
        <v>100</v>
      </c>
      <c r="C257" s="106">
        <v>321879.09712500003</v>
      </c>
      <c r="D257" s="107">
        <v>1E-3</v>
      </c>
      <c r="E257" s="108">
        <f>C257*D257</f>
        <v>321.87909712500004</v>
      </c>
    </row>
    <row r="258" spans="1:5" s="111" customFormat="1" ht="15.75" x14ac:dyDescent="0.3">
      <c r="A258" s="105" t="s">
        <v>66</v>
      </c>
      <c r="B258" s="105" t="s">
        <v>101</v>
      </c>
      <c r="C258" s="106">
        <v>120681.9375</v>
      </c>
      <c r="D258" s="107">
        <v>4.3E-3</v>
      </c>
      <c r="E258" s="108">
        <f>C258*D258</f>
        <v>518.93233124999995</v>
      </c>
    </row>
    <row r="259" spans="1:5" ht="15.75" x14ac:dyDescent="0.3">
      <c r="A259" s="109" t="s">
        <v>158</v>
      </c>
      <c r="B259" s="109"/>
      <c r="C259" s="251">
        <f>SUM(C255:C258)</f>
        <v>4581490.8977450002</v>
      </c>
      <c r="D259" s="110"/>
      <c r="E259" s="110">
        <f>SUM(E255:E258)</f>
        <v>-17370.479969353</v>
      </c>
    </row>
    <row r="260" spans="1:5" ht="15.75" x14ac:dyDescent="0.3">
      <c r="A260" s="105" t="s">
        <v>67</v>
      </c>
      <c r="B260" s="105" t="s">
        <v>98</v>
      </c>
      <c r="C260" s="106">
        <v>2462906.9919999996</v>
      </c>
      <c r="D260" s="107">
        <v>-4.4000000000000003E-3</v>
      </c>
      <c r="E260" s="108">
        <f>C260*D260</f>
        <v>-10836.790764799998</v>
      </c>
    </row>
    <row r="261" spans="1:5" ht="15.75" x14ac:dyDescent="0.3">
      <c r="A261" s="105" t="s">
        <v>67</v>
      </c>
      <c r="B261" s="105" t="s">
        <v>99</v>
      </c>
      <c r="C261" s="106">
        <v>186087.2</v>
      </c>
      <c r="D261" s="107">
        <v>-6.4000000000000003E-3</v>
      </c>
      <c r="E261" s="108">
        <f>C261*D261</f>
        <v>-1190.9580800000001</v>
      </c>
    </row>
    <row r="262" spans="1:5" s="111" customFormat="1" ht="15.75" x14ac:dyDescent="0.3">
      <c r="A262" s="105" t="s">
        <v>67</v>
      </c>
      <c r="B262" s="105" t="s">
        <v>100</v>
      </c>
      <c r="C262" s="106">
        <v>359840</v>
      </c>
      <c r="D262" s="107">
        <v>1E-3</v>
      </c>
      <c r="E262" s="108">
        <f>C262*D262</f>
        <v>359.84000000000003</v>
      </c>
    </row>
    <row r="263" spans="1:5" ht="15.75" x14ac:dyDescent="0.3">
      <c r="A263" s="105" t="s">
        <v>67</v>
      </c>
      <c r="B263" s="105" t="s">
        <v>101</v>
      </c>
      <c r="C263" s="106">
        <v>85730.999119999993</v>
      </c>
      <c r="D263" s="107">
        <v>4.3E-3</v>
      </c>
      <c r="E263" s="108">
        <f>C263*D263</f>
        <v>368.64329621599995</v>
      </c>
    </row>
    <row r="264" spans="1:5" ht="15.75" x14ac:dyDescent="0.3">
      <c r="A264" s="109" t="s">
        <v>159</v>
      </c>
      <c r="B264" s="109"/>
      <c r="C264" s="251">
        <f>SUM(C260:C263)</f>
        <v>3094565.1911199996</v>
      </c>
      <c r="D264" s="110"/>
      <c r="E264" s="110">
        <f>SUM(E260:E263)</f>
        <v>-11299.265548583999</v>
      </c>
    </row>
    <row r="265" spans="1:5" ht="15.75" x14ac:dyDescent="0.3">
      <c r="A265" s="105" t="s">
        <v>73</v>
      </c>
      <c r="B265" s="105" t="s">
        <v>98</v>
      </c>
      <c r="C265" s="106">
        <v>5912500.4100000001</v>
      </c>
      <c r="D265" s="107">
        <v>-4.4000000000000003E-3</v>
      </c>
      <c r="E265" s="108">
        <f>C265*D265</f>
        <v>-26015.001804000003</v>
      </c>
    </row>
    <row r="266" spans="1:5" ht="15.75" x14ac:dyDescent="0.3">
      <c r="A266" s="105" t="s">
        <v>73</v>
      </c>
      <c r="B266" s="105" t="s">
        <v>99</v>
      </c>
      <c r="C266" s="106">
        <v>412701.93</v>
      </c>
      <c r="D266" s="107">
        <v>-6.4000000000000003E-3</v>
      </c>
      <c r="E266" s="108">
        <f>C266*D266</f>
        <v>-2641.2923519999999</v>
      </c>
    </row>
    <row r="267" spans="1:5" ht="15.75" x14ac:dyDescent="0.3">
      <c r="A267" s="105" t="s">
        <v>73</v>
      </c>
      <c r="B267" s="105" t="s">
        <v>100</v>
      </c>
      <c r="C267" s="106">
        <v>418347.83</v>
      </c>
      <c r="D267" s="107">
        <v>1E-3</v>
      </c>
      <c r="E267" s="108">
        <f>C267*D267</f>
        <v>418.34783000000004</v>
      </c>
    </row>
    <row r="268" spans="1:5" ht="15.75" x14ac:dyDescent="0.3">
      <c r="A268" s="105" t="s">
        <v>73</v>
      </c>
      <c r="B268" s="105" t="s">
        <v>101</v>
      </c>
      <c r="C268" s="106">
        <v>64066.19999999999</v>
      </c>
      <c r="D268" s="107">
        <v>4.3E-3</v>
      </c>
      <c r="E268" s="108">
        <f>C268*D268</f>
        <v>275.48465999999996</v>
      </c>
    </row>
    <row r="269" spans="1:5" ht="15.75" x14ac:dyDescent="0.3">
      <c r="A269" s="109" t="s">
        <v>160</v>
      </c>
      <c r="B269" s="109"/>
      <c r="C269" s="251">
        <f>SUM(C265:C268)</f>
        <v>6807616.3700000001</v>
      </c>
      <c r="D269" s="110"/>
      <c r="E269" s="110">
        <f>SUM(E265:E268)</f>
        <v>-27962.461666000007</v>
      </c>
    </row>
    <row r="270" spans="1:5" ht="15.75" x14ac:dyDescent="0.3">
      <c r="A270" s="105" t="s">
        <v>74</v>
      </c>
      <c r="B270" s="105" t="s">
        <v>98</v>
      </c>
      <c r="C270" s="106">
        <v>5903358.3357160045</v>
      </c>
      <c r="D270" s="107">
        <v>-4.4000000000000003E-3</v>
      </c>
      <c r="E270" s="108">
        <f>C270*D270</f>
        <v>-25974.776677150421</v>
      </c>
    </row>
    <row r="271" spans="1:5" ht="15.75" x14ac:dyDescent="0.3">
      <c r="A271" s="105" t="s">
        <v>74</v>
      </c>
      <c r="B271" s="105" t="s">
        <v>99</v>
      </c>
      <c r="C271" s="106">
        <v>362444.59165999998</v>
      </c>
      <c r="D271" s="107">
        <v>-6.4000000000000003E-3</v>
      </c>
      <c r="E271" s="108">
        <f>C271*D271</f>
        <v>-2319.6453866239999</v>
      </c>
    </row>
    <row r="272" spans="1:5" ht="15.75" x14ac:dyDescent="0.3">
      <c r="A272" s="105" t="s">
        <v>74</v>
      </c>
      <c r="B272" s="105" t="s">
        <v>100</v>
      </c>
      <c r="C272" s="106">
        <v>111706.72</v>
      </c>
      <c r="D272" s="107">
        <v>1E-3</v>
      </c>
      <c r="E272" s="108">
        <f>C272*D272</f>
        <v>111.70672</v>
      </c>
    </row>
    <row r="273" spans="1:5" ht="15.75" x14ac:dyDescent="0.3">
      <c r="A273" s="105" t="s">
        <v>74</v>
      </c>
      <c r="B273" s="105" t="s">
        <v>101</v>
      </c>
      <c r="C273" s="106">
        <v>134899.246342</v>
      </c>
      <c r="D273" s="107">
        <v>4.3E-3</v>
      </c>
      <c r="E273" s="108">
        <f>C273*D273</f>
        <v>580.06675927059996</v>
      </c>
    </row>
    <row r="274" spans="1:5" ht="15.75" x14ac:dyDescent="0.3">
      <c r="A274" s="109" t="s">
        <v>161</v>
      </c>
      <c r="B274" s="109"/>
      <c r="C274" s="251">
        <f>SUM(C270:C273)</f>
        <v>6512408.8937180042</v>
      </c>
      <c r="D274" s="110"/>
      <c r="E274" s="110">
        <f>SUM(E270:E273)</f>
        <v>-27602.648584503822</v>
      </c>
    </row>
    <row r="275" spans="1:5" ht="15.75" x14ac:dyDescent="0.3">
      <c r="A275" s="105" t="s">
        <v>52</v>
      </c>
      <c r="B275" s="105" t="s">
        <v>98</v>
      </c>
      <c r="C275" s="106">
        <v>1346483.77</v>
      </c>
      <c r="D275" s="107">
        <v>-4.4000000000000003E-3</v>
      </c>
      <c r="E275" s="108">
        <f>C275*D275</f>
        <v>-5924.5285880000001</v>
      </c>
    </row>
    <row r="276" spans="1:5" ht="15.75" x14ac:dyDescent="0.3">
      <c r="A276" s="105" t="s">
        <v>52</v>
      </c>
      <c r="B276" s="105" t="s">
        <v>100</v>
      </c>
      <c r="C276" s="106">
        <v>129828.84</v>
      </c>
      <c r="D276" s="107">
        <v>1E-3</v>
      </c>
      <c r="E276" s="108">
        <f>C276*D276</f>
        <v>129.82883999999999</v>
      </c>
    </row>
    <row r="277" spans="1:5" s="111" customFormat="1" ht="15.75" x14ac:dyDescent="0.3">
      <c r="A277" s="105" t="s">
        <v>52</v>
      </c>
      <c r="B277" s="105" t="s">
        <v>101</v>
      </c>
      <c r="C277" s="106">
        <v>41081.25</v>
      </c>
      <c r="D277" s="107">
        <v>4.3E-3</v>
      </c>
      <c r="E277" s="108">
        <f>C277*D277</f>
        <v>176.64937499999999</v>
      </c>
    </row>
    <row r="278" spans="1:5" ht="15.75" x14ac:dyDescent="0.3">
      <c r="A278" s="109" t="s">
        <v>162</v>
      </c>
      <c r="B278" s="109"/>
      <c r="C278" s="251">
        <f>SUM(C275:C277)</f>
        <v>1517393.86</v>
      </c>
      <c r="D278" s="110"/>
      <c r="E278" s="110">
        <f>SUM(E275:E277)</f>
        <v>-5618.050373</v>
      </c>
    </row>
    <row r="279" spans="1:5" ht="15.75" x14ac:dyDescent="0.3">
      <c r="A279" s="105" t="s">
        <v>42</v>
      </c>
      <c r="B279" s="105" t="s">
        <v>98</v>
      </c>
      <c r="C279" s="106">
        <v>576167.21799999999</v>
      </c>
      <c r="D279" s="107">
        <v>-4.4000000000000003E-3</v>
      </c>
      <c r="E279" s="108">
        <f>C279*D279</f>
        <v>-2535.1357591999999</v>
      </c>
    </row>
    <row r="280" spans="1:5" ht="15.75" x14ac:dyDescent="0.3">
      <c r="A280" s="105" t="s">
        <v>42</v>
      </c>
      <c r="B280" s="105" t="s">
        <v>99</v>
      </c>
      <c r="C280" s="106">
        <v>292006.24100000004</v>
      </c>
      <c r="D280" s="107">
        <v>-6.4000000000000003E-3</v>
      </c>
      <c r="E280" s="108">
        <f>C280*D280</f>
        <v>-1868.8399424000004</v>
      </c>
    </row>
    <row r="281" spans="1:5" ht="15.75" x14ac:dyDescent="0.3">
      <c r="A281" s="105" t="s">
        <v>42</v>
      </c>
      <c r="B281" s="105" t="s">
        <v>100</v>
      </c>
      <c r="C281" s="106">
        <v>159526.85</v>
      </c>
      <c r="D281" s="107">
        <v>1E-3</v>
      </c>
      <c r="E281" s="108">
        <f>C281*D281</f>
        <v>159.52685</v>
      </c>
    </row>
    <row r="282" spans="1:5" s="111" customFormat="1" ht="15.75" x14ac:dyDescent="0.3">
      <c r="A282" s="105" t="s">
        <v>42</v>
      </c>
      <c r="B282" s="105" t="s">
        <v>101</v>
      </c>
      <c r="C282" s="106">
        <v>57190.8</v>
      </c>
      <c r="D282" s="107">
        <v>4.3E-3</v>
      </c>
      <c r="E282" s="108">
        <f>C282*D282</f>
        <v>245.92044000000001</v>
      </c>
    </row>
    <row r="283" spans="1:5" ht="15.75" x14ac:dyDescent="0.3">
      <c r="A283" s="109" t="s">
        <v>163</v>
      </c>
      <c r="B283" s="109"/>
      <c r="C283" s="251">
        <f>SUM(C279:C282)</f>
        <v>1084891.1089999999</v>
      </c>
      <c r="D283" s="110"/>
      <c r="E283" s="110">
        <f>SUM(E279:E282)</f>
        <v>-3998.5284116000003</v>
      </c>
    </row>
    <row r="284" spans="1:5" ht="15.75" x14ac:dyDescent="0.3">
      <c r="A284" s="105" t="s">
        <v>32</v>
      </c>
      <c r="B284" s="105" t="s">
        <v>98</v>
      </c>
      <c r="C284" s="106">
        <v>229528</v>
      </c>
      <c r="D284" s="107">
        <v>-4.4000000000000003E-3</v>
      </c>
      <c r="E284" s="108">
        <f>C284*D284</f>
        <v>-1009.9232000000001</v>
      </c>
    </row>
    <row r="285" spans="1:5" ht="15.75" x14ac:dyDescent="0.3">
      <c r="A285" s="105" t="s">
        <v>32</v>
      </c>
      <c r="B285" s="105" t="s">
        <v>99</v>
      </c>
      <c r="C285" s="106">
        <v>159120</v>
      </c>
      <c r="D285" s="107">
        <v>-6.4000000000000003E-3</v>
      </c>
      <c r="E285" s="108">
        <f>C285*D285</f>
        <v>-1018.3680000000001</v>
      </c>
    </row>
    <row r="286" spans="1:5" ht="15.75" x14ac:dyDescent="0.3">
      <c r="A286" s="105" t="s">
        <v>32</v>
      </c>
      <c r="B286" s="105" t="s">
        <v>100</v>
      </c>
      <c r="C286" s="106"/>
      <c r="D286" s="107">
        <v>1E-3</v>
      </c>
      <c r="E286" s="108">
        <f>C286*D286</f>
        <v>0</v>
      </c>
    </row>
    <row r="287" spans="1:5" s="111" customFormat="1" ht="15.75" x14ac:dyDescent="0.3">
      <c r="A287" s="105" t="s">
        <v>32</v>
      </c>
      <c r="B287" s="105" t="s">
        <v>101</v>
      </c>
      <c r="C287" s="106">
        <v>18844.490000000002</v>
      </c>
      <c r="D287" s="107">
        <v>4.3E-3</v>
      </c>
      <c r="E287" s="108">
        <f>C287*D287</f>
        <v>81.031307000000012</v>
      </c>
    </row>
    <row r="288" spans="1:5" ht="15.75" x14ac:dyDescent="0.3">
      <c r="A288" s="109" t="s">
        <v>164</v>
      </c>
      <c r="B288" s="109"/>
      <c r="C288" s="251">
        <f>SUM(C284:C287)</f>
        <v>407492.49</v>
      </c>
      <c r="D288" s="110"/>
      <c r="E288" s="110">
        <f>SUM(E284:E287)</f>
        <v>-1947.2598930000001</v>
      </c>
    </row>
    <row r="289" spans="1:5" ht="15.75" x14ac:dyDescent="0.3">
      <c r="A289" s="249" t="s">
        <v>21</v>
      </c>
      <c r="B289" s="105" t="s">
        <v>98</v>
      </c>
      <c r="C289" s="112"/>
      <c r="D289" s="107">
        <v>-4.4000000000000003E-3</v>
      </c>
      <c r="E289" s="108">
        <f>C289*D289</f>
        <v>0</v>
      </c>
    </row>
    <row r="290" spans="1:5" s="111" customFormat="1" ht="15.75" x14ac:dyDescent="0.3">
      <c r="A290" s="249" t="s">
        <v>21</v>
      </c>
      <c r="B290" s="105" t="s">
        <v>101</v>
      </c>
      <c r="C290" s="112"/>
      <c r="D290" s="107">
        <v>4.3E-3</v>
      </c>
      <c r="E290" s="108">
        <f>C290*D290</f>
        <v>0</v>
      </c>
    </row>
    <row r="291" spans="1:5" ht="15.75" x14ac:dyDescent="0.3">
      <c r="A291" s="250" t="s">
        <v>165</v>
      </c>
      <c r="B291" s="109"/>
      <c r="C291" s="113">
        <f>SUM(C289:C290)</f>
        <v>0</v>
      </c>
      <c r="D291" s="110"/>
      <c r="E291" s="110">
        <f>SUM(E289:E290)</f>
        <v>0</v>
      </c>
    </row>
    <row r="292" spans="1:5" ht="15.75" x14ac:dyDescent="0.3">
      <c r="A292" s="105" t="s">
        <v>78</v>
      </c>
      <c r="B292" s="105" t="s">
        <v>98</v>
      </c>
      <c r="C292" s="106">
        <v>8584837.0399999991</v>
      </c>
      <c r="D292" s="107">
        <v>-4.4000000000000003E-3</v>
      </c>
      <c r="E292" s="108">
        <f>C292*D292</f>
        <v>-37773.282975999995</v>
      </c>
    </row>
    <row r="293" spans="1:5" ht="15.75" x14ac:dyDescent="0.3">
      <c r="A293" s="105" t="s">
        <v>78</v>
      </c>
      <c r="B293" s="105" t="s">
        <v>99</v>
      </c>
      <c r="C293" s="106">
        <v>224651.3</v>
      </c>
      <c r="D293" s="107">
        <v>-6.4000000000000003E-3</v>
      </c>
      <c r="E293" s="108">
        <f>C293*D293</f>
        <v>-1437.7683199999999</v>
      </c>
    </row>
    <row r="294" spans="1:5" s="111" customFormat="1" ht="15.75" x14ac:dyDescent="0.3">
      <c r="A294" s="105" t="s">
        <v>78</v>
      </c>
      <c r="B294" s="105" t="s">
        <v>100</v>
      </c>
      <c r="C294" s="106">
        <v>790774.92</v>
      </c>
      <c r="D294" s="107">
        <v>1E-3</v>
      </c>
      <c r="E294" s="108">
        <f>C294*D294</f>
        <v>790.77492000000007</v>
      </c>
    </row>
    <row r="295" spans="1:5" ht="15.75" x14ac:dyDescent="0.3">
      <c r="A295" s="105" t="s">
        <v>78</v>
      </c>
      <c r="B295" s="105" t="s">
        <v>101</v>
      </c>
      <c r="C295" s="106">
        <v>18110.134999999995</v>
      </c>
      <c r="D295" s="107">
        <v>4.3E-3</v>
      </c>
      <c r="E295" s="108">
        <f>C295*D295</f>
        <v>77.873580499999974</v>
      </c>
    </row>
    <row r="296" spans="1:5" ht="15.75" x14ac:dyDescent="0.3">
      <c r="A296" s="109" t="s">
        <v>166</v>
      </c>
      <c r="B296" s="109"/>
      <c r="C296" s="251">
        <f>SUM(C292:C295)</f>
        <v>9618373.3949999996</v>
      </c>
      <c r="D296" s="110"/>
      <c r="E296" s="110">
        <f>SUM(E292:E295)</f>
        <v>-38342.402795499991</v>
      </c>
    </row>
    <row r="297" spans="1:5" ht="15.75" x14ac:dyDescent="0.3">
      <c r="A297" s="105" t="s">
        <v>43</v>
      </c>
      <c r="B297" s="105" t="s">
        <v>98</v>
      </c>
      <c r="C297" s="106">
        <v>360079.65</v>
      </c>
      <c r="D297" s="107">
        <v>-4.4000000000000003E-3</v>
      </c>
      <c r="E297" s="108">
        <f>C297*D297</f>
        <v>-1584.3504600000001</v>
      </c>
    </row>
    <row r="298" spans="1:5" ht="15.75" x14ac:dyDescent="0.3">
      <c r="A298" s="105" t="s">
        <v>43</v>
      </c>
      <c r="B298" s="105" t="s">
        <v>99</v>
      </c>
      <c r="C298" s="106">
        <v>78898.59</v>
      </c>
      <c r="D298" s="107">
        <v>-6.4000000000000003E-3</v>
      </c>
      <c r="E298" s="108">
        <f>C298*D298</f>
        <v>-504.95097600000003</v>
      </c>
    </row>
    <row r="299" spans="1:5" s="111" customFormat="1" ht="15.75" x14ac:dyDescent="0.3">
      <c r="A299" s="105" t="s">
        <v>43</v>
      </c>
      <c r="B299" s="105" t="s">
        <v>101</v>
      </c>
      <c r="C299" s="106">
        <v>70821.149999999994</v>
      </c>
      <c r="D299" s="107">
        <v>4.3E-3</v>
      </c>
      <c r="E299" s="108">
        <f>C299*D299</f>
        <v>304.53094499999997</v>
      </c>
    </row>
    <row r="300" spans="1:5" ht="15.75" x14ac:dyDescent="0.3">
      <c r="A300" s="109" t="s">
        <v>167</v>
      </c>
      <c r="B300" s="109"/>
      <c r="C300" s="251">
        <f>SUM(C297:C299)</f>
        <v>509799.39</v>
      </c>
      <c r="D300" s="110"/>
      <c r="E300" s="110">
        <f>SUM(E297:E299)</f>
        <v>-1784.7704910000002</v>
      </c>
    </row>
    <row r="301" spans="1:5" ht="15.75" x14ac:dyDescent="0.3">
      <c r="A301" s="105" t="s">
        <v>53</v>
      </c>
      <c r="B301" s="105" t="s">
        <v>98</v>
      </c>
      <c r="C301" s="106">
        <v>1151925.3999999999</v>
      </c>
      <c r="D301" s="107">
        <v>-4.4000000000000003E-3</v>
      </c>
      <c r="E301" s="108">
        <f>C301*D301</f>
        <v>-5068.4717599999994</v>
      </c>
    </row>
    <row r="302" spans="1:5" ht="15.75" x14ac:dyDescent="0.3">
      <c r="A302" s="105" t="s">
        <v>53</v>
      </c>
      <c r="B302" s="105" t="s">
        <v>99</v>
      </c>
      <c r="C302" s="106">
        <v>248451.6</v>
      </c>
      <c r="D302" s="107">
        <v>-6.4000000000000003E-3</v>
      </c>
      <c r="E302" s="108">
        <f>C302*D302</f>
        <v>-1590.0902400000002</v>
      </c>
    </row>
    <row r="303" spans="1:5" s="111" customFormat="1" ht="15.75" x14ac:dyDescent="0.3">
      <c r="A303" s="105" t="s">
        <v>53</v>
      </c>
      <c r="B303" s="105" t="s">
        <v>101</v>
      </c>
      <c r="C303" s="106">
        <v>60464.800000000003</v>
      </c>
      <c r="D303" s="107">
        <v>4.3E-3</v>
      </c>
      <c r="E303" s="108">
        <f>C303*D303</f>
        <v>259.99864000000002</v>
      </c>
    </row>
    <row r="304" spans="1:5" ht="15.75" x14ac:dyDescent="0.3">
      <c r="A304" s="109" t="s">
        <v>168</v>
      </c>
      <c r="B304" s="109"/>
      <c r="C304" s="251">
        <f>SUM(C301:C303)</f>
        <v>1460841.8</v>
      </c>
      <c r="D304" s="110"/>
      <c r="E304" s="110">
        <f>SUM(E301:E303)</f>
        <v>-6398.5633600000001</v>
      </c>
    </row>
    <row r="305" spans="1:5" ht="15.75" x14ac:dyDescent="0.3">
      <c r="A305" s="105" t="s">
        <v>33</v>
      </c>
      <c r="B305" s="105" t="s">
        <v>98</v>
      </c>
      <c r="C305" s="106">
        <v>414830.4</v>
      </c>
      <c r="D305" s="107">
        <v>-4.4000000000000003E-3</v>
      </c>
      <c r="E305" s="108">
        <f>C305*D305</f>
        <v>-1825.2537600000003</v>
      </c>
    </row>
    <row r="306" spans="1:5" ht="15.75" x14ac:dyDescent="0.3">
      <c r="A306" s="105" t="s">
        <v>33</v>
      </c>
      <c r="B306" s="105" t="s">
        <v>99</v>
      </c>
      <c r="C306" s="106">
        <v>106116.5</v>
      </c>
      <c r="D306" s="107">
        <v>-6.4000000000000003E-3</v>
      </c>
      <c r="E306" s="108">
        <f>C306*D306</f>
        <v>-679.14560000000006</v>
      </c>
    </row>
    <row r="307" spans="1:5" s="111" customFormat="1" ht="15.75" x14ac:dyDescent="0.3">
      <c r="A307" s="105" t="s">
        <v>33</v>
      </c>
      <c r="B307" s="105" t="s">
        <v>100</v>
      </c>
      <c r="C307" s="106">
        <v>55195.4</v>
      </c>
      <c r="D307" s="107">
        <v>1E-3</v>
      </c>
      <c r="E307" s="108">
        <f>C307*D307</f>
        <v>55.195399999999999</v>
      </c>
    </row>
    <row r="308" spans="1:5" ht="15.75" x14ac:dyDescent="0.3">
      <c r="A308" s="105" t="s">
        <v>33</v>
      </c>
      <c r="B308" s="105" t="s">
        <v>101</v>
      </c>
      <c r="C308" s="106">
        <v>77970</v>
      </c>
      <c r="D308" s="107">
        <v>4.3E-3</v>
      </c>
      <c r="E308" s="108">
        <f>C308*D308</f>
        <v>335.27100000000002</v>
      </c>
    </row>
    <row r="309" spans="1:5" ht="15.75" x14ac:dyDescent="0.3">
      <c r="A309" s="109" t="s">
        <v>169</v>
      </c>
      <c r="B309" s="109"/>
      <c r="C309" s="251">
        <f>SUM(C305:C308)</f>
        <v>654112.30000000005</v>
      </c>
      <c r="D309" s="110"/>
      <c r="E309" s="110">
        <f>SUM(E305:E308)</f>
        <v>-2113.9329600000001</v>
      </c>
    </row>
    <row r="310" spans="1:5" ht="15.75" x14ac:dyDescent="0.3">
      <c r="A310" s="109"/>
      <c r="B310" s="109"/>
      <c r="C310" s="114"/>
      <c r="D310" s="111"/>
      <c r="E310" s="110"/>
    </row>
    <row r="311" spans="1:5" ht="15.75" x14ac:dyDescent="0.3">
      <c r="A311" s="109" t="s">
        <v>170</v>
      </c>
      <c r="B311" s="109"/>
      <c r="C311" s="110">
        <f>C6+C11+C16+C20+C25+C30+C35+C40+C45+C50+C55+C59+C63+C67+C70+C75+C80+C85+C89+C94+C98+C103+C107+C111+C115+C120+C125+C130+C134+C139+C144+C148+C151+C156+C161+C166+C171+C175+C178+C183+C188+C192+C197+C202+C207+C212+C215+C220+C225+C230+C235+C239+C244+C249+C254+C259+C264+C269+C274+C278+C283+C288+C291+C296+C300+C304+C309</f>
        <v>351995087.39381063</v>
      </c>
      <c r="D311" s="110"/>
      <c r="E311" s="110">
        <f>E6+E11+E16+E20+E25+E30+E35+E40+E45+E50+E55+E59+E63+E67+E70+E75+E80+E85+E89+E94+E98+E103+E107+E111+E115+E120+E125+E130+E134+E139+E144+E148+E151+E156+E161+E166+E171+E175+E178+E183+E188+E192+E197+E202+E207+E212+E215+E220+E225+E230+E235+E239+E244+E249+E254+E259+E264+E269+E274+E278+E283+E288+E291+E296+E300+E304+E309</f>
        <v>-1386872.024501638</v>
      </c>
    </row>
    <row r="312" spans="1:5" s="111" customFormat="1" ht="15.75" x14ac:dyDescent="0.3">
      <c r="A312" s="105"/>
      <c r="B312" s="105"/>
      <c r="C312" s="106"/>
      <c r="D312" s="105"/>
      <c r="E312" s="115"/>
    </row>
    <row r="313" spans="1:5" s="111" customFormat="1" ht="16.5" thickBot="1" x14ac:dyDescent="0.35">
      <c r="A313" s="105"/>
      <c r="B313" s="105"/>
      <c r="C313" s="106"/>
      <c r="D313" s="105"/>
      <c r="E313" s="110"/>
    </row>
    <row r="314" spans="1:5" s="111" customFormat="1" ht="15.75" x14ac:dyDescent="0.3">
      <c r="A314" s="105"/>
      <c r="B314" s="116" t="s">
        <v>98</v>
      </c>
      <c r="C314" s="117">
        <f>C2+C7+C12+C17+C21+C26+C31+C36+C41+C46+C51+C56+C60+C64+C68+C71+C76+C81+C86+C90+C95+C99+C104+C108+C112+C116+C121+C126+C131+C135+C140+C145+C149+C152+C157+C162+C167+C172+C176+C179+C184+C189+C193+C198+C203+C208+C213+C216+C221+C226+C231+C236+C240+C245+C250+C255+C260+C265+C270+C275+C279+C284+C289+C292+C297+C301+C305</f>
        <v>305274760.23262578</v>
      </c>
      <c r="D314" s="117"/>
      <c r="E314" s="118">
        <f t="shared" ref="E314" si="0">E2+E7+E12+E17+E21+E26+E31+E36+E41+E46+E51+E56+E60+E64+E68+E71+E76+E81+E86+E90+E95+E99+E104+E108+E112+E116+E121+E126+E131+E135+E140+E145+E149+E152+E157+E162+E167+E172+E176+E179+E184+E189+E193+E198+E203+E208+E213+E216+E221+E226+E231+E236+E240+E245+E250+E255+E260+E265+E270+E275+E279+E284+E289+E292+E297+E301+E305</f>
        <v>-1343208.9450235539</v>
      </c>
    </row>
    <row r="315" spans="1:5" ht="15.75" x14ac:dyDescent="0.3">
      <c r="A315" s="105"/>
      <c r="B315" s="119" t="s">
        <v>99</v>
      </c>
      <c r="C315" s="120">
        <f>C3+C8+C13+C18+C22+C27+C32+C37+C42+C47+C52+C65+C72+C77+C82+C87+C91+C96+C100+C105+C113+C117+C122+C127+C132+C136+C141+C146+C153+C158+C163+C168+C173+C180+C185+C190+C194+C199+C204+C209+C217+C222+C227+C232+C237+C241+C246+C251+C256+C261+C266+C271+C280+C285+C293+C298+C302+C306</f>
        <v>14788628.210856328</v>
      </c>
      <c r="D315" s="120"/>
      <c r="E315" s="121">
        <f t="shared" ref="E315" si="1">E3+E8+E13+E18+E22+E27+E32+E37+E42+E47+E52+E65+E72+E77+E82+E87+E91+E96+E100+E105+E113+E117+E122+E127+E132+E136+E141+E146+E153+E158+E163+E168+E173+E180+E185+E190+E194+E199+E204+E209+E217+E222+E227+E232+E237+E241+E246+E251+E256+E261+E266+E271+E280+E285+E293+E298+E302+E306</f>
        <v>-94647.220549480524</v>
      </c>
    </row>
    <row r="316" spans="1:5" ht="15.75" x14ac:dyDescent="0.3">
      <c r="A316" s="105"/>
      <c r="B316" s="119" t="s">
        <v>100</v>
      </c>
      <c r="C316" s="120">
        <f>C4+C9+C14+C23+C28+C33+C38+C43+C48+C53+C57+C61+C73+C78+C83+C88+C92+C101+C109+C118+C123+C128+C137+C142+C154+C159+C164+C169+C181+C186+C191+C195+C200+C205+C210+C218+C223+C228+C233+C238+C242+C247+C252+C257+C262+C267+C272+C276+C281+C286+C294+C307</f>
        <v>26158231.640913907</v>
      </c>
      <c r="D316" s="120"/>
      <c r="E316" s="121">
        <f>E4+E9+E14+E23+E28+E33+E38+E43+E48+E53+E57+E61+E73+E78+E83+E88+E92+E101+E109+E118+E123+E128+E137+E142+E154+E159+E164+E169+E181+E186+E191+E195+E200+E205+E210+E218+E223+E228+E233+E238+E242+E247+E252+E257+E262+E267+E272+E276+E281+E286+E294+E307</f>
        <v>26158.231640913895</v>
      </c>
    </row>
    <row r="317" spans="1:5" ht="15.75" x14ac:dyDescent="0.3">
      <c r="A317" s="105"/>
      <c r="B317" s="119" t="s">
        <v>101</v>
      </c>
      <c r="C317" s="122">
        <f>C5+C10+C15+C19+C24+C29+C34+C39+C44+C49+C54+C58+C62+C66+C69+C74+C79+C84+C93+C97+C102+C106+C110+C114+C119+C124+C129+C133+C138+C143+C147+C150+C155+C160+C165+C170+C174+C177+C182+C187+C196+C201+C206+C211+C214+C219+C224+C229+C234+C243+C248+C253+C258+C263+C268+C273+C277+C282+C287+C290+C295+C299+C303+C308</f>
        <v>5773467.3094144808</v>
      </c>
      <c r="D317" s="120"/>
      <c r="E317" s="123">
        <f t="shared" ref="E317" si="2">E5+E10+E15+E19+E24+E29+E34+E39+E44+E49+E54+E58+E62+E66+E69+E74+E79+E84+E93+E97+E102+E106+E110+E114+E119+E124+E129+E133+E138+E143+E147+E150+E155+E160+E165+E170+E174+E177+E182+E187+E196+E201+E206+E211+E214+E219+E224+E229+E234+E243+E248+E253+E258+E263+E268+E273+E277+E282+E287+E290+E295+E299+E303+E308</f>
        <v>24825.909430482279</v>
      </c>
    </row>
    <row r="318" spans="1:5" ht="16.5" thickBot="1" x14ac:dyDescent="0.35">
      <c r="A318" s="105"/>
      <c r="B318" s="124"/>
      <c r="C318" s="125">
        <f>SUM(C314:C317)</f>
        <v>351995087.39381051</v>
      </c>
      <c r="D318" s="125"/>
      <c r="E318" s="126">
        <f>SUM(E314:E317)</f>
        <v>-1386872.0245016383</v>
      </c>
    </row>
    <row r="319" spans="1:5" s="130" customFormat="1" ht="15.75" x14ac:dyDescent="0.3">
      <c r="A319" s="127"/>
      <c r="B319" s="127"/>
      <c r="C319" s="128">
        <f>C311-C318</f>
        <v>0</v>
      </c>
      <c r="D319" s="129"/>
      <c r="E319" s="128">
        <f>E311-E318</f>
        <v>0</v>
      </c>
    </row>
    <row r="320" spans="1:5" s="130" customFormat="1" ht="15.75" x14ac:dyDescent="0.3">
      <c r="A320" s="127" t="s">
        <v>242</v>
      </c>
      <c r="B320" s="127"/>
      <c r="C320" s="128"/>
      <c r="D320" s="129"/>
      <c r="E320" s="128"/>
    </row>
  </sheetData>
  <autoFilter ref="A1:E309" xr:uid="{A917B256-BF83-4E80-8C4C-D0F1F79B638F}"/>
  <dataValidations count="1">
    <dataValidation type="decimal" operator="greaterThanOrEqual" allowBlank="1" showInputMessage="1" showErrorMessage="1" sqref="B262:C262 B113:C113 F265:XFD265 E113:XFD113" xr:uid="{9422A746-3B40-4483-B4FD-151ED3D9BC39}">
      <formula1>0</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24AEC-C045-49BB-9B47-0B1C431A1FEE}">
  <sheetPr>
    <pageSetUpPr fitToPage="1"/>
  </sheetPr>
  <dimension ref="A1:I75"/>
  <sheetViews>
    <sheetView zoomScale="120" zoomScaleNormal="120" zoomScalePageLayoutView="55" workbookViewId="0">
      <pane xSplit="2" ySplit="2" topLeftCell="C48" activePane="bottomRight" state="frozen"/>
      <selection activeCell="G64" sqref="G64"/>
      <selection pane="topRight" activeCell="G64" sqref="G64"/>
      <selection pane="bottomLeft" activeCell="G64" sqref="G64"/>
      <selection pane="bottomRight" activeCell="F2" sqref="F2"/>
    </sheetView>
  </sheetViews>
  <sheetFormatPr defaultColWidth="2.28515625" defaultRowHeight="13.5" x14ac:dyDescent="0.25"/>
  <cols>
    <col min="1" max="1" width="13.7109375" style="45" customWidth="1"/>
    <col min="2" max="2" width="6.28515625" style="45" customWidth="1"/>
    <col min="3" max="3" width="16.85546875" style="45" customWidth="1"/>
    <col min="4" max="4" width="15" style="276" customWidth="1"/>
    <col min="5" max="5" width="12" style="276" customWidth="1"/>
    <col min="6" max="6" width="17" style="45" customWidth="1"/>
    <col min="7" max="7" width="10.42578125" style="282" customWidth="1"/>
    <col min="8" max="8" width="16.5703125" style="283" customWidth="1"/>
    <col min="9" max="9" width="10.28515625" style="276" customWidth="1"/>
    <col min="10" max="16384" width="2.28515625" style="45"/>
  </cols>
  <sheetData>
    <row r="1" spans="1:9" s="99" customFormat="1" ht="14.25" hidden="1" thickBot="1" x14ac:dyDescent="0.3">
      <c r="A1" s="252" t="s">
        <v>210</v>
      </c>
      <c r="B1" s="252"/>
      <c r="C1" s="252"/>
      <c r="F1" s="71">
        <f>C71</f>
        <v>590116470</v>
      </c>
      <c r="G1" s="253"/>
      <c r="H1" s="254"/>
      <c r="I1" s="255"/>
    </row>
    <row r="2" spans="1:9" s="25" customFormat="1" ht="54.75" thickBot="1" x14ac:dyDescent="0.3">
      <c r="A2" s="16" t="s">
        <v>11</v>
      </c>
      <c r="B2" s="83" t="s">
        <v>12</v>
      </c>
      <c r="C2" s="18" t="s">
        <v>93</v>
      </c>
      <c r="D2" s="20" t="s">
        <v>92</v>
      </c>
      <c r="E2" s="83" t="s">
        <v>211</v>
      </c>
      <c r="F2" s="256" t="s">
        <v>267</v>
      </c>
      <c r="G2" s="257" t="s">
        <v>212</v>
      </c>
      <c r="H2" s="258" t="s">
        <v>213</v>
      </c>
      <c r="I2" s="259" t="s">
        <v>214</v>
      </c>
    </row>
    <row r="3" spans="1:9" s="35" customFormat="1" x14ac:dyDescent="0.25">
      <c r="A3" s="91" t="s">
        <v>18</v>
      </c>
      <c r="B3" s="92">
        <v>1</v>
      </c>
      <c r="C3" s="28">
        <v>603165</v>
      </c>
      <c r="D3" s="30">
        <v>10541.5</v>
      </c>
      <c r="E3" s="260">
        <f t="shared" ref="E3:E34" si="0">C3/D3</f>
        <v>57.218137836171323</v>
      </c>
      <c r="F3" s="261">
        <f t="shared" ref="F3:F34" si="1">ROUND((D3/$D$71*$F$1),0)</f>
        <v>325528</v>
      </c>
      <c r="G3" s="262">
        <f t="shared" ref="G3:G34" si="2">F3/$F$1</f>
        <v>5.5163347669316871E-4</v>
      </c>
      <c r="H3" s="263">
        <f t="shared" ref="H3:H34" si="3">F3-C3</f>
        <v>-277637</v>
      </c>
      <c r="I3" s="375">
        <f t="shared" ref="I3:I34" si="4">H3/C3</f>
        <v>-0.46030024951713044</v>
      </c>
    </row>
    <row r="4" spans="1:9" customFormat="1" ht="15" x14ac:dyDescent="0.25">
      <c r="A4" s="86" t="s">
        <v>19</v>
      </c>
      <c r="B4" s="87">
        <v>1</v>
      </c>
      <c r="C4" s="28">
        <v>367092</v>
      </c>
      <c r="D4" s="38">
        <v>4515.5</v>
      </c>
      <c r="E4" s="264">
        <f t="shared" si="0"/>
        <v>81.295980511571258</v>
      </c>
      <c r="F4" s="261">
        <f t="shared" si="1"/>
        <v>139441</v>
      </c>
      <c r="G4" s="262">
        <f t="shared" si="2"/>
        <v>2.3629403192220681E-4</v>
      </c>
      <c r="H4" s="263">
        <f t="shared" si="3"/>
        <v>-227651</v>
      </c>
      <c r="I4" s="265">
        <f t="shared" si="4"/>
        <v>-0.62014699312433941</v>
      </c>
    </row>
    <row r="5" spans="1:9" s="40" customFormat="1" x14ac:dyDescent="0.25">
      <c r="A5" s="86" t="s">
        <v>20</v>
      </c>
      <c r="B5" s="87">
        <v>1</v>
      </c>
      <c r="C5" s="28">
        <v>385133</v>
      </c>
      <c r="D5" s="38">
        <v>7058.5</v>
      </c>
      <c r="E5" s="264">
        <f t="shared" si="0"/>
        <v>54.563009137918819</v>
      </c>
      <c r="F5" s="261">
        <f t="shared" si="1"/>
        <v>217971</v>
      </c>
      <c r="G5" s="262">
        <f t="shared" si="2"/>
        <v>3.6936945684637473E-4</v>
      </c>
      <c r="H5" s="263">
        <f t="shared" si="3"/>
        <v>-167162</v>
      </c>
      <c r="I5" s="265">
        <f t="shared" si="4"/>
        <v>-0.43403707290728138</v>
      </c>
    </row>
    <row r="6" spans="1:9" s="35" customFormat="1" x14ac:dyDescent="0.25">
      <c r="A6" s="86" t="s">
        <v>21</v>
      </c>
      <c r="B6" s="87">
        <v>1</v>
      </c>
      <c r="C6" s="28">
        <v>595396</v>
      </c>
      <c r="D6" s="38">
        <v>7615.5</v>
      </c>
      <c r="E6" s="264">
        <f t="shared" si="0"/>
        <v>78.182128553607768</v>
      </c>
      <c r="F6" s="261">
        <f t="shared" si="1"/>
        <v>235171</v>
      </c>
      <c r="G6" s="262">
        <f t="shared" si="2"/>
        <v>3.985162454455813E-4</v>
      </c>
      <c r="H6" s="263">
        <f t="shared" si="3"/>
        <v>-360225</v>
      </c>
      <c r="I6" s="265">
        <f t="shared" si="4"/>
        <v>-0.60501750095734608</v>
      </c>
    </row>
    <row r="7" spans="1:9" s="35" customFormat="1" x14ac:dyDescent="0.25">
      <c r="A7" s="86" t="s">
        <v>22</v>
      </c>
      <c r="B7" s="87">
        <v>2</v>
      </c>
      <c r="C7" s="41">
        <v>895589</v>
      </c>
      <c r="D7" s="38">
        <v>19242</v>
      </c>
      <c r="E7" s="264">
        <f t="shared" si="0"/>
        <v>46.543446627169736</v>
      </c>
      <c r="F7" s="261">
        <f t="shared" si="1"/>
        <v>594205</v>
      </c>
      <c r="G7" s="262">
        <f t="shared" si="2"/>
        <v>1.0069283441622972E-3</v>
      </c>
      <c r="H7" s="263">
        <f t="shared" si="3"/>
        <v>-301384</v>
      </c>
      <c r="I7" s="265">
        <f t="shared" si="4"/>
        <v>-0.33652043515496505</v>
      </c>
    </row>
    <row r="8" spans="1:9" s="35" customFormat="1" x14ac:dyDescent="0.25">
      <c r="A8" s="91" t="s">
        <v>23</v>
      </c>
      <c r="B8" s="92">
        <v>2</v>
      </c>
      <c r="C8" s="28">
        <v>552219</v>
      </c>
      <c r="D8" s="30">
        <v>12579</v>
      </c>
      <c r="E8" s="264">
        <f t="shared" si="0"/>
        <v>43.900071547817788</v>
      </c>
      <c r="F8" s="261">
        <f t="shared" si="1"/>
        <v>388447</v>
      </c>
      <c r="G8" s="262">
        <f t="shared" si="2"/>
        <v>6.5825480180209167E-4</v>
      </c>
      <c r="H8" s="263">
        <f t="shared" si="3"/>
        <v>-163772</v>
      </c>
      <c r="I8" s="265">
        <f t="shared" si="4"/>
        <v>-0.29657074457778526</v>
      </c>
    </row>
    <row r="9" spans="1:9" s="35" customFormat="1" x14ac:dyDescent="0.25">
      <c r="A9" s="86" t="s">
        <v>24</v>
      </c>
      <c r="B9" s="87">
        <v>2</v>
      </c>
      <c r="C9" s="28">
        <v>602528</v>
      </c>
      <c r="D9" s="38">
        <v>11787</v>
      </c>
      <c r="E9" s="264">
        <f t="shared" si="0"/>
        <v>51.118011368456777</v>
      </c>
      <c r="F9" s="261">
        <f t="shared" si="1"/>
        <v>363990</v>
      </c>
      <c r="G9" s="262">
        <f t="shared" si="2"/>
        <v>6.1681044082704552E-4</v>
      </c>
      <c r="H9" s="263">
        <f t="shared" si="3"/>
        <v>-238538</v>
      </c>
      <c r="I9" s="265">
        <f t="shared" si="4"/>
        <v>-0.39589529449253813</v>
      </c>
    </row>
    <row r="10" spans="1:9" s="35" customFormat="1" x14ac:dyDescent="0.25">
      <c r="A10" s="86" t="s">
        <v>25</v>
      </c>
      <c r="B10" s="87">
        <v>2</v>
      </c>
      <c r="C10" s="28">
        <v>780526</v>
      </c>
      <c r="D10" s="38">
        <v>15210</v>
      </c>
      <c r="E10" s="264">
        <f t="shared" si="0"/>
        <v>51.316633793556868</v>
      </c>
      <c r="F10" s="261">
        <f t="shared" si="1"/>
        <v>469694</v>
      </c>
      <c r="G10" s="262">
        <f t="shared" si="2"/>
        <v>7.959344025764948E-4</v>
      </c>
      <c r="H10" s="263">
        <f t="shared" si="3"/>
        <v>-310832</v>
      </c>
      <c r="I10" s="265">
        <f t="shared" si="4"/>
        <v>-0.39823401142306597</v>
      </c>
    </row>
    <row r="11" spans="1:9" s="35" customFormat="1" x14ac:dyDescent="0.25">
      <c r="A11" s="86" t="s">
        <v>26</v>
      </c>
      <c r="B11" s="87">
        <v>2</v>
      </c>
      <c r="C11" s="28">
        <v>671513</v>
      </c>
      <c r="D11" s="38">
        <v>12849</v>
      </c>
      <c r="E11" s="264">
        <f t="shared" si="0"/>
        <v>52.261888084675853</v>
      </c>
      <c r="F11" s="261">
        <f t="shared" si="1"/>
        <v>396785</v>
      </c>
      <c r="G11" s="262">
        <f t="shared" si="2"/>
        <v>6.7238421594977688E-4</v>
      </c>
      <c r="H11" s="263">
        <f t="shared" si="3"/>
        <v>-274728</v>
      </c>
      <c r="I11" s="265">
        <f t="shared" si="4"/>
        <v>-0.40911791730018632</v>
      </c>
    </row>
    <row r="12" spans="1:9" s="35" customFormat="1" x14ac:dyDescent="0.25">
      <c r="A12" s="86" t="s">
        <v>27</v>
      </c>
      <c r="B12" s="87">
        <v>2</v>
      </c>
      <c r="C12" s="28">
        <v>684959</v>
      </c>
      <c r="D12" s="38">
        <v>13472.5</v>
      </c>
      <c r="E12" s="264">
        <f t="shared" si="0"/>
        <v>50.841269252180368</v>
      </c>
      <c r="F12" s="261">
        <f t="shared" si="1"/>
        <v>416039</v>
      </c>
      <c r="G12" s="262">
        <f t="shared" si="2"/>
        <v>7.0501167337356303E-4</v>
      </c>
      <c r="H12" s="263">
        <f t="shared" si="3"/>
        <v>-268920</v>
      </c>
      <c r="I12" s="265">
        <f t="shared" si="4"/>
        <v>-0.39260744073732878</v>
      </c>
    </row>
    <row r="13" spans="1:9" s="35" customFormat="1" ht="12.75" customHeight="1" x14ac:dyDescent="0.25">
      <c r="A13" s="86" t="s">
        <v>28</v>
      </c>
      <c r="B13" s="87">
        <v>2</v>
      </c>
      <c r="C13" s="28">
        <v>725928</v>
      </c>
      <c r="D13" s="38">
        <v>17088.5</v>
      </c>
      <c r="E13" s="264">
        <f t="shared" si="0"/>
        <v>42.480498580916993</v>
      </c>
      <c r="F13" s="261">
        <f t="shared" si="1"/>
        <v>527704</v>
      </c>
      <c r="G13" s="262">
        <f t="shared" si="2"/>
        <v>8.9423703086951634E-4</v>
      </c>
      <c r="H13" s="263">
        <f t="shared" si="3"/>
        <v>-198224</v>
      </c>
      <c r="I13" s="265">
        <f t="shared" si="4"/>
        <v>-0.27306289328969263</v>
      </c>
    </row>
    <row r="14" spans="1:9" s="35" customFormat="1" x14ac:dyDescent="0.25">
      <c r="A14" s="86" t="s">
        <v>29</v>
      </c>
      <c r="B14" s="87">
        <v>2</v>
      </c>
      <c r="C14" s="28">
        <v>1103110</v>
      </c>
      <c r="D14" s="38">
        <v>23886.5</v>
      </c>
      <c r="E14" s="264">
        <f t="shared" si="0"/>
        <v>46.181315805999205</v>
      </c>
      <c r="F14" s="261">
        <f t="shared" si="1"/>
        <v>737630</v>
      </c>
      <c r="G14" s="262">
        <f t="shared" si="2"/>
        <v>1.2499735857228319E-3</v>
      </c>
      <c r="H14" s="263">
        <f t="shared" si="3"/>
        <v>-365480</v>
      </c>
      <c r="I14" s="265">
        <f t="shared" si="4"/>
        <v>-0.33131781961907697</v>
      </c>
    </row>
    <row r="15" spans="1:9" s="35" customFormat="1" x14ac:dyDescent="0.25">
      <c r="A15" s="86" t="s">
        <v>30</v>
      </c>
      <c r="B15" s="87">
        <v>2</v>
      </c>
      <c r="C15" s="28">
        <v>724790</v>
      </c>
      <c r="D15" s="38">
        <v>16236</v>
      </c>
      <c r="E15" s="264">
        <f t="shared" si="0"/>
        <v>44.640921409214094</v>
      </c>
      <c r="F15" s="261">
        <f t="shared" si="1"/>
        <v>501378</v>
      </c>
      <c r="G15" s="262">
        <f t="shared" si="2"/>
        <v>8.4962549850540526E-4</v>
      </c>
      <c r="H15" s="263">
        <f t="shared" si="3"/>
        <v>-223412</v>
      </c>
      <c r="I15" s="265">
        <f t="shared" si="4"/>
        <v>-0.30824376716014296</v>
      </c>
    </row>
    <row r="16" spans="1:9" s="35" customFormat="1" x14ac:dyDescent="0.25">
      <c r="A16" s="86" t="s">
        <v>31</v>
      </c>
      <c r="B16" s="87">
        <v>2</v>
      </c>
      <c r="C16" s="28">
        <v>612817</v>
      </c>
      <c r="D16" s="38">
        <v>13847</v>
      </c>
      <c r="E16" s="264">
        <f t="shared" si="0"/>
        <v>44.256301003827545</v>
      </c>
      <c r="F16" s="261">
        <f t="shared" si="1"/>
        <v>427604</v>
      </c>
      <c r="G16" s="262">
        <f t="shared" si="2"/>
        <v>7.2460949954506436E-4</v>
      </c>
      <c r="H16" s="263">
        <f t="shared" si="3"/>
        <v>-185213</v>
      </c>
      <c r="I16" s="265">
        <f t="shared" si="4"/>
        <v>-0.30223215087048827</v>
      </c>
    </row>
    <row r="17" spans="1:9" s="35" customFormat="1" x14ac:dyDescent="0.25">
      <c r="A17" s="86" t="s">
        <v>32</v>
      </c>
      <c r="B17" s="87">
        <v>2</v>
      </c>
      <c r="C17" s="28">
        <v>720281</v>
      </c>
      <c r="D17" s="38">
        <v>21365</v>
      </c>
      <c r="E17" s="264">
        <f t="shared" si="0"/>
        <v>33.713128949216006</v>
      </c>
      <c r="F17" s="261">
        <f t="shared" si="1"/>
        <v>659765</v>
      </c>
      <c r="G17" s="262">
        <f t="shared" si="2"/>
        <v>1.1180250569857845E-3</v>
      </c>
      <c r="H17" s="263">
        <f t="shared" si="3"/>
        <v>-60516</v>
      </c>
      <c r="I17" s="265">
        <f t="shared" si="4"/>
        <v>-8.4017209950005625E-2</v>
      </c>
    </row>
    <row r="18" spans="1:9" s="35" customFormat="1" x14ac:dyDescent="0.25">
      <c r="A18" s="86" t="s">
        <v>33</v>
      </c>
      <c r="B18" s="87">
        <v>2</v>
      </c>
      <c r="C18" s="28">
        <v>965049</v>
      </c>
      <c r="D18" s="38">
        <v>19004</v>
      </c>
      <c r="E18" s="264">
        <f t="shared" si="0"/>
        <v>50.781361818564513</v>
      </c>
      <c r="F18" s="261">
        <f t="shared" si="1"/>
        <v>586856</v>
      </c>
      <c r="G18" s="262">
        <f t="shared" si="2"/>
        <v>9.9447487035906647E-4</v>
      </c>
      <c r="H18" s="263">
        <f t="shared" si="3"/>
        <v>-378193</v>
      </c>
      <c r="I18" s="265">
        <f t="shared" si="4"/>
        <v>-0.39188994548463341</v>
      </c>
    </row>
    <row r="19" spans="1:9" s="35" customFormat="1" x14ac:dyDescent="0.25">
      <c r="A19" s="86" t="s">
        <v>34</v>
      </c>
      <c r="B19" s="87">
        <v>3</v>
      </c>
      <c r="C19" s="28">
        <v>1112750</v>
      </c>
      <c r="D19" s="38">
        <v>28955.5</v>
      </c>
      <c r="E19" s="264">
        <f t="shared" si="0"/>
        <v>38.429659304795287</v>
      </c>
      <c r="F19" s="261">
        <f t="shared" si="1"/>
        <v>894164</v>
      </c>
      <c r="G19" s="262">
        <f t="shared" si="2"/>
        <v>1.5152330861058665E-3</v>
      </c>
      <c r="H19" s="263">
        <f t="shared" si="3"/>
        <v>-218586</v>
      </c>
      <c r="I19" s="265">
        <f t="shared" si="4"/>
        <v>-0.19643765445967198</v>
      </c>
    </row>
    <row r="20" spans="1:9" s="35" customFormat="1" x14ac:dyDescent="0.25">
      <c r="A20" s="86" t="s">
        <v>35</v>
      </c>
      <c r="B20" s="87">
        <v>3</v>
      </c>
      <c r="C20" s="28">
        <v>1042616</v>
      </c>
      <c r="D20" s="38">
        <v>30650</v>
      </c>
      <c r="E20" s="264">
        <f t="shared" si="0"/>
        <v>34.016835236541596</v>
      </c>
      <c r="F20" s="261">
        <f t="shared" si="1"/>
        <v>946491</v>
      </c>
      <c r="G20" s="262">
        <f t="shared" si="2"/>
        <v>1.6039054120960223E-3</v>
      </c>
      <c r="H20" s="263">
        <f t="shared" si="3"/>
        <v>-96125</v>
      </c>
      <c r="I20" s="265">
        <f t="shared" si="4"/>
        <v>-9.2195976275061958E-2</v>
      </c>
    </row>
    <row r="21" spans="1:9" s="35" customFormat="1" x14ac:dyDescent="0.25">
      <c r="A21" s="86" t="s">
        <v>36</v>
      </c>
      <c r="B21" s="87">
        <v>3</v>
      </c>
      <c r="C21" s="28">
        <v>1642925</v>
      </c>
      <c r="D21" s="38">
        <v>35044.5</v>
      </c>
      <c r="E21" s="264">
        <f t="shared" si="0"/>
        <v>46.881108305154875</v>
      </c>
      <c r="F21" s="261">
        <f t="shared" si="1"/>
        <v>1082196</v>
      </c>
      <c r="G21" s="262">
        <f t="shared" si="2"/>
        <v>1.8338684904015642E-3</v>
      </c>
      <c r="H21" s="263">
        <f t="shared" si="3"/>
        <v>-560729</v>
      </c>
      <c r="I21" s="265">
        <f t="shared" si="4"/>
        <v>-0.34129920720665885</v>
      </c>
    </row>
    <row r="22" spans="1:9" s="35" customFormat="1" x14ac:dyDescent="0.25">
      <c r="A22" s="86" t="s">
        <v>37</v>
      </c>
      <c r="B22" s="87">
        <v>3</v>
      </c>
      <c r="C22" s="28">
        <v>1563453</v>
      </c>
      <c r="D22" s="38">
        <v>36882.5</v>
      </c>
      <c r="E22" s="264">
        <f t="shared" si="0"/>
        <v>42.390103707720463</v>
      </c>
      <c r="F22" s="261">
        <f t="shared" si="1"/>
        <v>1138955</v>
      </c>
      <c r="G22" s="262">
        <f t="shared" si="2"/>
        <v>1.9300511981982134E-3</v>
      </c>
      <c r="H22" s="263">
        <f t="shared" si="3"/>
        <v>-424498</v>
      </c>
      <c r="I22" s="265">
        <f t="shared" si="4"/>
        <v>-0.27151311871863115</v>
      </c>
    </row>
    <row r="23" spans="1:9" s="35" customFormat="1" x14ac:dyDescent="0.25">
      <c r="A23" s="86" t="s">
        <v>38</v>
      </c>
      <c r="B23" s="87">
        <v>3</v>
      </c>
      <c r="C23" s="28">
        <v>1361638</v>
      </c>
      <c r="D23" s="38">
        <v>31319</v>
      </c>
      <c r="E23" s="264">
        <f t="shared" si="0"/>
        <v>43.476420064497589</v>
      </c>
      <c r="F23" s="261">
        <f t="shared" si="1"/>
        <v>967151</v>
      </c>
      <c r="G23" s="262">
        <f t="shared" si="2"/>
        <v>1.6389154500297204E-3</v>
      </c>
      <c r="H23" s="263">
        <f t="shared" si="3"/>
        <v>-394487</v>
      </c>
      <c r="I23" s="265">
        <f t="shared" si="4"/>
        <v>-0.28971503439240093</v>
      </c>
    </row>
    <row r="24" spans="1:9" s="35" customFormat="1" x14ac:dyDescent="0.25">
      <c r="A24" s="86" t="s">
        <v>39</v>
      </c>
      <c r="B24" s="87">
        <v>3</v>
      </c>
      <c r="C24" s="28">
        <v>1452833</v>
      </c>
      <c r="D24" s="38">
        <v>39600.5</v>
      </c>
      <c r="E24" s="264">
        <f t="shared" si="0"/>
        <v>36.687238797489933</v>
      </c>
      <c r="F24" s="261">
        <f t="shared" si="1"/>
        <v>1222888</v>
      </c>
      <c r="G24" s="262">
        <f t="shared" si="2"/>
        <v>2.0722824428201438E-3</v>
      </c>
      <c r="H24" s="263">
        <f t="shared" si="3"/>
        <v>-229945</v>
      </c>
      <c r="I24" s="265">
        <f t="shared" si="4"/>
        <v>-0.15827352489928298</v>
      </c>
    </row>
    <row r="25" spans="1:9" s="35" customFormat="1" x14ac:dyDescent="0.25">
      <c r="A25" s="86" t="s">
        <v>40</v>
      </c>
      <c r="B25" s="87">
        <v>3</v>
      </c>
      <c r="C25" s="28">
        <v>732696</v>
      </c>
      <c r="D25" s="38">
        <v>24784</v>
      </c>
      <c r="E25" s="264">
        <f t="shared" si="0"/>
        <v>29.563266623628149</v>
      </c>
      <c r="F25" s="261">
        <f t="shared" si="1"/>
        <v>765346</v>
      </c>
      <c r="G25" s="262">
        <f t="shared" si="2"/>
        <v>1.2969405853051348E-3</v>
      </c>
      <c r="H25" s="266">
        <f t="shared" si="3"/>
        <v>32650</v>
      </c>
      <c r="I25" s="267">
        <f t="shared" si="4"/>
        <v>4.4561455228362107E-2</v>
      </c>
    </row>
    <row r="26" spans="1:9" s="35" customFormat="1" x14ac:dyDescent="0.25">
      <c r="A26" s="86" t="s">
        <v>41</v>
      </c>
      <c r="B26" s="87">
        <v>3</v>
      </c>
      <c r="C26" s="28">
        <v>1601525</v>
      </c>
      <c r="D26" s="38">
        <v>36495.5</v>
      </c>
      <c r="E26" s="264">
        <f t="shared" si="0"/>
        <v>43.88280746941404</v>
      </c>
      <c r="F26" s="261">
        <f t="shared" si="1"/>
        <v>1127004</v>
      </c>
      <c r="G26" s="262">
        <f t="shared" si="2"/>
        <v>1.9097992638639624E-3</v>
      </c>
      <c r="H26" s="263">
        <f t="shared" si="3"/>
        <v>-474521</v>
      </c>
      <c r="I26" s="265">
        <f t="shared" si="4"/>
        <v>-0.29629322052418788</v>
      </c>
    </row>
    <row r="27" spans="1:9" s="35" customFormat="1" x14ac:dyDescent="0.25">
      <c r="A27" s="86" t="s">
        <v>42</v>
      </c>
      <c r="B27" s="87">
        <v>3</v>
      </c>
      <c r="C27" s="28">
        <v>1453646</v>
      </c>
      <c r="D27" s="38">
        <v>32000.5</v>
      </c>
      <c r="E27" s="264">
        <f t="shared" si="0"/>
        <v>45.425727723004329</v>
      </c>
      <c r="F27" s="261">
        <f t="shared" si="1"/>
        <v>988196</v>
      </c>
      <c r="G27" s="262">
        <f t="shared" si="2"/>
        <v>1.6745779015454355E-3</v>
      </c>
      <c r="H27" s="263">
        <f t="shared" si="3"/>
        <v>-465450</v>
      </c>
      <c r="I27" s="265">
        <f t="shared" si="4"/>
        <v>-0.32019487550614112</v>
      </c>
    </row>
    <row r="28" spans="1:9" s="35" customFormat="1" x14ac:dyDescent="0.25">
      <c r="A28" s="86" t="s">
        <v>43</v>
      </c>
      <c r="B28" s="87">
        <v>3</v>
      </c>
      <c r="C28" s="28">
        <v>884224</v>
      </c>
      <c r="D28" s="38">
        <v>23605.5</v>
      </c>
      <c r="E28" s="264">
        <f t="shared" si="0"/>
        <v>37.45838893478215</v>
      </c>
      <c r="F28" s="261">
        <f t="shared" si="1"/>
        <v>728953</v>
      </c>
      <c r="G28" s="262">
        <f t="shared" si="2"/>
        <v>1.2352697087068252E-3</v>
      </c>
      <c r="H28" s="263">
        <f t="shared" si="3"/>
        <v>-155271</v>
      </c>
      <c r="I28" s="265">
        <f t="shared" si="4"/>
        <v>-0.17560143131152287</v>
      </c>
    </row>
    <row r="29" spans="1:9" s="35" customFormat="1" x14ac:dyDescent="0.25">
      <c r="A29" s="86" t="s">
        <v>44</v>
      </c>
      <c r="B29" s="87">
        <v>4</v>
      </c>
      <c r="C29" s="28">
        <v>3946441</v>
      </c>
      <c r="D29" s="38">
        <v>110990.5</v>
      </c>
      <c r="E29" s="264">
        <f t="shared" si="0"/>
        <v>35.556565652015266</v>
      </c>
      <c r="F29" s="261">
        <f t="shared" si="1"/>
        <v>3427457</v>
      </c>
      <c r="G29" s="262">
        <f t="shared" si="2"/>
        <v>5.8081025937134073E-3</v>
      </c>
      <c r="H29" s="263">
        <f t="shared" si="3"/>
        <v>-518984</v>
      </c>
      <c r="I29" s="265">
        <f t="shared" si="4"/>
        <v>-0.13150684376125224</v>
      </c>
    </row>
    <row r="30" spans="1:9" s="35" customFormat="1" x14ac:dyDescent="0.25">
      <c r="A30" s="86" t="s">
        <v>45</v>
      </c>
      <c r="B30" s="87">
        <v>4</v>
      </c>
      <c r="C30" s="28">
        <v>2056502</v>
      </c>
      <c r="D30" s="38">
        <v>61956.5</v>
      </c>
      <c r="E30" s="264">
        <f t="shared" si="0"/>
        <v>33.19267550620193</v>
      </c>
      <c r="F30" s="261">
        <f t="shared" si="1"/>
        <v>1913256</v>
      </c>
      <c r="G30" s="262">
        <f t="shared" si="2"/>
        <v>3.2421667539629931E-3</v>
      </c>
      <c r="H30" s="263">
        <f t="shared" si="3"/>
        <v>-143246</v>
      </c>
      <c r="I30" s="265">
        <f t="shared" si="4"/>
        <v>-6.9655171743086081E-2</v>
      </c>
    </row>
    <row r="31" spans="1:9" s="35" customFormat="1" x14ac:dyDescent="0.25">
      <c r="A31" s="86" t="s">
        <v>46</v>
      </c>
      <c r="B31" s="87">
        <v>4</v>
      </c>
      <c r="C31" s="28">
        <v>2438025</v>
      </c>
      <c r="D31" s="38">
        <v>82331</v>
      </c>
      <c r="E31" s="264">
        <f t="shared" si="0"/>
        <v>29.612478896163051</v>
      </c>
      <c r="F31" s="261">
        <f t="shared" si="1"/>
        <v>2542433</v>
      </c>
      <c r="G31" s="262">
        <f t="shared" si="2"/>
        <v>4.3083579755027E-3</v>
      </c>
      <c r="H31" s="266">
        <f t="shared" si="3"/>
        <v>104408</v>
      </c>
      <c r="I31" s="267">
        <f t="shared" si="4"/>
        <v>4.2824827473057082E-2</v>
      </c>
    </row>
    <row r="32" spans="1:9" s="35" customFormat="1" x14ac:dyDescent="0.25">
      <c r="A32" s="86" t="s">
        <v>47</v>
      </c>
      <c r="B32" s="87">
        <v>4</v>
      </c>
      <c r="C32" s="28">
        <v>2512218</v>
      </c>
      <c r="D32" s="38">
        <v>66364.5</v>
      </c>
      <c r="E32" s="264">
        <f t="shared" si="0"/>
        <v>37.854847094455621</v>
      </c>
      <c r="F32" s="261">
        <f t="shared" si="1"/>
        <v>2049378</v>
      </c>
      <c r="G32" s="262">
        <f t="shared" si="2"/>
        <v>3.4728364724339925E-3</v>
      </c>
      <c r="H32" s="263">
        <f t="shared" si="3"/>
        <v>-462840</v>
      </c>
      <c r="I32" s="265">
        <f t="shared" si="4"/>
        <v>-0.18423560375731723</v>
      </c>
    </row>
    <row r="33" spans="1:9" s="35" customFormat="1" x14ac:dyDescent="0.25">
      <c r="A33" s="86" t="s">
        <v>48</v>
      </c>
      <c r="B33" s="87">
        <v>4</v>
      </c>
      <c r="C33" s="28">
        <v>3697444</v>
      </c>
      <c r="D33" s="38">
        <v>105140</v>
      </c>
      <c r="E33" s="264">
        <f t="shared" si="0"/>
        <v>35.166863229979079</v>
      </c>
      <c r="F33" s="261">
        <f t="shared" si="1"/>
        <v>3246790</v>
      </c>
      <c r="G33" s="262">
        <f t="shared" si="2"/>
        <v>5.5019477765126607E-3</v>
      </c>
      <c r="H33" s="263">
        <f t="shared" si="3"/>
        <v>-450654</v>
      </c>
      <c r="I33" s="265">
        <f t="shared" si="4"/>
        <v>-0.12188257617965276</v>
      </c>
    </row>
    <row r="34" spans="1:9" s="35" customFormat="1" x14ac:dyDescent="0.25">
      <c r="A34" s="86" t="s">
        <v>49</v>
      </c>
      <c r="B34" s="87">
        <v>4</v>
      </c>
      <c r="C34" s="28">
        <v>4578779</v>
      </c>
      <c r="D34" s="38">
        <v>143072.5</v>
      </c>
      <c r="E34" s="264">
        <f t="shared" si="0"/>
        <v>32.00320816369323</v>
      </c>
      <c r="F34" s="261">
        <f t="shared" si="1"/>
        <v>4418169</v>
      </c>
      <c r="G34" s="262">
        <f t="shared" si="2"/>
        <v>7.4869440603818433E-3</v>
      </c>
      <c r="H34" s="263">
        <f t="shared" si="3"/>
        <v>-160610</v>
      </c>
      <c r="I34" s="265">
        <f t="shared" si="4"/>
        <v>-3.5077036913115922E-2</v>
      </c>
    </row>
    <row r="35" spans="1:9" s="35" customFormat="1" x14ac:dyDescent="0.25">
      <c r="A35" s="86" t="s">
        <v>50</v>
      </c>
      <c r="B35" s="87">
        <v>4</v>
      </c>
      <c r="C35" s="28">
        <v>2165560</v>
      </c>
      <c r="D35" s="38">
        <v>56656</v>
      </c>
      <c r="E35" s="264">
        <f t="shared" ref="E35:E66" si="5">C35/D35</f>
        <v>38.222959615927707</v>
      </c>
      <c r="F35" s="261">
        <f t="shared" ref="F35:F69" si="6">ROUND((D35/$D$71*$F$1),0)</f>
        <v>1749573</v>
      </c>
      <c r="G35" s="262">
        <f t="shared" ref="G35:G66" si="7">F35/$F$1</f>
        <v>2.96479269592323E-3</v>
      </c>
      <c r="H35" s="263">
        <f t="shared" ref="H35:H69" si="8">F35-C35</f>
        <v>-415987</v>
      </c>
      <c r="I35" s="265">
        <f t="shared" ref="I35:I66" si="9">H35/C35</f>
        <v>-0.19209211474168345</v>
      </c>
    </row>
    <row r="36" spans="1:9" s="35" customFormat="1" x14ac:dyDescent="0.25">
      <c r="A36" s="86" t="s">
        <v>51</v>
      </c>
      <c r="B36" s="87">
        <v>4</v>
      </c>
      <c r="C36" s="28">
        <v>2686897</v>
      </c>
      <c r="D36" s="38">
        <v>64441</v>
      </c>
      <c r="E36" s="264">
        <f t="shared" si="5"/>
        <v>41.695457860678758</v>
      </c>
      <c r="F36" s="261">
        <f t="shared" si="6"/>
        <v>1989979</v>
      </c>
      <c r="G36" s="262">
        <f t="shared" si="7"/>
        <v>3.3721800715035117E-3</v>
      </c>
      <c r="H36" s="263">
        <f t="shared" si="8"/>
        <v>-696918</v>
      </c>
      <c r="I36" s="265">
        <f t="shared" si="9"/>
        <v>-0.25937652243461512</v>
      </c>
    </row>
    <row r="37" spans="1:9" s="35" customFormat="1" x14ac:dyDescent="0.25">
      <c r="A37" s="86" t="s">
        <v>52</v>
      </c>
      <c r="B37" s="87">
        <v>4</v>
      </c>
      <c r="C37" s="28">
        <v>2643366</v>
      </c>
      <c r="D37" s="38">
        <v>74613.5</v>
      </c>
      <c r="E37" s="264">
        <f t="shared" si="5"/>
        <v>35.427449456197607</v>
      </c>
      <c r="F37" s="261">
        <f t="shared" si="6"/>
        <v>2304112</v>
      </c>
      <c r="G37" s="262">
        <f t="shared" si="7"/>
        <v>3.9045038007497063E-3</v>
      </c>
      <c r="H37" s="263">
        <f t="shared" si="8"/>
        <v>-339254</v>
      </c>
      <c r="I37" s="265">
        <f t="shared" si="9"/>
        <v>-0.12834166740436248</v>
      </c>
    </row>
    <row r="38" spans="1:9" s="35" customFormat="1" x14ac:dyDescent="0.25">
      <c r="A38" s="86" t="s">
        <v>53</v>
      </c>
      <c r="B38" s="87">
        <v>4</v>
      </c>
      <c r="C38" s="28">
        <v>2270936</v>
      </c>
      <c r="D38" s="38">
        <v>56728.5</v>
      </c>
      <c r="E38" s="264">
        <f t="shared" si="5"/>
        <v>40.031659571467607</v>
      </c>
      <c r="F38" s="261">
        <f t="shared" si="6"/>
        <v>1751812</v>
      </c>
      <c r="G38" s="262">
        <f t="shared" si="7"/>
        <v>2.9685868621833248E-3</v>
      </c>
      <c r="H38" s="263">
        <f t="shared" si="8"/>
        <v>-519124</v>
      </c>
      <c r="I38" s="265">
        <f t="shared" si="9"/>
        <v>-0.22859472922178345</v>
      </c>
    </row>
    <row r="39" spans="1:9" s="35" customFormat="1" x14ac:dyDescent="0.25">
      <c r="A39" s="86" t="s">
        <v>54</v>
      </c>
      <c r="B39" s="87">
        <v>5</v>
      </c>
      <c r="C39" s="28">
        <v>7347909</v>
      </c>
      <c r="D39" s="38">
        <v>189269</v>
      </c>
      <c r="E39" s="264">
        <f t="shared" si="5"/>
        <v>38.822569992972966</v>
      </c>
      <c r="F39" s="261">
        <f t="shared" si="6"/>
        <v>5844746</v>
      </c>
      <c r="G39" s="262">
        <f t="shared" si="7"/>
        <v>9.9043939580266242E-3</v>
      </c>
      <c r="H39" s="263">
        <f t="shared" si="8"/>
        <v>-1503163</v>
      </c>
      <c r="I39" s="265">
        <f t="shared" si="9"/>
        <v>-0.20457017091529031</v>
      </c>
    </row>
    <row r="40" spans="1:9" s="35" customFormat="1" x14ac:dyDescent="0.25">
      <c r="A40" s="86" t="s">
        <v>55</v>
      </c>
      <c r="B40" s="87">
        <v>5</v>
      </c>
      <c r="C40" s="28">
        <v>5495136</v>
      </c>
      <c r="D40" s="38">
        <v>219115</v>
      </c>
      <c r="E40" s="264">
        <f t="shared" si="5"/>
        <v>25.078775985213245</v>
      </c>
      <c r="F40" s="261">
        <f t="shared" si="6"/>
        <v>6766410</v>
      </c>
      <c r="G40" s="262">
        <f t="shared" si="7"/>
        <v>1.1466228014276571E-2</v>
      </c>
      <c r="H40" s="266">
        <f t="shared" si="8"/>
        <v>1271274</v>
      </c>
      <c r="I40" s="267">
        <f t="shared" si="9"/>
        <v>0.23134532066176342</v>
      </c>
    </row>
    <row r="41" spans="1:9" s="35" customFormat="1" x14ac:dyDescent="0.25">
      <c r="A41" s="86" t="s">
        <v>56</v>
      </c>
      <c r="B41" s="87">
        <v>5</v>
      </c>
      <c r="C41" s="28">
        <v>4718017</v>
      </c>
      <c r="D41" s="38">
        <v>150809</v>
      </c>
      <c r="E41" s="264">
        <f t="shared" si="5"/>
        <v>31.284717755571616</v>
      </c>
      <c r="F41" s="261">
        <f t="shared" si="6"/>
        <v>4657077</v>
      </c>
      <c r="G41" s="262">
        <f t="shared" si="7"/>
        <v>7.8917929540248209E-3</v>
      </c>
      <c r="H41" s="263">
        <f t="shared" si="8"/>
        <v>-60940</v>
      </c>
      <c r="I41" s="265">
        <f t="shared" si="9"/>
        <v>-1.291644349734221E-2</v>
      </c>
    </row>
    <row r="42" spans="1:9" s="35" customFormat="1" x14ac:dyDescent="0.25">
      <c r="A42" s="86" t="s">
        <v>57</v>
      </c>
      <c r="B42" s="87">
        <v>5</v>
      </c>
      <c r="C42" s="28">
        <v>5010389</v>
      </c>
      <c r="D42" s="38">
        <v>154861</v>
      </c>
      <c r="E42" s="264">
        <f t="shared" si="5"/>
        <v>32.354104648684952</v>
      </c>
      <c r="F42" s="261">
        <f t="shared" si="6"/>
        <v>4782206</v>
      </c>
      <c r="G42" s="262">
        <f t="shared" si="7"/>
        <v>8.1038341465033172E-3</v>
      </c>
      <c r="H42" s="263">
        <f t="shared" si="8"/>
        <v>-228183</v>
      </c>
      <c r="I42" s="265">
        <f t="shared" si="9"/>
        <v>-4.5541972888731796E-2</v>
      </c>
    </row>
    <row r="43" spans="1:9" s="35" customFormat="1" x14ac:dyDescent="0.25">
      <c r="A43" s="86" t="s">
        <v>58</v>
      </c>
      <c r="B43" s="87">
        <v>5</v>
      </c>
      <c r="C43" s="28">
        <v>8448623</v>
      </c>
      <c r="D43" s="38">
        <v>231039.5</v>
      </c>
      <c r="E43" s="264">
        <f t="shared" si="5"/>
        <v>36.567872593214581</v>
      </c>
      <c r="F43" s="261">
        <f t="shared" si="6"/>
        <v>7134646</v>
      </c>
      <c r="G43" s="262">
        <f t="shared" si="7"/>
        <v>1.2090233644893863E-2</v>
      </c>
      <c r="H43" s="263">
        <f t="shared" si="8"/>
        <v>-1313977</v>
      </c>
      <c r="I43" s="265">
        <f t="shared" si="9"/>
        <v>-0.15552558091419158</v>
      </c>
    </row>
    <row r="44" spans="1:9" s="35" customFormat="1" x14ac:dyDescent="0.25">
      <c r="A44" s="86" t="s">
        <v>59</v>
      </c>
      <c r="B44" s="87">
        <v>5</v>
      </c>
      <c r="C44" s="28">
        <v>4590067</v>
      </c>
      <c r="D44" s="38">
        <v>144363.5</v>
      </c>
      <c r="E44" s="264">
        <f t="shared" si="5"/>
        <v>31.795204466502959</v>
      </c>
      <c r="F44" s="261">
        <f t="shared" si="6"/>
        <v>4458036</v>
      </c>
      <c r="G44" s="262">
        <f t="shared" si="7"/>
        <v>7.5545019104448991E-3</v>
      </c>
      <c r="H44" s="263">
        <f t="shared" si="8"/>
        <v>-132031</v>
      </c>
      <c r="I44" s="265">
        <f t="shared" si="9"/>
        <v>-2.876450387325501E-2</v>
      </c>
    </row>
    <row r="45" spans="1:9" s="35" customFormat="1" x14ac:dyDescent="0.25">
      <c r="A45" s="86" t="s">
        <v>60</v>
      </c>
      <c r="B45" s="87">
        <v>5</v>
      </c>
      <c r="C45" s="28">
        <v>8358682</v>
      </c>
      <c r="D45" s="38">
        <v>275059</v>
      </c>
      <c r="E45" s="264">
        <f t="shared" si="5"/>
        <v>30.388687517950693</v>
      </c>
      <c r="F45" s="261">
        <f t="shared" si="6"/>
        <v>8493996</v>
      </c>
      <c r="G45" s="262">
        <f t="shared" si="7"/>
        <v>1.4393761963634059E-2</v>
      </c>
      <c r="H45" s="266">
        <f t="shared" si="8"/>
        <v>135314</v>
      </c>
      <c r="I45" s="267">
        <f t="shared" si="9"/>
        <v>1.6188437363689634E-2</v>
      </c>
    </row>
    <row r="46" spans="1:9" s="35" customFormat="1" x14ac:dyDescent="0.25">
      <c r="A46" s="86" t="s">
        <v>61</v>
      </c>
      <c r="B46" s="87">
        <v>5</v>
      </c>
      <c r="C46" s="28">
        <v>7617446</v>
      </c>
      <c r="D46" s="38">
        <v>215584</v>
      </c>
      <c r="E46" s="264">
        <f t="shared" si="5"/>
        <v>35.33400437880362</v>
      </c>
      <c r="F46" s="261">
        <f t="shared" si="6"/>
        <v>6657370</v>
      </c>
      <c r="G46" s="262">
        <f t="shared" si="7"/>
        <v>1.1281450931203462E-2</v>
      </c>
      <c r="H46" s="263">
        <f t="shared" si="8"/>
        <v>-960076</v>
      </c>
      <c r="I46" s="265">
        <f t="shared" si="9"/>
        <v>-0.12603646944133243</v>
      </c>
    </row>
    <row r="47" spans="1:9" s="35" customFormat="1" x14ac:dyDescent="0.25">
      <c r="A47" s="86" t="s">
        <v>62</v>
      </c>
      <c r="B47" s="87">
        <v>5</v>
      </c>
      <c r="C47" s="28">
        <v>8777172</v>
      </c>
      <c r="D47" s="38">
        <v>298054</v>
      </c>
      <c r="E47" s="264">
        <f t="shared" si="5"/>
        <v>29.448261053366167</v>
      </c>
      <c r="F47" s="261">
        <f t="shared" si="6"/>
        <v>9204096</v>
      </c>
      <c r="G47" s="262">
        <f t="shared" si="7"/>
        <v>1.5597083741790837E-2</v>
      </c>
      <c r="H47" s="266">
        <f t="shared" si="8"/>
        <v>426924</v>
      </c>
      <c r="I47" s="267">
        <f t="shared" si="9"/>
        <v>4.8640268186609534E-2</v>
      </c>
    </row>
    <row r="48" spans="1:9" s="35" customFormat="1" x14ac:dyDescent="0.25">
      <c r="A48" s="86" t="s">
        <v>63</v>
      </c>
      <c r="B48" s="87">
        <v>5</v>
      </c>
      <c r="C48" s="28">
        <v>4708689</v>
      </c>
      <c r="D48" s="38">
        <v>111517.5</v>
      </c>
      <c r="E48" s="264">
        <f t="shared" si="5"/>
        <v>42.223767570112315</v>
      </c>
      <c r="F48" s="261">
        <f t="shared" si="6"/>
        <v>3443731</v>
      </c>
      <c r="G48" s="262">
        <f t="shared" si="7"/>
        <v>5.8356802005543077E-3</v>
      </c>
      <c r="H48" s="263">
        <f t="shared" si="8"/>
        <v>-1264958</v>
      </c>
      <c r="I48" s="265">
        <f t="shared" si="9"/>
        <v>-0.26864335274638013</v>
      </c>
    </row>
    <row r="49" spans="1:9" s="35" customFormat="1" x14ac:dyDescent="0.25">
      <c r="A49" s="86" t="s">
        <v>64</v>
      </c>
      <c r="B49" s="87">
        <v>5</v>
      </c>
      <c r="C49" s="28">
        <v>4837069</v>
      </c>
      <c r="D49" s="38">
        <v>136998</v>
      </c>
      <c r="E49" s="264">
        <f t="shared" si="5"/>
        <v>35.307588431947913</v>
      </c>
      <c r="F49" s="261">
        <f t="shared" si="6"/>
        <v>4230585</v>
      </c>
      <c r="G49" s="262">
        <f t="shared" si="7"/>
        <v>7.1690678282543109E-3</v>
      </c>
      <c r="H49" s="263">
        <f t="shared" si="8"/>
        <v>-606484</v>
      </c>
      <c r="I49" s="265">
        <f t="shared" si="9"/>
        <v>-0.12538254054263026</v>
      </c>
    </row>
    <row r="50" spans="1:9" s="35" customFormat="1" x14ac:dyDescent="0.25">
      <c r="A50" s="86" t="s">
        <v>65</v>
      </c>
      <c r="B50" s="87">
        <v>5</v>
      </c>
      <c r="C50" s="28">
        <v>5061231</v>
      </c>
      <c r="D50" s="38">
        <v>177600.5</v>
      </c>
      <c r="E50" s="264">
        <f t="shared" si="5"/>
        <v>28.497842066886072</v>
      </c>
      <c r="F50" s="261">
        <f t="shared" si="6"/>
        <v>5484416</v>
      </c>
      <c r="G50" s="262">
        <f t="shared" si="7"/>
        <v>9.2937856826805724E-3</v>
      </c>
      <c r="H50" s="266">
        <f t="shared" si="8"/>
        <v>423185</v>
      </c>
      <c r="I50" s="267">
        <f t="shared" si="9"/>
        <v>8.3613057771913593E-2</v>
      </c>
    </row>
    <row r="51" spans="1:9" s="35" customFormat="1" x14ac:dyDescent="0.25">
      <c r="A51" s="86" t="s">
        <v>66</v>
      </c>
      <c r="B51" s="87">
        <v>5</v>
      </c>
      <c r="C51" s="28">
        <v>8791072</v>
      </c>
      <c r="D51" s="38">
        <v>278370</v>
      </c>
      <c r="E51" s="264">
        <f t="shared" si="5"/>
        <v>31.580529511082371</v>
      </c>
      <c r="F51" s="261">
        <f t="shared" si="6"/>
        <v>8596242</v>
      </c>
      <c r="G51" s="262">
        <f t="shared" si="7"/>
        <v>1.4567026065210483E-2</v>
      </c>
      <c r="H51" s="263">
        <f t="shared" si="8"/>
        <v>-194830</v>
      </c>
      <c r="I51" s="265">
        <f t="shared" si="9"/>
        <v>-2.2162257344724285E-2</v>
      </c>
    </row>
    <row r="52" spans="1:9" s="35" customFormat="1" x14ac:dyDescent="0.25">
      <c r="A52" s="86" t="s">
        <v>67</v>
      </c>
      <c r="B52" s="87">
        <v>5</v>
      </c>
      <c r="C52" s="28">
        <v>4364639</v>
      </c>
      <c r="D52" s="38">
        <v>113141.5</v>
      </c>
      <c r="E52" s="264">
        <f t="shared" si="5"/>
        <v>38.576817524957683</v>
      </c>
      <c r="F52" s="261">
        <f t="shared" si="6"/>
        <v>3493881</v>
      </c>
      <c r="G52" s="262">
        <f t="shared" si="7"/>
        <v>5.9206634242897844E-3</v>
      </c>
      <c r="H52" s="263">
        <f t="shared" si="8"/>
        <v>-870758</v>
      </c>
      <c r="I52" s="265">
        <f t="shared" si="9"/>
        <v>-0.19950286839301029</v>
      </c>
    </row>
    <row r="53" spans="1:9" s="35" customFormat="1" x14ac:dyDescent="0.25">
      <c r="A53" s="86" t="s">
        <v>68</v>
      </c>
      <c r="B53" s="87">
        <v>6</v>
      </c>
      <c r="C53" s="28">
        <v>14559833</v>
      </c>
      <c r="D53" s="38">
        <v>430377.5</v>
      </c>
      <c r="E53" s="264">
        <f t="shared" si="5"/>
        <v>33.830376820349578</v>
      </c>
      <c r="F53" s="261">
        <f t="shared" si="6"/>
        <v>13290329</v>
      </c>
      <c r="G53" s="262">
        <f t="shared" si="7"/>
        <v>2.2521535452145573E-2</v>
      </c>
      <c r="H53" s="263">
        <f t="shared" si="8"/>
        <v>-1269504</v>
      </c>
      <c r="I53" s="265">
        <f t="shared" si="9"/>
        <v>-8.7192208866681373E-2</v>
      </c>
    </row>
    <row r="54" spans="1:9" s="35" customFormat="1" x14ac:dyDescent="0.25">
      <c r="A54" s="86" t="s">
        <v>69</v>
      </c>
      <c r="B54" s="87">
        <v>6</v>
      </c>
      <c r="C54" s="28">
        <v>8796535</v>
      </c>
      <c r="D54" s="38">
        <v>248942.5</v>
      </c>
      <c r="E54" s="264">
        <f t="shared" si="5"/>
        <v>35.335609628729529</v>
      </c>
      <c r="F54" s="261">
        <f t="shared" si="6"/>
        <v>7687502</v>
      </c>
      <c r="G54" s="262">
        <f t="shared" si="7"/>
        <v>1.3027092770347521E-2</v>
      </c>
      <c r="H54" s="263">
        <f t="shared" si="8"/>
        <v>-1109033</v>
      </c>
      <c r="I54" s="265">
        <f t="shared" si="9"/>
        <v>-0.12607611974487681</v>
      </c>
    </row>
    <row r="55" spans="1:9" s="35" customFormat="1" x14ac:dyDescent="0.25">
      <c r="A55" s="86" t="s">
        <v>70</v>
      </c>
      <c r="B55" s="87">
        <v>6</v>
      </c>
      <c r="C55" s="28">
        <v>8076499</v>
      </c>
      <c r="D55" s="38">
        <v>286679.5</v>
      </c>
      <c r="E55" s="264">
        <f t="shared" si="5"/>
        <v>28.172572506928468</v>
      </c>
      <c r="F55" s="261">
        <f t="shared" si="6"/>
        <v>8852844</v>
      </c>
      <c r="G55" s="262">
        <f t="shared" si="7"/>
        <v>1.5001858870334528E-2</v>
      </c>
      <c r="H55" s="266">
        <f t="shared" si="8"/>
        <v>776345</v>
      </c>
      <c r="I55" s="267">
        <f t="shared" si="9"/>
        <v>9.6123951727103543E-2</v>
      </c>
    </row>
    <row r="56" spans="1:9" s="35" customFormat="1" x14ac:dyDescent="0.25">
      <c r="A56" s="86" t="s">
        <v>71</v>
      </c>
      <c r="B56" s="87">
        <v>6</v>
      </c>
      <c r="C56" s="28">
        <v>10405025</v>
      </c>
      <c r="D56" s="38">
        <v>363686.5</v>
      </c>
      <c r="E56" s="264">
        <f t="shared" si="5"/>
        <v>28.609874163599695</v>
      </c>
      <c r="F56" s="261">
        <f t="shared" si="6"/>
        <v>11230869</v>
      </c>
      <c r="G56" s="262">
        <f t="shared" si="7"/>
        <v>1.9031614216766395E-2</v>
      </c>
      <c r="H56" s="266">
        <f t="shared" si="8"/>
        <v>825844</v>
      </c>
      <c r="I56" s="267">
        <f t="shared" si="9"/>
        <v>7.9369727607574228E-2</v>
      </c>
    </row>
    <row r="57" spans="1:9" s="35" customFormat="1" x14ac:dyDescent="0.25">
      <c r="A57" s="86" t="s">
        <v>72</v>
      </c>
      <c r="B57" s="87">
        <v>6</v>
      </c>
      <c r="C57" s="28">
        <v>14643120</v>
      </c>
      <c r="D57" s="38">
        <v>377394.5</v>
      </c>
      <c r="E57" s="264">
        <f t="shared" si="5"/>
        <v>38.800565456041355</v>
      </c>
      <c r="F57" s="261">
        <f t="shared" si="6"/>
        <v>11654181</v>
      </c>
      <c r="G57" s="262">
        <f t="shared" si="7"/>
        <v>1.9748950575807517E-2</v>
      </c>
      <c r="H57" s="263">
        <f t="shared" si="8"/>
        <v>-2988939</v>
      </c>
      <c r="I57" s="265">
        <f t="shared" si="9"/>
        <v>-0.20411899922967236</v>
      </c>
    </row>
    <row r="58" spans="1:9" s="35" customFormat="1" x14ac:dyDescent="0.25">
      <c r="A58" s="86" t="s">
        <v>73</v>
      </c>
      <c r="B58" s="87">
        <v>6</v>
      </c>
      <c r="C58" s="28">
        <v>10746985</v>
      </c>
      <c r="D58" s="38">
        <v>321125</v>
      </c>
      <c r="E58" s="264">
        <f t="shared" si="5"/>
        <v>33.466671856753599</v>
      </c>
      <c r="F58" s="261">
        <f t="shared" si="6"/>
        <v>9916543</v>
      </c>
      <c r="G58" s="262">
        <f t="shared" si="7"/>
        <v>1.680438270092682E-2</v>
      </c>
      <c r="H58" s="263">
        <f t="shared" si="8"/>
        <v>-830442</v>
      </c>
      <c r="I58" s="265">
        <f t="shared" si="9"/>
        <v>-7.7272090730563042E-2</v>
      </c>
    </row>
    <row r="59" spans="1:9" s="35" customFormat="1" x14ac:dyDescent="0.25">
      <c r="A59" s="86" t="s">
        <v>74</v>
      </c>
      <c r="B59" s="87">
        <v>6</v>
      </c>
      <c r="C59" s="28">
        <v>11615591</v>
      </c>
      <c r="D59" s="38">
        <v>383399.5</v>
      </c>
      <c r="E59" s="264">
        <f t="shared" si="5"/>
        <v>30.296312332175706</v>
      </c>
      <c r="F59" s="261">
        <f t="shared" si="6"/>
        <v>11839619</v>
      </c>
      <c r="G59" s="262">
        <f t="shared" si="7"/>
        <v>2.006319023768308E-2</v>
      </c>
      <c r="H59" s="266">
        <f t="shared" si="8"/>
        <v>224028</v>
      </c>
      <c r="I59" s="267">
        <f t="shared" si="9"/>
        <v>1.9286836115355647E-2</v>
      </c>
    </row>
    <row r="60" spans="1:9" s="35" customFormat="1" x14ac:dyDescent="0.25">
      <c r="A60" s="86" t="s">
        <v>75</v>
      </c>
      <c r="B60" s="87">
        <v>7</v>
      </c>
      <c r="C60" s="28">
        <v>15972129</v>
      </c>
      <c r="D60" s="38">
        <v>613453.5</v>
      </c>
      <c r="E60" s="264">
        <f t="shared" si="5"/>
        <v>26.036413517894999</v>
      </c>
      <c r="F60" s="261">
        <f t="shared" si="6"/>
        <v>18943832</v>
      </c>
      <c r="G60" s="262">
        <f t="shared" si="7"/>
        <v>3.2101852707144406E-2</v>
      </c>
      <c r="H60" s="261">
        <f t="shared" si="8"/>
        <v>2971703</v>
      </c>
      <c r="I60" s="268">
        <f t="shared" si="9"/>
        <v>0.18605553461282462</v>
      </c>
    </row>
    <row r="61" spans="1:9" s="35" customFormat="1" x14ac:dyDescent="0.25">
      <c r="A61" s="86" t="s">
        <v>76</v>
      </c>
      <c r="B61" s="87">
        <v>7</v>
      </c>
      <c r="C61" s="28">
        <v>28705814</v>
      </c>
      <c r="D61" s="38">
        <v>770125</v>
      </c>
      <c r="E61" s="264">
        <f t="shared" si="5"/>
        <v>37.274226911215713</v>
      </c>
      <c r="F61" s="261">
        <f t="shared" si="6"/>
        <v>23781947</v>
      </c>
      <c r="G61" s="262">
        <f t="shared" si="7"/>
        <v>4.0300429167821734E-2</v>
      </c>
      <c r="H61" s="263">
        <f t="shared" si="8"/>
        <v>-4923867</v>
      </c>
      <c r="I61" s="265">
        <f t="shared" si="9"/>
        <v>-0.1715285621233385</v>
      </c>
    </row>
    <row r="62" spans="1:9" s="35" customFormat="1" x14ac:dyDescent="0.25">
      <c r="A62" s="86" t="s">
        <v>77</v>
      </c>
      <c r="B62" s="87">
        <v>7</v>
      </c>
      <c r="C62" s="28">
        <v>17405041</v>
      </c>
      <c r="D62" s="38">
        <v>723401</v>
      </c>
      <c r="E62" s="264">
        <f t="shared" si="5"/>
        <v>24.060017887727554</v>
      </c>
      <c r="F62" s="261">
        <f t="shared" si="6"/>
        <v>22339080</v>
      </c>
      <c r="G62" s="262">
        <f t="shared" si="7"/>
        <v>3.7855374550044334E-2</v>
      </c>
      <c r="H62" s="266">
        <f t="shared" si="8"/>
        <v>4934039</v>
      </c>
      <c r="I62" s="267">
        <f t="shared" si="9"/>
        <v>0.28348333106483348</v>
      </c>
    </row>
    <row r="63" spans="1:9" s="35" customFormat="1" x14ac:dyDescent="0.25">
      <c r="A63" s="86" t="s">
        <v>78</v>
      </c>
      <c r="B63" s="87">
        <v>7</v>
      </c>
      <c r="C63" s="28">
        <v>15588245</v>
      </c>
      <c r="D63" s="38">
        <v>540338.5</v>
      </c>
      <c r="E63" s="264">
        <f t="shared" si="5"/>
        <v>28.849036298542487</v>
      </c>
      <c r="F63" s="261">
        <f t="shared" si="6"/>
        <v>16685995</v>
      </c>
      <c r="G63" s="262">
        <f t="shared" si="7"/>
        <v>2.8275765629791692E-2</v>
      </c>
      <c r="H63" s="266">
        <f t="shared" si="8"/>
        <v>1097750</v>
      </c>
      <c r="I63" s="267">
        <f t="shared" si="9"/>
        <v>7.042165426576244E-2</v>
      </c>
    </row>
    <row r="64" spans="1:9" s="35" customFormat="1" x14ac:dyDescent="0.25">
      <c r="A64" s="86" t="s">
        <v>79</v>
      </c>
      <c r="B64" s="87">
        <v>8</v>
      </c>
      <c r="C64" s="28">
        <v>50387281</v>
      </c>
      <c r="D64" s="38">
        <v>1518803.5</v>
      </c>
      <c r="E64" s="264">
        <f t="shared" si="5"/>
        <v>33.175641878623537</v>
      </c>
      <c r="F64" s="261">
        <f t="shared" si="6"/>
        <v>46901612</v>
      </c>
      <c r="G64" s="262">
        <f t="shared" si="7"/>
        <v>7.9478568018953949E-2</v>
      </c>
      <c r="H64" s="263">
        <f t="shared" si="8"/>
        <v>-3485669</v>
      </c>
      <c r="I64" s="265">
        <f t="shared" si="9"/>
        <v>-6.917755693148038E-2</v>
      </c>
    </row>
    <row r="65" spans="1:9" s="35" customFormat="1" x14ac:dyDescent="0.25">
      <c r="A65" s="86" t="s">
        <v>80</v>
      </c>
      <c r="B65" s="87">
        <v>8</v>
      </c>
      <c r="C65" s="28">
        <v>26596662</v>
      </c>
      <c r="D65" s="38">
        <v>958610.5</v>
      </c>
      <c r="E65" s="264">
        <f t="shared" si="5"/>
        <v>27.745014268047345</v>
      </c>
      <c r="F65" s="261">
        <f t="shared" si="6"/>
        <v>29602498</v>
      </c>
      <c r="G65" s="262">
        <f t="shared" si="7"/>
        <v>5.0163822745025233E-2</v>
      </c>
      <c r="H65" s="266">
        <f t="shared" si="8"/>
        <v>3005836</v>
      </c>
      <c r="I65" s="267">
        <f t="shared" si="9"/>
        <v>0.11301553555855995</v>
      </c>
    </row>
    <row r="66" spans="1:9" s="35" customFormat="1" x14ac:dyDescent="0.25">
      <c r="A66" s="86" t="s">
        <v>81</v>
      </c>
      <c r="B66" s="87">
        <v>8</v>
      </c>
      <c r="C66" s="28">
        <v>40344622</v>
      </c>
      <c r="D66" s="38">
        <v>1250227</v>
      </c>
      <c r="E66" s="264">
        <f t="shared" si="5"/>
        <v>32.269837397528612</v>
      </c>
      <c r="F66" s="261">
        <f t="shared" si="6"/>
        <v>38607800</v>
      </c>
      <c r="G66" s="262">
        <f t="shared" si="7"/>
        <v>6.542403400467707E-2</v>
      </c>
      <c r="H66" s="263">
        <f t="shared" si="8"/>
        <v>-1736822</v>
      </c>
      <c r="I66" s="265">
        <f t="shared" si="9"/>
        <v>-4.3049653557294454E-2</v>
      </c>
    </row>
    <row r="67" spans="1:9" s="35" customFormat="1" x14ac:dyDescent="0.25">
      <c r="A67" s="86" t="s">
        <v>82</v>
      </c>
      <c r="B67" s="87">
        <v>8</v>
      </c>
      <c r="C67" s="28">
        <v>96669717</v>
      </c>
      <c r="D67" s="38">
        <v>3662500</v>
      </c>
      <c r="E67" s="264">
        <f t="shared" ref="E67:E69" si="10">C67/D67</f>
        <v>26.394461979522184</v>
      </c>
      <c r="F67" s="261">
        <f t="shared" si="6"/>
        <v>113100316</v>
      </c>
      <c r="G67" s="262">
        <f t="shared" ref="G67:G69" si="11">F67/$F$1</f>
        <v>0.1916576163346195</v>
      </c>
      <c r="H67" s="261">
        <f t="shared" si="8"/>
        <v>16430599</v>
      </c>
      <c r="I67" s="268">
        <f t="shared" ref="I67:I69" si="12">H67/C67</f>
        <v>0.16996635047560965</v>
      </c>
    </row>
    <row r="68" spans="1:9" x14ac:dyDescent="0.25">
      <c r="A68" s="86" t="s">
        <v>83</v>
      </c>
      <c r="B68" s="87">
        <v>8</v>
      </c>
      <c r="C68" s="28">
        <v>39622464</v>
      </c>
      <c r="D68" s="38">
        <v>1419366</v>
      </c>
      <c r="E68" s="264">
        <f t="shared" si="10"/>
        <v>27.915607390905517</v>
      </c>
      <c r="F68" s="261">
        <f t="shared" si="6"/>
        <v>43830920</v>
      </c>
      <c r="G68" s="262">
        <f t="shared" si="11"/>
        <v>7.4275032520275189E-2</v>
      </c>
      <c r="H68" s="261">
        <f t="shared" si="8"/>
        <v>4208456</v>
      </c>
      <c r="I68" s="268">
        <f t="shared" si="12"/>
        <v>0.10621388917155682</v>
      </c>
    </row>
    <row r="69" spans="1:9" ht="14.25" thickBot="1" x14ac:dyDescent="0.3">
      <c r="A69" s="95" t="s">
        <v>84</v>
      </c>
      <c r="B69" s="96">
        <v>8</v>
      </c>
      <c r="C69" s="48">
        <v>39020197</v>
      </c>
      <c r="D69" s="50">
        <v>1177457.5</v>
      </c>
      <c r="E69" s="269">
        <f t="shared" si="10"/>
        <v>33.139367662951742</v>
      </c>
      <c r="F69" s="270">
        <f t="shared" si="6"/>
        <v>36360632</v>
      </c>
      <c r="G69" s="271">
        <f t="shared" si="11"/>
        <v>6.1616026409159537E-2</v>
      </c>
      <c r="H69" s="394">
        <f t="shared" si="8"/>
        <v>-2659565</v>
      </c>
      <c r="I69" s="395">
        <f t="shared" si="12"/>
        <v>-6.8158676902630708E-2</v>
      </c>
    </row>
    <row r="70" spans="1:9" ht="14.25" thickBot="1" x14ac:dyDescent="0.3">
      <c r="A70" s="55"/>
      <c r="B70" s="56"/>
      <c r="C70" s="272"/>
      <c r="D70" s="60"/>
      <c r="E70" s="45"/>
      <c r="F70" s="273"/>
      <c r="G70" s="274"/>
      <c r="H70" s="275"/>
    </row>
    <row r="71" spans="1:9" s="35" customFormat="1" ht="14.25" thickBot="1" x14ac:dyDescent="0.3">
      <c r="A71" s="512" t="s">
        <v>215</v>
      </c>
      <c r="B71" s="512"/>
      <c r="C71" s="277">
        <f>SUM(C3:C69)</f>
        <v>590116470</v>
      </c>
      <c r="D71" s="63">
        <f>SUM(D3:D70)</f>
        <v>19109598</v>
      </c>
      <c r="E71" s="278">
        <f>C71/D71</f>
        <v>30.88063233983258</v>
      </c>
      <c r="F71" s="270">
        <f>SUM(F3:F69)</f>
        <v>590116468</v>
      </c>
      <c r="G71" s="279">
        <f>SUM(G3:G69)</f>
        <v>0.9999999966108386</v>
      </c>
      <c r="H71" s="280">
        <f>SUM(H3:H69)</f>
        <v>-2</v>
      </c>
      <c r="I71" s="276"/>
    </row>
    <row r="72" spans="1:9" x14ac:dyDescent="0.25">
      <c r="C72" s="67"/>
      <c r="D72" s="69" t="s">
        <v>86</v>
      </c>
      <c r="E72" s="281"/>
    </row>
    <row r="73" spans="1:9" x14ac:dyDescent="0.25">
      <c r="C73" s="67"/>
      <c r="H73" s="284" t="s">
        <v>216</v>
      </c>
      <c r="I73" s="285">
        <f>COUNTIF(H3:H69,"&gt;0")</f>
        <v>15</v>
      </c>
    </row>
    <row r="74" spans="1:9" s="283" customFormat="1" x14ac:dyDescent="0.25">
      <c r="A74" s="45"/>
      <c r="B74" s="45"/>
      <c r="C74" s="45"/>
      <c r="D74" s="276"/>
      <c r="E74" s="276"/>
      <c r="F74" s="45"/>
      <c r="G74" s="282"/>
      <c r="H74" s="284" t="s">
        <v>217</v>
      </c>
      <c r="I74" s="286">
        <f>COUNTIF(H3:H69,"&lt;0")</f>
        <v>52</v>
      </c>
    </row>
    <row r="75" spans="1:9" s="283" customFormat="1" x14ac:dyDescent="0.25">
      <c r="A75" s="45"/>
      <c r="B75" s="45"/>
      <c r="C75" s="287"/>
      <c r="D75" s="288"/>
      <c r="E75" s="288"/>
      <c r="F75" s="287"/>
      <c r="G75" s="289"/>
      <c r="H75" s="290"/>
      <c r="I75" s="276"/>
    </row>
  </sheetData>
  <autoFilter ref="A2:I2" xr:uid="{41B5CC8B-0BCD-4DAE-A51C-120BBCDBC277}">
    <sortState xmlns:xlrd2="http://schemas.microsoft.com/office/spreadsheetml/2017/richdata2" ref="A3:I69">
      <sortCondition ref="B2"/>
    </sortState>
  </autoFilter>
  <mergeCells count="1">
    <mergeCell ref="A71:B71"/>
  </mergeCells>
  <printOptions horizontalCentered="1"/>
  <pageMargins left="0.45" right="0.45" top="0.75" bottom="0.6" header="0.3" footer="0.3"/>
  <pageSetup scale="96" fitToHeight="0" pageOrder="overThenDown"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A179F-C85B-4969-81A4-57C73C9A8DFC}">
  <sheetPr>
    <pageSetUpPr fitToPage="1"/>
  </sheetPr>
  <dimension ref="A1:K75"/>
  <sheetViews>
    <sheetView zoomScale="120" zoomScaleNormal="120" zoomScalePageLayoutView="55" workbookViewId="0">
      <pane xSplit="2" ySplit="2" topLeftCell="C51" activePane="bottomRight" state="frozen"/>
      <selection activeCell="G64" sqref="G64"/>
      <selection pane="topRight" activeCell="G64" sqref="G64"/>
      <selection pane="bottomLeft" activeCell="G64" sqref="G64"/>
      <selection pane="bottomRight" activeCell="J77" sqref="J77"/>
    </sheetView>
  </sheetViews>
  <sheetFormatPr defaultColWidth="2.28515625" defaultRowHeight="13.5" x14ac:dyDescent="0.25"/>
  <cols>
    <col min="1" max="1" width="13.7109375" style="45" customWidth="1"/>
    <col min="2" max="2" width="6.28515625" style="45" customWidth="1"/>
    <col min="3" max="3" width="16.85546875" style="45" customWidth="1"/>
    <col min="4" max="4" width="15" style="276" customWidth="1"/>
    <col min="5" max="5" width="12" style="276" customWidth="1"/>
    <col min="6" max="8" width="17" style="45" customWidth="1"/>
    <col min="9" max="9" width="10.42578125" style="282" customWidth="1"/>
    <col min="10" max="10" width="16.5703125" style="283" customWidth="1"/>
    <col min="11" max="11" width="10.28515625" style="276" customWidth="1"/>
    <col min="12" max="16384" width="2.28515625" style="45"/>
  </cols>
  <sheetData>
    <row r="1" spans="1:11" s="99" customFormat="1" ht="14.25" hidden="1" thickBot="1" x14ac:dyDescent="0.3">
      <c r="A1" s="252" t="s">
        <v>210</v>
      </c>
      <c r="B1" s="252"/>
      <c r="C1" s="252"/>
      <c r="D1" s="71">
        <f>C71</f>
        <v>590116470</v>
      </c>
      <c r="F1" s="71">
        <f>D1*0.95</f>
        <v>560610646.5</v>
      </c>
      <c r="G1" s="71">
        <f>D1-F1</f>
        <v>29505823.5</v>
      </c>
      <c r="H1" s="71"/>
      <c r="I1" s="253"/>
      <c r="J1" s="254"/>
      <c r="K1" s="255"/>
    </row>
    <row r="2" spans="1:11" s="25" customFormat="1" ht="54.75" thickBot="1" x14ac:dyDescent="0.3">
      <c r="A2" s="16" t="s">
        <v>11</v>
      </c>
      <c r="B2" s="83" t="s">
        <v>12</v>
      </c>
      <c r="C2" s="18" t="s">
        <v>260</v>
      </c>
      <c r="D2" s="20" t="s">
        <v>92</v>
      </c>
      <c r="E2" s="83" t="s">
        <v>264</v>
      </c>
      <c r="F2" s="256" t="s">
        <v>261</v>
      </c>
      <c r="G2" s="256" t="s">
        <v>262</v>
      </c>
      <c r="H2" s="408" t="s">
        <v>263</v>
      </c>
      <c r="I2" s="257" t="s">
        <v>212</v>
      </c>
      <c r="J2" s="258" t="s">
        <v>213</v>
      </c>
      <c r="K2" s="259" t="s">
        <v>214</v>
      </c>
    </row>
    <row r="3" spans="1:11" s="35" customFormat="1" x14ac:dyDescent="0.25">
      <c r="A3" s="91" t="s">
        <v>65</v>
      </c>
      <c r="B3" s="92">
        <v>5</v>
      </c>
      <c r="C3" s="28">
        <v>5061231</v>
      </c>
      <c r="D3" s="30">
        <v>177600.5</v>
      </c>
      <c r="E3" s="260">
        <f t="shared" ref="E3:E34" si="0">C3/D3</f>
        <v>28.497842066886072</v>
      </c>
      <c r="F3" s="261">
        <f t="shared" ref="F3:F34" si="1">ROUND((D3/$D$71*$F$1),0)</f>
        <v>5210195</v>
      </c>
      <c r="G3" s="261">
        <v>1219506.7710250728</v>
      </c>
      <c r="H3" s="409">
        <f t="shared" ref="H3:H34" si="2">F3+G3</f>
        <v>6429701.7710250728</v>
      </c>
      <c r="I3" s="262">
        <f t="shared" ref="I3:I34" si="3">H3/$D$1</f>
        <v>1.0895648736977419E-2</v>
      </c>
      <c r="J3" s="266">
        <f t="shared" ref="J3:J34" si="4">H3-C3</f>
        <v>1368470.7710250728</v>
      </c>
      <c r="K3" s="412">
        <f t="shared" ref="K3:K34" si="5">J3/C3</f>
        <v>0.27038299003247879</v>
      </c>
    </row>
    <row r="4" spans="1:11" customFormat="1" ht="15" x14ac:dyDescent="0.25">
      <c r="A4" s="86" t="s">
        <v>55</v>
      </c>
      <c r="B4" s="87">
        <v>5</v>
      </c>
      <c r="C4" s="28">
        <v>5495136</v>
      </c>
      <c r="D4" s="38">
        <v>219115</v>
      </c>
      <c r="E4" s="264">
        <f t="shared" si="0"/>
        <v>25.078775985213245</v>
      </c>
      <c r="F4" s="261">
        <f t="shared" si="1"/>
        <v>6428089</v>
      </c>
      <c r="G4" s="261">
        <v>446498.68184141046</v>
      </c>
      <c r="H4" s="409">
        <f t="shared" si="2"/>
        <v>6874587.6818414107</v>
      </c>
      <c r="I4" s="262">
        <f t="shared" si="3"/>
        <v>1.164954382961284E-2</v>
      </c>
      <c r="J4" s="266">
        <f t="shared" si="4"/>
        <v>1379451.6818414107</v>
      </c>
      <c r="K4" s="267">
        <f t="shared" si="5"/>
        <v>0.25103139973995381</v>
      </c>
    </row>
    <row r="5" spans="1:11" s="40" customFormat="1" x14ac:dyDescent="0.25">
      <c r="A5" s="86" t="s">
        <v>77</v>
      </c>
      <c r="B5" s="87">
        <v>7</v>
      </c>
      <c r="C5" s="28">
        <v>17405041</v>
      </c>
      <c r="D5" s="38">
        <v>723401</v>
      </c>
      <c r="E5" s="264">
        <f t="shared" si="0"/>
        <v>24.060017887727554</v>
      </c>
      <c r="F5" s="261">
        <f t="shared" si="1"/>
        <v>21222126</v>
      </c>
      <c r="G5" s="261">
        <v>71331.537637784495</v>
      </c>
      <c r="H5" s="409">
        <f t="shared" si="2"/>
        <v>21293457.537637785</v>
      </c>
      <c r="I5" s="262">
        <f t="shared" si="3"/>
        <v>3.6083482871843563E-2</v>
      </c>
      <c r="J5" s="266">
        <f t="shared" si="4"/>
        <v>3888416.5376377851</v>
      </c>
      <c r="K5" s="267">
        <f t="shared" si="5"/>
        <v>0.22340749083198283</v>
      </c>
    </row>
    <row r="6" spans="1:11" s="35" customFormat="1" x14ac:dyDescent="0.25">
      <c r="A6" s="86" t="s">
        <v>75</v>
      </c>
      <c r="B6" s="87">
        <v>7</v>
      </c>
      <c r="C6" s="28">
        <v>15972129</v>
      </c>
      <c r="D6" s="38">
        <v>613453.5</v>
      </c>
      <c r="E6" s="264">
        <f t="shared" si="0"/>
        <v>26.036413517894999</v>
      </c>
      <c r="F6" s="261">
        <f t="shared" si="1"/>
        <v>17996640</v>
      </c>
      <c r="G6" s="261">
        <v>1204745.8446665742</v>
      </c>
      <c r="H6" s="409">
        <f t="shared" si="2"/>
        <v>19201385.844666574</v>
      </c>
      <c r="I6" s="262">
        <f t="shared" si="3"/>
        <v>3.2538298489900773E-2</v>
      </c>
      <c r="J6" s="261">
        <f t="shared" si="4"/>
        <v>3229256.8446665742</v>
      </c>
      <c r="K6" s="268">
        <f t="shared" si="5"/>
        <v>0.20218073900270742</v>
      </c>
    </row>
    <row r="7" spans="1:11" s="35" customFormat="1" x14ac:dyDescent="0.25">
      <c r="A7" s="86" t="s">
        <v>82</v>
      </c>
      <c r="B7" s="87">
        <v>8</v>
      </c>
      <c r="C7" s="41">
        <v>96669717</v>
      </c>
      <c r="D7" s="38">
        <v>3662500</v>
      </c>
      <c r="E7" s="264">
        <f t="shared" si="0"/>
        <v>26.394461979522184</v>
      </c>
      <c r="F7" s="261">
        <f t="shared" si="1"/>
        <v>107445300</v>
      </c>
      <c r="G7" s="261">
        <v>2040876.1777869442</v>
      </c>
      <c r="H7" s="409">
        <f t="shared" si="2"/>
        <v>109486176.17778695</v>
      </c>
      <c r="I7" s="262">
        <f t="shared" si="3"/>
        <v>0.18553316462729288</v>
      </c>
      <c r="J7" s="261">
        <f t="shared" si="4"/>
        <v>12816459.177786946</v>
      </c>
      <c r="K7" s="268">
        <f t="shared" si="5"/>
        <v>0.13257987687899145</v>
      </c>
    </row>
    <row r="8" spans="1:11" s="35" customFormat="1" x14ac:dyDescent="0.25">
      <c r="A8" s="91" t="s">
        <v>71</v>
      </c>
      <c r="B8" s="92">
        <v>6</v>
      </c>
      <c r="C8" s="28">
        <v>10405025</v>
      </c>
      <c r="D8" s="30">
        <v>363686.5</v>
      </c>
      <c r="E8" s="264">
        <f t="shared" si="0"/>
        <v>28.609874163599695</v>
      </c>
      <c r="F8" s="261">
        <f t="shared" si="1"/>
        <v>10669326</v>
      </c>
      <c r="G8" s="261">
        <v>1099450.7431461941</v>
      </c>
      <c r="H8" s="409">
        <f t="shared" si="2"/>
        <v>11768776.743146194</v>
      </c>
      <c r="I8" s="262">
        <f t="shared" si="3"/>
        <v>1.9943142314170954E-2</v>
      </c>
      <c r="J8" s="266">
        <f t="shared" si="4"/>
        <v>1363751.7431461941</v>
      </c>
      <c r="K8" s="267">
        <f t="shared" si="5"/>
        <v>0.13106664742719928</v>
      </c>
    </row>
    <row r="9" spans="1:11" s="35" customFormat="1" x14ac:dyDescent="0.25">
      <c r="A9" s="86" t="s">
        <v>70</v>
      </c>
      <c r="B9" s="87">
        <v>6</v>
      </c>
      <c r="C9" s="28">
        <v>8076499</v>
      </c>
      <c r="D9" s="38">
        <v>286679.5</v>
      </c>
      <c r="E9" s="264">
        <f t="shared" si="0"/>
        <v>28.172572506928468</v>
      </c>
      <c r="F9" s="261">
        <f t="shared" si="1"/>
        <v>8410202</v>
      </c>
      <c r="G9" s="261">
        <v>679651.72646994307</v>
      </c>
      <c r="H9" s="409">
        <f t="shared" si="2"/>
        <v>9089853.7264699433</v>
      </c>
      <c r="I9" s="262">
        <f t="shared" si="3"/>
        <v>1.5403490986228436E-2</v>
      </c>
      <c r="J9" s="266">
        <f t="shared" si="4"/>
        <v>1013354.7264699433</v>
      </c>
      <c r="K9" s="267">
        <f t="shared" si="5"/>
        <v>0.12546955388342687</v>
      </c>
    </row>
    <row r="10" spans="1:11" s="35" customFormat="1" x14ac:dyDescent="0.25">
      <c r="A10" s="86" t="s">
        <v>49</v>
      </c>
      <c r="B10" s="87">
        <v>4</v>
      </c>
      <c r="C10" s="28">
        <v>4578779</v>
      </c>
      <c r="D10" s="38">
        <v>143072.5</v>
      </c>
      <c r="E10" s="264">
        <f t="shared" si="0"/>
        <v>32.00320816369323</v>
      </c>
      <c r="F10" s="261">
        <f t="shared" si="1"/>
        <v>4197261</v>
      </c>
      <c r="G10" s="261">
        <v>913301.23735556402</v>
      </c>
      <c r="H10" s="409">
        <f t="shared" si="2"/>
        <v>5110562.2373555638</v>
      </c>
      <c r="I10" s="262">
        <f t="shared" si="3"/>
        <v>8.6602602997261947E-3</v>
      </c>
      <c r="J10" s="266">
        <f t="shared" si="4"/>
        <v>531783.23735556379</v>
      </c>
      <c r="K10" s="267">
        <f t="shared" si="5"/>
        <v>0.1161408395896731</v>
      </c>
    </row>
    <row r="11" spans="1:11" s="35" customFormat="1" x14ac:dyDescent="0.25">
      <c r="A11" s="86" t="s">
        <v>63</v>
      </c>
      <c r="B11" s="87">
        <v>5</v>
      </c>
      <c r="C11" s="28">
        <v>4708689</v>
      </c>
      <c r="D11" s="38">
        <v>111517.5</v>
      </c>
      <c r="E11" s="264">
        <f t="shared" si="0"/>
        <v>42.223767570112315</v>
      </c>
      <c r="F11" s="261">
        <f t="shared" si="1"/>
        <v>3271544</v>
      </c>
      <c r="G11" s="261">
        <v>1951155.5333246763</v>
      </c>
      <c r="H11" s="409">
        <f t="shared" si="2"/>
        <v>5222699.5333246766</v>
      </c>
      <c r="I11" s="262">
        <f t="shared" si="3"/>
        <v>8.8502860008714494E-3</v>
      </c>
      <c r="J11" s="266">
        <f t="shared" si="4"/>
        <v>514010.53332467657</v>
      </c>
      <c r="K11" s="267">
        <f t="shared" si="5"/>
        <v>0.10916213267104211</v>
      </c>
    </row>
    <row r="12" spans="1:11" s="35" customFormat="1" x14ac:dyDescent="0.25">
      <c r="A12" s="86" t="s">
        <v>50</v>
      </c>
      <c r="B12" s="87">
        <v>4</v>
      </c>
      <c r="C12" s="28">
        <v>2165560</v>
      </c>
      <c r="D12" s="38">
        <v>56656</v>
      </c>
      <c r="E12" s="264">
        <f t="shared" si="0"/>
        <v>38.222959615927707</v>
      </c>
      <c r="F12" s="261">
        <f t="shared" si="1"/>
        <v>1662094</v>
      </c>
      <c r="G12" s="261">
        <v>699004.18512677716</v>
      </c>
      <c r="H12" s="409">
        <f t="shared" si="2"/>
        <v>2361098.1851267773</v>
      </c>
      <c r="I12" s="262">
        <f t="shared" si="3"/>
        <v>4.0010714920849051E-3</v>
      </c>
      <c r="J12" s="266">
        <f t="shared" si="4"/>
        <v>195538.18512677727</v>
      </c>
      <c r="K12" s="267">
        <f t="shared" si="5"/>
        <v>9.0294512794278275E-2</v>
      </c>
    </row>
    <row r="13" spans="1:11" s="35" customFormat="1" ht="12.75" customHeight="1" x14ac:dyDescent="0.25">
      <c r="A13" s="86" t="s">
        <v>80</v>
      </c>
      <c r="B13" s="87">
        <v>8</v>
      </c>
      <c r="C13" s="28">
        <v>26596662</v>
      </c>
      <c r="D13" s="38">
        <v>958610.5</v>
      </c>
      <c r="E13" s="264">
        <f t="shared" si="0"/>
        <v>27.745014268047345</v>
      </c>
      <c r="F13" s="261">
        <f t="shared" si="1"/>
        <v>28122373</v>
      </c>
      <c r="G13" s="261">
        <v>838153.3935040473</v>
      </c>
      <c r="H13" s="409">
        <f t="shared" si="2"/>
        <v>28960526.393504046</v>
      </c>
      <c r="I13" s="262">
        <f t="shared" si="3"/>
        <v>4.907595002983741E-2</v>
      </c>
      <c r="J13" s="266">
        <f t="shared" si="4"/>
        <v>2363864.3935040459</v>
      </c>
      <c r="K13" s="267">
        <f t="shared" si="5"/>
        <v>8.8878235678749681E-2</v>
      </c>
    </row>
    <row r="14" spans="1:11" s="35" customFormat="1" x14ac:dyDescent="0.25">
      <c r="A14" s="86" t="s">
        <v>83</v>
      </c>
      <c r="B14" s="87">
        <v>8</v>
      </c>
      <c r="C14" s="28">
        <v>39622464</v>
      </c>
      <c r="D14" s="38">
        <v>1419366</v>
      </c>
      <c r="E14" s="264">
        <f t="shared" si="0"/>
        <v>27.915607390905517</v>
      </c>
      <c r="F14" s="261">
        <f t="shared" si="1"/>
        <v>41639374</v>
      </c>
      <c r="G14" s="261">
        <v>1499831.7912887968</v>
      </c>
      <c r="H14" s="409">
        <f t="shared" si="2"/>
        <v>43139205.791288793</v>
      </c>
      <c r="I14" s="262">
        <f t="shared" si="3"/>
        <v>7.3102866949788389E-2</v>
      </c>
      <c r="J14" s="261">
        <f t="shared" si="4"/>
        <v>3516741.7912887931</v>
      </c>
      <c r="K14" s="267">
        <f t="shared" si="5"/>
        <v>8.8756261884389454E-2</v>
      </c>
    </row>
    <row r="15" spans="1:11" s="35" customFormat="1" x14ac:dyDescent="0.25">
      <c r="A15" s="86" t="s">
        <v>46</v>
      </c>
      <c r="B15" s="87">
        <v>4</v>
      </c>
      <c r="C15" s="28">
        <v>2438025</v>
      </c>
      <c r="D15" s="38">
        <v>82331</v>
      </c>
      <c r="E15" s="264">
        <f t="shared" si="0"/>
        <v>29.612478896163051</v>
      </c>
      <c r="F15" s="261">
        <f t="shared" si="1"/>
        <v>2415312</v>
      </c>
      <c r="G15" s="261">
        <v>220520.79397753553</v>
      </c>
      <c r="H15" s="409">
        <f t="shared" si="2"/>
        <v>2635832.7939775353</v>
      </c>
      <c r="I15" s="262">
        <f t="shared" si="3"/>
        <v>4.4666314667976227E-3</v>
      </c>
      <c r="J15" s="266">
        <f t="shared" si="4"/>
        <v>197807.79397753533</v>
      </c>
      <c r="K15" s="267">
        <f t="shared" si="5"/>
        <v>8.1134440367730168E-2</v>
      </c>
    </row>
    <row r="16" spans="1:11" s="35" customFormat="1" x14ac:dyDescent="0.25">
      <c r="A16" s="86" t="s">
        <v>74</v>
      </c>
      <c r="B16" s="87">
        <v>6</v>
      </c>
      <c r="C16" s="28">
        <v>11615591</v>
      </c>
      <c r="D16" s="38">
        <v>383399.5</v>
      </c>
      <c r="E16" s="264">
        <f t="shared" si="0"/>
        <v>30.296312332175706</v>
      </c>
      <c r="F16" s="261">
        <f t="shared" si="1"/>
        <v>11247638</v>
      </c>
      <c r="G16" s="261">
        <v>1197218.5345796067</v>
      </c>
      <c r="H16" s="409">
        <f t="shared" si="2"/>
        <v>12444856.534579607</v>
      </c>
      <c r="I16" s="262">
        <f t="shared" si="3"/>
        <v>2.1088814102374752E-2</v>
      </c>
      <c r="J16" s="266">
        <f t="shared" si="4"/>
        <v>829265.53457960673</v>
      </c>
      <c r="K16" s="267">
        <f t="shared" si="5"/>
        <v>7.1392453003864098E-2</v>
      </c>
    </row>
    <row r="17" spans="1:11" s="35" customFormat="1" x14ac:dyDescent="0.25">
      <c r="A17" s="86" t="s">
        <v>60</v>
      </c>
      <c r="B17" s="87">
        <v>5</v>
      </c>
      <c r="C17" s="28">
        <v>8358682</v>
      </c>
      <c r="D17" s="38">
        <v>275059</v>
      </c>
      <c r="E17" s="264">
        <f t="shared" si="0"/>
        <v>30.388687517950693</v>
      </c>
      <c r="F17" s="261">
        <f t="shared" si="1"/>
        <v>8069296</v>
      </c>
      <c r="G17" s="261">
        <v>624933.35207466199</v>
      </c>
      <c r="H17" s="409">
        <f t="shared" si="2"/>
        <v>8694229.3520746622</v>
      </c>
      <c r="I17" s="262">
        <f t="shared" si="3"/>
        <v>1.4733073544066076E-2</v>
      </c>
      <c r="J17" s="266">
        <f t="shared" si="4"/>
        <v>335547.35207466222</v>
      </c>
      <c r="K17" s="267">
        <f t="shared" si="5"/>
        <v>4.0143571926131681E-2</v>
      </c>
    </row>
    <row r="18" spans="1:11" s="35" customFormat="1" x14ac:dyDescent="0.25">
      <c r="A18" s="86" t="s">
        <v>64</v>
      </c>
      <c r="B18" s="87">
        <v>5</v>
      </c>
      <c r="C18" s="28">
        <v>4837069</v>
      </c>
      <c r="D18" s="38">
        <v>136998</v>
      </c>
      <c r="E18" s="264">
        <f t="shared" si="0"/>
        <v>35.307588431947913</v>
      </c>
      <c r="F18" s="261">
        <f t="shared" si="1"/>
        <v>4019056</v>
      </c>
      <c r="G18" s="261">
        <v>912665.54767638212</v>
      </c>
      <c r="H18" s="409">
        <f t="shared" si="2"/>
        <v>4931721.5476763826</v>
      </c>
      <c r="I18" s="262">
        <f t="shared" si="3"/>
        <v>8.3572003128066941E-3</v>
      </c>
      <c r="J18" s="266">
        <f t="shared" si="4"/>
        <v>94652.547676382586</v>
      </c>
      <c r="K18" s="267">
        <f t="shared" si="5"/>
        <v>1.9568161561553617E-2</v>
      </c>
    </row>
    <row r="19" spans="1:11" s="35" customFormat="1" x14ac:dyDescent="0.25">
      <c r="A19" s="86" t="s">
        <v>57</v>
      </c>
      <c r="B19" s="87">
        <v>5</v>
      </c>
      <c r="C19" s="28">
        <v>5010389</v>
      </c>
      <c r="D19" s="38">
        <v>154861</v>
      </c>
      <c r="E19" s="264">
        <f t="shared" si="0"/>
        <v>32.354104648684952</v>
      </c>
      <c r="F19" s="261">
        <f t="shared" si="1"/>
        <v>4543095</v>
      </c>
      <c r="G19" s="261">
        <v>560493.74782798765</v>
      </c>
      <c r="H19" s="409">
        <f t="shared" si="2"/>
        <v>5103588.7478279881</v>
      </c>
      <c r="I19" s="262">
        <f t="shared" si="3"/>
        <v>8.6484431587343907E-3</v>
      </c>
      <c r="J19" s="266">
        <f t="shared" si="4"/>
        <v>93199.747827988118</v>
      </c>
      <c r="K19" s="267">
        <f t="shared" si="5"/>
        <v>1.8601299784904549E-2</v>
      </c>
    </row>
    <row r="20" spans="1:11" s="35" customFormat="1" x14ac:dyDescent="0.25">
      <c r="A20" s="86" t="s">
        <v>58</v>
      </c>
      <c r="B20" s="87">
        <v>5</v>
      </c>
      <c r="C20" s="28">
        <v>8448623</v>
      </c>
      <c r="D20" s="38">
        <v>231039.5</v>
      </c>
      <c r="E20" s="264">
        <f t="shared" si="0"/>
        <v>36.567872593214581</v>
      </c>
      <c r="F20" s="261">
        <f t="shared" si="1"/>
        <v>6777914</v>
      </c>
      <c r="G20" s="261">
        <v>1822471.2936676308</v>
      </c>
      <c r="H20" s="409">
        <f t="shared" si="2"/>
        <v>8600385.2936676312</v>
      </c>
      <c r="I20" s="262">
        <f t="shared" si="3"/>
        <v>1.457404721082879E-2</v>
      </c>
      <c r="J20" s="266">
        <f t="shared" si="4"/>
        <v>151762.29366763122</v>
      </c>
      <c r="K20" s="267">
        <f t="shared" si="5"/>
        <v>1.7962961972339306E-2</v>
      </c>
    </row>
    <row r="21" spans="1:11" s="35" customFormat="1" x14ac:dyDescent="0.25">
      <c r="A21" s="86" t="s">
        <v>78</v>
      </c>
      <c r="B21" s="87">
        <v>7</v>
      </c>
      <c r="C21" s="28">
        <v>15588245</v>
      </c>
      <c r="D21" s="38">
        <v>540338.5</v>
      </c>
      <c r="E21" s="264">
        <f t="shared" si="0"/>
        <v>28.849036298542487</v>
      </c>
      <c r="F21" s="261">
        <f t="shared" si="1"/>
        <v>15851695</v>
      </c>
      <c r="G21" s="261">
        <v>0</v>
      </c>
      <c r="H21" s="409">
        <f t="shared" si="2"/>
        <v>15851695</v>
      </c>
      <c r="I21" s="262">
        <f t="shared" si="3"/>
        <v>2.6861976924656923E-2</v>
      </c>
      <c r="J21" s="266">
        <f t="shared" si="4"/>
        <v>263450</v>
      </c>
      <c r="K21" s="267">
        <f t="shared" si="5"/>
        <v>1.6900555514748453E-2</v>
      </c>
    </row>
    <row r="22" spans="1:11" s="35" customFormat="1" x14ac:dyDescent="0.25">
      <c r="A22" s="86" t="s">
        <v>66</v>
      </c>
      <c r="B22" s="87">
        <v>5</v>
      </c>
      <c r="C22" s="28">
        <v>8791072</v>
      </c>
      <c r="D22" s="38">
        <v>278370</v>
      </c>
      <c r="E22" s="264">
        <f t="shared" si="0"/>
        <v>31.580529511082371</v>
      </c>
      <c r="F22" s="261">
        <f t="shared" si="1"/>
        <v>8166430</v>
      </c>
      <c r="G22" s="261">
        <v>627876.49321655545</v>
      </c>
      <c r="H22" s="409">
        <f t="shared" si="2"/>
        <v>8794306.4932165556</v>
      </c>
      <c r="I22" s="262">
        <f t="shared" si="3"/>
        <v>1.4902662339210013E-2</v>
      </c>
      <c r="J22" s="266">
        <f t="shared" si="4"/>
        <v>3234.4932165555656</v>
      </c>
      <c r="K22" s="267">
        <f t="shared" si="5"/>
        <v>3.6792932836354493E-4</v>
      </c>
    </row>
    <row r="23" spans="1:11" s="35" customFormat="1" x14ac:dyDescent="0.25">
      <c r="A23" s="86" t="s">
        <v>73</v>
      </c>
      <c r="B23" s="87">
        <v>6</v>
      </c>
      <c r="C23" s="28">
        <v>10746985</v>
      </c>
      <c r="D23" s="38">
        <v>321125</v>
      </c>
      <c r="E23" s="264">
        <f t="shared" si="0"/>
        <v>33.466671856753599</v>
      </c>
      <c r="F23" s="261">
        <f t="shared" si="1"/>
        <v>9420716</v>
      </c>
      <c r="G23" s="261">
        <v>1291545.4380467432</v>
      </c>
      <c r="H23" s="409">
        <f t="shared" si="2"/>
        <v>10712261.438046742</v>
      </c>
      <c r="I23" s="262">
        <f t="shared" si="3"/>
        <v>1.8152791834545379E-2</v>
      </c>
      <c r="J23" s="263">
        <f t="shared" si="4"/>
        <v>-34723.561953257769</v>
      </c>
      <c r="K23" s="265">
        <f t="shared" si="5"/>
        <v>-3.2310049705343191E-3</v>
      </c>
    </row>
    <row r="24" spans="1:11" s="35" customFormat="1" x14ac:dyDescent="0.25">
      <c r="A24" s="86" t="s">
        <v>62</v>
      </c>
      <c r="B24" s="87">
        <v>5</v>
      </c>
      <c r="C24" s="28">
        <v>8777172</v>
      </c>
      <c r="D24" s="38">
        <v>298054</v>
      </c>
      <c r="E24" s="264">
        <f t="shared" si="0"/>
        <v>29.448261053366167</v>
      </c>
      <c r="F24" s="261">
        <f t="shared" si="1"/>
        <v>8743891</v>
      </c>
      <c r="G24" s="261">
        <v>0</v>
      </c>
      <c r="H24" s="409">
        <f t="shared" si="2"/>
        <v>8743891</v>
      </c>
      <c r="I24" s="262">
        <f t="shared" si="3"/>
        <v>1.4817229215785148E-2</v>
      </c>
      <c r="J24" s="263">
        <f t="shared" si="4"/>
        <v>-33281</v>
      </c>
      <c r="K24" s="265">
        <f t="shared" si="5"/>
        <v>-3.7917680091036155E-3</v>
      </c>
    </row>
    <row r="25" spans="1:11" s="35" customFormat="1" x14ac:dyDescent="0.25">
      <c r="A25" s="86" t="s">
        <v>40</v>
      </c>
      <c r="B25" s="87">
        <v>3</v>
      </c>
      <c r="C25" s="28">
        <v>732696</v>
      </c>
      <c r="D25" s="38">
        <v>24784</v>
      </c>
      <c r="E25" s="264">
        <f t="shared" si="0"/>
        <v>29.563266623628149</v>
      </c>
      <c r="F25" s="261">
        <f t="shared" si="1"/>
        <v>727078</v>
      </c>
      <c r="G25" s="261">
        <v>0</v>
      </c>
      <c r="H25" s="409">
        <f t="shared" si="2"/>
        <v>727078</v>
      </c>
      <c r="I25" s="262">
        <f t="shared" si="3"/>
        <v>1.2320923698333653E-3</v>
      </c>
      <c r="J25" s="263">
        <f t="shared" si="4"/>
        <v>-5618</v>
      </c>
      <c r="K25" s="265">
        <f t="shared" si="5"/>
        <v>-7.6675729088189369E-3</v>
      </c>
    </row>
    <row r="26" spans="1:11" s="35" customFormat="1" x14ac:dyDescent="0.25">
      <c r="A26" s="86" t="s">
        <v>59</v>
      </c>
      <c r="B26" s="87">
        <v>5</v>
      </c>
      <c r="C26" s="28">
        <v>4590067</v>
      </c>
      <c r="D26" s="38">
        <v>144363.5</v>
      </c>
      <c r="E26" s="264">
        <f t="shared" si="0"/>
        <v>31.795204466502959</v>
      </c>
      <c r="F26" s="261">
        <f t="shared" si="1"/>
        <v>4235134</v>
      </c>
      <c r="G26" s="261">
        <v>178153.36055351351</v>
      </c>
      <c r="H26" s="409">
        <f t="shared" si="2"/>
        <v>4413287.3605535133</v>
      </c>
      <c r="I26" s="262">
        <f t="shared" si="3"/>
        <v>7.4786717282327563E-3</v>
      </c>
      <c r="J26" s="263">
        <f t="shared" si="4"/>
        <v>-176779.63944648672</v>
      </c>
      <c r="K26" s="265">
        <f t="shared" si="5"/>
        <v>-3.8513520488151202E-2</v>
      </c>
    </row>
    <row r="27" spans="1:11" s="35" customFormat="1" x14ac:dyDescent="0.25">
      <c r="A27" s="86" t="s">
        <v>56</v>
      </c>
      <c r="B27" s="87">
        <v>5</v>
      </c>
      <c r="C27" s="28">
        <v>4718017</v>
      </c>
      <c r="D27" s="38">
        <v>150809</v>
      </c>
      <c r="E27" s="264">
        <f t="shared" si="0"/>
        <v>31.284717755571616</v>
      </c>
      <c r="F27" s="261">
        <f t="shared" si="1"/>
        <v>4424223</v>
      </c>
      <c r="G27" s="261">
        <v>98772.842263396684</v>
      </c>
      <c r="H27" s="409">
        <f t="shared" si="2"/>
        <v>4522995.8422633968</v>
      </c>
      <c r="I27" s="262">
        <f t="shared" si="3"/>
        <v>7.6645816075314706E-3</v>
      </c>
      <c r="J27" s="263">
        <f t="shared" si="4"/>
        <v>-195021.15773660317</v>
      </c>
      <c r="K27" s="265">
        <f t="shared" si="5"/>
        <v>-4.1335408019217222E-2</v>
      </c>
    </row>
    <row r="28" spans="1:11" s="35" customFormat="1" x14ac:dyDescent="0.25">
      <c r="A28" s="86" t="s">
        <v>48</v>
      </c>
      <c r="B28" s="87">
        <v>4</v>
      </c>
      <c r="C28" s="28">
        <v>3697444</v>
      </c>
      <c r="D28" s="38">
        <v>105140</v>
      </c>
      <c r="E28" s="264">
        <f t="shared" si="0"/>
        <v>35.166863229979079</v>
      </c>
      <c r="F28" s="261">
        <f t="shared" si="1"/>
        <v>3084450</v>
      </c>
      <c r="G28" s="261">
        <v>422738.01441530307</v>
      </c>
      <c r="H28" s="409">
        <f t="shared" si="2"/>
        <v>3507188.0144153032</v>
      </c>
      <c r="I28" s="262">
        <f t="shared" si="3"/>
        <v>5.9432132345252171E-3</v>
      </c>
      <c r="J28" s="263">
        <f t="shared" si="4"/>
        <v>-190255.98558469675</v>
      </c>
      <c r="K28" s="265">
        <f t="shared" si="5"/>
        <v>-5.1456083062974521E-2</v>
      </c>
    </row>
    <row r="29" spans="1:11" s="35" customFormat="1" x14ac:dyDescent="0.25">
      <c r="A29" s="86" t="s">
        <v>81</v>
      </c>
      <c r="B29" s="87">
        <v>8</v>
      </c>
      <c r="C29" s="28">
        <v>40344622</v>
      </c>
      <c r="D29" s="38">
        <v>1250227</v>
      </c>
      <c r="E29" s="264">
        <f t="shared" si="0"/>
        <v>32.269837397528612</v>
      </c>
      <c r="F29" s="261">
        <f t="shared" si="1"/>
        <v>36677410</v>
      </c>
      <c r="G29" s="261">
        <v>1413038.360707225</v>
      </c>
      <c r="H29" s="409">
        <f t="shared" si="2"/>
        <v>38090448.360707223</v>
      </c>
      <c r="I29" s="262">
        <f t="shared" si="3"/>
        <v>6.4547339884798036E-2</v>
      </c>
      <c r="J29" s="263">
        <f t="shared" si="4"/>
        <v>-2254173.6392927766</v>
      </c>
      <c r="K29" s="265">
        <f t="shared" si="5"/>
        <v>-5.5872964661628916E-2</v>
      </c>
    </row>
    <row r="30" spans="1:11" s="35" customFormat="1" x14ac:dyDescent="0.25">
      <c r="A30" s="86" t="s">
        <v>84</v>
      </c>
      <c r="B30" s="87">
        <v>8</v>
      </c>
      <c r="C30" s="28">
        <v>39020197</v>
      </c>
      <c r="D30" s="38">
        <v>1177457.5</v>
      </c>
      <c r="E30" s="264">
        <f t="shared" si="0"/>
        <v>33.139367662951742</v>
      </c>
      <c r="F30" s="261">
        <f t="shared" si="1"/>
        <v>34542601</v>
      </c>
      <c r="G30" s="261">
        <v>1950931.7913652696</v>
      </c>
      <c r="H30" s="409">
        <f t="shared" si="2"/>
        <v>36493532.791365266</v>
      </c>
      <c r="I30" s="262">
        <f t="shared" si="3"/>
        <v>6.1841237529542709E-2</v>
      </c>
      <c r="J30" s="263">
        <f t="shared" si="4"/>
        <v>-2526664.2086347342</v>
      </c>
      <c r="K30" s="265">
        <f t="shared" si="5"/>
        <v>-6.4752728148315966E-2</v>
      </c>
    </row>
    <row r="31" spans="1:11" s="35" customFormat="1" x14ac:dyDescent="0.25">
      <c r="A31" s="86" t="s">
        <v>79</v>
      </c>
      <c r="B31" s="87">
        <v>8</v>
      </c>
      <c r="C31" s="28">
        <v>50387281</v>
      </c>
      <c r="D31" s="38">
        <v>1518803.5</v>
      </c>
      <c r="E31" s="264">
        <f t="shared" si="0"/>
        <v>33.175641878623537</v>
      </c>
      <c r="F31" s="261">
        <f t="shared" si="1"/>
        <v>44556532</v>
      </c>
      <c r="G31" s="261">
        <v>1773690.6650163797</v>
      </c>
      <c r="H31" s="409">
        <f t="shared" si="2"/>
        <v>46330222.665016383</v>
      </c>
      <c r="I31" s="262">
        <f t="shared" si="3"/>
        <v>7.8510302661127865E-2</v>
      </c>
      <c r="J31" s="263">
        <f t="shared" si="4"/>
        <v>-4057058.3349836171</v>
      </c>
      <c r="K31" s="265">
        <f t="shared" si="5"/>
        <v>-8.0517508674135777E-2</v>
      </c>
    </row>
    <row r="32" spans="1:11" s="35" customFormat="1" x14ac:dyDescent="0.25">
      <c r="A32" s="86" t="s">
        <v>53</v>
      </c>
      <c r="B32" s="87">
        <v>4</v>
      </c>
      <c r="C32" s="28">
        <v>2270936</v>
      </c>
      <c r="D32" s="38">
        <v>56728.5</v>
      </c>
      <c r="E32" s="264">
        <f t="shared" si="0"/>
        <v>40.031659571467607</v>
      </c>
      <c r="F32" s="261">
        <f t="shared" si="1"/>
        <v>1664221</v>
      </c>
      <c r="G32" s="261">
        <v>410891.9763403096</v>
      </c>
      <c r="H32" s="409">
        <f t="shared" si="2"/>
        <v>2075112.9763403097</v>
      </c>
      <c r="I32" s="262">
        <f t="shared" si="3"/>
        <v>3.5164464674919339E-3</v>
      </c>
      <c r="J32" s="263">
        <f t="shared" si="4"/>
        <v>-195823.02365969028</v>
      </c>
      <c r="K32" s="265">
        <f t="shared" si="5"/>
        <v>-8.6230093520773057E-2</v>
      </c>
    </row>
    <row r="33" spans="1:11" s="35" customFormat="1" x14ac:dyDescent="0.25">
      <c r="A33" s="86" t="s">
        <v>68</v>
      </c>
      <c r="B33" s="87">
        <v>6</v>
      </c>
      <c r="C33" s="28">
        <v>14559833</v>
      </c>
      <c r="D33" s="38">
        <v>430377.5</v>
      </c>
      <c r="E33" s="264">
        <f t="shared" si="0"/>
        <v>33.830376820349578</v>
      </c>
      <c r="F33" s="261">
        <f t="shared" si="1"/>
        <v>12625813</v>
      </c>
      <c r="G33" s="261">
        <v>543399.07800563215</v>
      </c>
      <c r="H33" s="409">
        <f t="shared" si="2"/>
        <v>13169212.078005632</v>
      </c>
      <c r="I33" s="262">
        <f t="shared" si="3"/>
        <v>2.2316293049752758E-2</v>
      </c>
      <c r="J33" s="263">
        <f t="shared" si="4"/>
        <v>-1390620.9219943676</v>
      </c>
      <c r="K33" s="265">
        <f t="shared" si="5"/>
        <v>-9.551077419599302E-2</v>
      </c>
    </row>
    <row r="34" spans="1:11" s="35" customFormat="1" x14ac:dyDescent="0.25">
      <c r="A34" s="86" t="s">
        <v>67</v>
      </c>
      <c r="B34" s="87">
        <v>5</v>
      </c>
      <c r="C34" s="28">
        <v>4364639</v>
      </c>
      <c r="D34" s="38">
        <v>113141.5</v>
      </c>
      <c r="E34" s="264">
        <f t="shared" si="0"/>
        <v>38.576817524957683</v>
      </c>
      <c r="F34" s="261">
        <f t="shared" si="1"/>
        <v>3319187</v>
      </c>
      <c r="G34" s="261">
        <v>593401.63066839986</v>
      </c>
      <c r="H34" s="409">
        <f t="shared" si="2"/>
        <v>3912588.6306683999</v>
      </c>
      <c r="I34" s="262">
        <f t="shared" si="3"/>
        <v>6.630197307776209E-3</v>
      </c>
      <c r="J34" s="263">
        <f t="shared" si="4"/>
        <v>-452050.36933160014</v>
      </c>
      <c r="K34" s="265">
        <f t="shared" si="5"/>
        <v>-0.10357107869209806</v>
      </c>
    </row>
    <row r="35" spans="1:11" s="35" customFormat="1" x14ac:dyDescent="0.25">
      <c r="A35" s="86" t="s">
        <v>45</v>
      </c>
      <c r="B35" s="87">
        <v>4</v>
      </c>
      <c r="C35" s="28">
        <v>2056502</v>
      </c>
      <c r="D35" s="38">
        <v>61956.5</v>
      </c>
      <c r="E35" s="264">
        <f t="shared" ref="E35:E66" si="6">C35/D35</f>
        <v>33.19267550620193</v>
      </c>
      <c r="F35" s="261">
        <f t="shared" ref="F35:F69" si="7">ROUND((D35/$D$71*$F$1),0)</f>
        <v>1817593</v>
      </c>
      <c r="G35" s="261">
        <v>0</v>
      </c>
      <c r="H35" s="409">
        <f t="shared" ref="H35:H66" si="8">F35+G35</f>
        <v>1817593</v>
      </c>
      <c r="I35" s="262">
        <f t="shared" ref="I35:I66" si="9">H35/$D$1</f>
        <v>3.080058077348697E-3</v>
      </c>
      <c r="J35" s="263">
        <f t="shared" ref="J35:J69" si="10">H35-C35</f>
        <v>-238909</v>
      </c>
      <c r="K35" s="265">
        <f t="shared" ref="K35:K66" si="11">J35/C35</f>
        <v>-0.11617251040845085</v>
      </c>
    </row>
    <row r="36" spans="1:11" s="35" customFormat="1" x14ac:dyDescent="0.25">
      <c r="A36" s="86" t="s">
        <v>52</v>
      </c>
      <c r="B36" s="87">
        <v>4</v>
      </c>
      <c r="C36" s="28">
        <v>2643366</v>
      </c>
      <c r="D36" s="38">
        <v>74613.5</v>
      </c>
      <c r="E36" s="264">
        <f t="shared" si="6"/>
        <v>35.427449456197607</v>
      </c>
      <c r="F36" s="261">
        <f t="shared" si="7"/>
        <v>2188906</v>
      </c>
      <c r="G36" s="261">
        <v>112050.89288869423</v>
      </c>
      <c r="H36" s="409">
        <f t="shared" si="8"/>
        <v>2300956.8928886941</v>
      </c>
      <c r="I36" s="262">
        <f t="shared" si="9"/>
        <v>3.8991572170298757E-3</v>
      </c>
      <c r="J36" s="263">
        <f t="shared" si="10"/>
        <v>-342409.10711130593</v>
      </c>
      <c r="K36" s="265">
        <f t="shared" si="11"/>
        <v>-0.12953526190141884</v>
      </c>
    </row>
    <row r="37" spans="1:11" s="35" customFormat="1" x14ac:dyDescent="0.25">
      <c r="A37" s="86" t="s">
        <v>32</v>
      </c>
      <c r="B37" s="87">
        <v>2</v>
      </c>
      <c r="C37" s="28">
        <v>720281</v>
      </c>
      <c r="D37" s="38">
        <v>21365</v>
      </c>
      <c r="E37" s="264">
        <f t="shared" si="6"/>
        <v>33.713128949216006</v>
      </c>
      <c r="F37" s="261">
        <f t="shared" si="7"/>
        <v>626776</v>
      </c>
      <c r="G37" s="261">
        <v>0</v>
      </c>
      <c r="H37" s="409">
        <f t="shared" si="8"/>
        <v>626776</v>
      </c>
      <c r="I37" s="262">
        <f t="shared" si="9"/>
        <v>1.0621225332009458E-3</v>
      </c>
      <c r="J37" s="263">
        <f t="shared" si="10"/>
        <v>-93505</v>
      </c>
      <c r="K37" s="265">
        <f t="shared" si="11"/>
        <v>-0.12981739071279125</v>
      </c>
    </row>
    <row r="38" spans="1:11" s="35" customFormat="1" x14ac:dyDescent="0.25">
      <c r="A38" s="86" t="s">
        <v>35</v>
      </c>
      <c r="B38" s="87">
        <v>3</v>
      </c>
      <c r="C38" s="28">
        <v>1042616</v>
      </c>
      <c r="D38" s="38">
        <v>30650</v>
      </c>
      <c r="E38" s="264">
        <f t="shared" si="6"/>
        <v>34.016835236541596</v>
      </c>
      <c r="F38" s="261">
        <f t="shared" si="7"/>
        <v>899167</v>
      </c>
      <c r="G38" s="261">
        <v>0</v>
      </c>
      <c r="H38" s="409">
        <f t="shared" si="8"/>
        <v>899167</v>
      </c>
      <c r="I38" s="262">
        <f t="shared" si="9"/>
        <v>1.5237110735106241E-3</v>
      </c>
      <c r="J38" s="263">
        <f t="shared" si="10"/>
        <v>-143449</v>
      </c>
      <c r="K38" s="265">
        <f t="shared" si="11"/>
        <v>-0.13758564994206879</v>
      </c>
    </row>
    <row r="39" spans="1:11" s="35" customFormat="1" x14ac:dyDescent="0.25">
      <c r="A39" s="86" t="s">
        <v>69</v>
      </c>
      <c r="B39" s="87">
        <v>6</v>
      </c>
      <c r="C39" s="28">
        <v>8796535</v>
      </c>
      <c r="D39" s="38">
        <v>248942.5</v>
      </c>
      <c r="E39" s="264">
        <f t="shared" si="6"/>
        <v>35.335609628729529</v>
      </c>
      <c r="F39" s="261">
        <f t="shared" si="7"/>
        <v>7303127</v>
      </c>
      <c r="G39" s="261">
        <v>66462.919075174577</v>
      </c>
      <c r="H39" s="409">
        <f t="shared" si="8"/>
        <v>7369589.9190751743</v>
      </c>
      <c r="I39" s="262">
        <f t="shared" si="9"/>
        <v>1.2488365083379513E-2</v>
      </c>
      <c r="J39" s="263">
        <f t="shared" si="10"/>
        <v>-1426945.0809248257</v>
      </c>
      <c r="K39" s="265">
        <f t="shared" si="11"/>
        <v>-0.16221672293975137</v>
      </c>
    </row>
    <row r="40" spans="1:11" s="35" customFormat="1" x14ac:dyDescent="0.25">
      <c r="A40" s="86" t="s">
        <v>61</v>
      </c>
      <c r="B40" s="87">
        <v>5</v>
      </c>
      <c r="C40" s="28">
        <v>7617446</v>
      </c>
      <c r="D40" s="38">
        <v>215584</v>
      </c>
      <c r="E40" s="264">
        <f t="shared" si="6"/>
        <v>35.33400437880362</v>
      </c>
      <c r="F40" s="261">
        <f t="shared" si="7"/>
        <v>6324502</v>
      </c>
      <c r="G40" s="261">
        <v>0</v>
      </c>
      <c r="H40" s="409">
        <f t="shared" si="8"/>
        <v>6324502</v>
      </c>
      <c r="I40" s="262">
        <f t="shared" si="9"/>
        <v>1.0717379231933655E-2</v>
      </c>
      <c r="J40" s="263">
        <f t="shared" si="10"/>
        <v>-1292944</v>
      </c>
      <c r="K40" s="265">
        <f t="shared" si="11"/>
        <v>-0.1697345803304677</v>
      </c>
    </row>
    <row r="41" spans="1:11" s="35" customFormat="1" x14ac:dyDescent="0.25">
      <c r="A41" s="86" t="s">
        <v>76</v>
      </c>
      <c r="B41" s="87">
        <v>7</v>
      </c>
      <c r="C41" s="28">
        <v>28705814</v>
      </c>
      <c r="D41" s="38">
        <v>770125</v>
      </c>
      <c r="E41" s="264">
        <f t="shared" si="6"/>
        <v>37.274226911215713</v>
      </c>
      <c r="F41" s="261">
        <f t="shared" si="7"/>
        <v>22592850</v>
      </c>
      <c r="G41" s="261">
        <v>1110671.5362945742</v>
      </c>
      <c r="H41" s="409">
        <f t="shared" si="8"/>
        <v>23703521.536294576</v>
      </c>
      <c r="I41" s="262">
        <f t="shared" si="9"/>
        <v>4.0167530888088207E-2</v>
      </c>
      <c r="J41" s="263">
        <f t="shared" si="10"/>
        <v>-5002292.4637054242</v>
      </c>
      <c r="K41" s="265">
        <f t="shared" si="11"/>
        <v>-0.17426060322502696</v>
      </c>
    </row>
    <row r="42" spans="1:11" s="35" customFormat="1" x14ac:dyDescent="0.25">
      <c r="A42" s="86" t="s">
        <v>44</v>
      </c>
      <c r="B42" s="87">
        <v>4</v>
      </c>
      <c r="C42" s="28">
        <v>3946441</v>
      </c>
      <c r="D42" s="38">
        <v>110990.5</v>
      </c>
      <c r="E42" s="264">
        <f t="shared" si="6"/>
        <v>35.556565652015266</v>
      </c>
      <c r="F42" s="261">
        <f t="shared" si="7"/>
        <v>3256084</v>
      </c>
      <c r="G42" s="261">
        <v>0</v>
      </c>
      <c r="H42" s="409">
        <f t="shared" si="8"/>
        <v>3256084</v>
      </c>
      <c r="I42" s="262">
        <f t="shared" si="9"/>
        <v>5.5176972098406269E-3</v>
      </c>
      <c r="J42" s="263">
        <f t="shared" si="10"/>
        <v>-690357</v>
      </c>
      <c r="K42" s="265">
        <f t="shared" si="11"/>
        <v>-0.17493153958211968</v>
      </c>
    </row>
    <row r="43" spans="1:11" s="35" customFormat="1" x14ac:dyDescent="0.25">
      <c r="A43" s="86" t="s">
        <v>72</v>
      </c>
      <c r="B43" s="87">
        <v>6</v>
      </c>
      <c r="C43" s="28">
        <v>14643120</v>
      </c>
      <c r="D43" s="38">
        <v>377394.5</v>
      </c>
      <c r="E43" s="264">
        <f t="shared" si="6"/>
        <v>38.800565456041355</v>
      </c>
      <c r="F43" s="261">
        <f t="shared" si="7"/>
        <v>11071472</v>
      </c>
      <c r="G43" s="261">
        <v>692677.78227744112</v>
      </c>
      <c r="H43" s="409">
        <f t="shared" si="8"/>
        <v>11764149.782277441</v>
      </c>
      <c r="I43" s="262">
        <f t="shared" si="9"/>
        <v>1.9935301555432678E-2</v>
      </c>
      <c r="J43" s="263">
        <f t="shared" si="10"/>
        <v>-2878970.2177225593</v>
      </c>
      <c r="K43" s="265">
        <f t="shared" si="11"/>
        <v>-0.19660907086212223</v>
      </c>
    </row>
    <row r="44" spans="1:11" s="35" customFormat="1" x14ac:dyDescent="0.25">
      <c r="A44" s="86" t="s">
        <v>39</v>
      </c>
      <c r="B44" s="87">
        <v>3</v>
      </c>
      <c r="C44" s="28">
        <v>1452833</v>
      </c>
      <c r="D44" s="38">
        <v>39600.5</v>
      </c>
      <c r="E44" s="264">
        <f t="shared" si="6"/>
        <v>36.687238797489933</v>
      </c>
      <c r="F44" s="261">
        <f t="shared" si="7"/>
        <v>1161744</v>
      </c>
      <c r="G44" s="261">
        <v>0</v>
      </c>
      <c r="H44" s="409">
        <f t="shared" si="8"/>
        <v>1161744</v>
      </c>
      <c r="I44" s="262">
        <f t="shared" si="9"/>
        <v>1.9686689985114296E-3</v>
      </c>
      <c r="J44" s="263">
        <f t="shared" si="10"/>
        <v>-291089</v>
      </c>
      <c r="K44" s="265">
        <f t="shared" si="11"/>
        <v>-0.20035957333017629</v>
      </c>
    </row>
    <row r="45" spans="1:11" s="35" customFormat="1" x14ac:dyDescent="0.25">
      <c r="A45" s="86" t="s">
        <v>43</v>
      </c>
      <c r="B45" s="87">
        <v>3</v>
      </c>
      <c r="C45" s="28">
        <v>884224</v>
      </c>
      <c r="D45" s="38">
        <v>23605.5</v>
      </c>
      <c r="E45" s="264">
        <f t="shared" si="6"/>
        <v>37.45838893478215</v>
      </c>
      <c r="F45" s="261">
        <f t="shared" si="7"/>
        <v>692505</v>
      </c>
      <c r="G45" s="261">
        <v>0</v>
      </c>
      <c r="H45" s="409">
        <f t="shared" si="8"/>
        <v>692505</v>
      </c>
      <c r="I45" s="262">
        <f t="shared" si="9"/>
        <v>1.1735056301682275E-3</v>
      </c>
      <c r="J45" s="263">
        <f t="shared" si="10"/>
        <v>-191719</v>
      </c>
      <c r="K45" s="265">
        <f t="shared" si="11"/>
        <v>-0.2168217555732484</v>
      </c>
    </row>
    <row r="46" spans="1:11" s="35" customFormat="1" x14ac:dyDescent="0.25">
      <c r="A46" s="86" t="s">
        <v>54</v>
      </c>
      <c r="B46" s="87">
        <v>5</v>
      </c>
      <c r="C46" s="28">
        <v>7347909</v>
      </c>
      <c r="D46" s="38">
        <v>189269</v>
      </c>
      <c r="E46" s="264">
        <f t="shared" si="6"/>
        <v>38.822569992972966</v>
      </c>
      <c r="F46" s="261">
        <f t="shared" si="7"/>
        <v>5552509</v>
      </c>
      <c r="G46" s="261">
        <v>145688.62113944476</v>
      </c>
      <c r="H46" s="409">
        <f t="shared" si="8"/>
        <v>5698197.6211394444</v>
      </c>
      <c r="I46" s="262">
        <f t="shared" si="9"/>
        <v>9.6560558988286575E-3</v>
      </c>
      <c r="J46" s="263">
        <f t="shared" si="10"/>
        <v>-1649711.3788605556</v>
      </c>
      <c r="K46" s="265">
        <f t="shared" si="11"/>
        <v>-0.22451439979190754</v>
      </c>
    </row>
    <row r="47" spans="1:11" s="35" customFormat="1" x14ac:dyDescent="0.25">
      <c r="A47" s="86" t="s">
        <v>47</v>
      </c>
      <c r="B47" s="87">
        <v>4</v>
      </c>
      <c r="C47" s="28">
        <v>2512218</v>
      </c>
      <c r="D47" s="38">
        <v>66364.5</v>
      </c>
      <c r="E47" s="264">
        <f t="shared" si="6"/>
        <v>37.854847094455621</v>
      </c>
      <c r="F47" s="261">
        <f t="shared" si="7"/>
        <v>1946909</v>
      </c>
      <c r="G47" s="261">
        <v>0</v>
      </c>
      <c r="H47" s="409">
        <f t="shared" si="8"/>
        <v>1946909</v>
      </c>
      <c r="I47" s="262">
        <f t="shared" si="9"/>
        <v>3.2991944793542196E-3</v>
      </c>
      <c r="J47" s="263">
        <f t="shared" si="10"/>
        <v>-565309</v>
      </c>
      <c r="K47" s="265">
        <f t="shared" si="11"/>
        <v>-0.22502386337491412</v>
      </c>
    </row>
    <row r="48" spans="1:11" s="35" customFormat="1" x14ac:dyDescent="0.25">
      <c r="A48" s="86" t="s">
        <v>34</v>
      </c>
      <c r="B48" s="87">
        <v>3</v>
      </c>
      <c r="C48" s="28">
        <v>1112750</v>
      </c>
      <c r="D48" s="38">
        <v>28955.5</v>
      </c>
      <c r="E48" s="264">
        <f t="shared" si="6"/>
        <v>38.429659304795287</v>
      </c>
      <c r="F48" s="261">
        <f t="shared" si="7"/>
        <v>849456</v>
      </c>
      <c r="G48" s="261">
        <v>0</v>
      </c>
      <c r="H48" s="409">
        <f t="shared" si="8"/>
        <v>849456</v>
      </c>
      <c r="I48" s="262">
        <f t="shared" si="9"/>
        <v>1.4394717707167197E-3</v>
      </c>
      <c r="J48" s="263">
        <f t="shared" si="10"/>
        <v>-263294</v>
      </c>
      <c r="K48" s="265">
        <f t="shared" si="11"/>
        <v>-0.23661559200179735</v>
      </c>
    </row>
    <row r="49" spans="1:11" s="35" customFormat="1" x14ac:dyDescent="0.25">
      <c r="A49" s="86" t="s">
        <v>51</v>
      </c>
      <c r="B49" s="87">
        <v>4</v>
      </c>
      <c r="C49" s="28">
        <v>2686897</v>
      </c>
      <c r="D49" s="38">
        <v>64441</v>
      </c>
      <c r="E49" s="264">
        <f t="shared" si="6"/>
        <v>41.695457860678758</v>
      </c>
      <c r="F49" s="261">
        <f t="shared" si="7"/>
        <v>1890480</v>
      </c>
      <c r="G49" s="261">
        <v>0</v>
      </c>
      <c r="H49" s="409">
        <f t="shared" si="8"/>
        <v>1890480</v>
      </c>
      <c r="I49" s="262">
        <f t="shared" si="9"/>
        <v>3.2035709831992995E-3</v>
      </c>
      <c r="J49" s="263">
        <f t="shared" si="10"/>
        <v>-796417</v>
      </c>
      <c r="K49" s="265">
        <f t="shared" si="11"/>
        <v>-0.29640771492171081</v>
      </c>
    </row>
    <row r="50" spans="1:11" s="35" customFormat="1" x14ac:dyDescent="0.25">
      <c r="A50" s="86" t="s">
        <v>37</v>
      </c>
      <c r="B50" s="87">
        <v>3</v>
      </c>
      <c r="C50" s="28">
        <v>1563453</v>
      </c>
      <c r="D50" s="38">
        <v>36882.5</v>
      </c>
      <c r="E50" s="264">
        <f t="shared" si="6"/>
        <v>42.390103707720463</v>
      </c>
      <c r="F50" s="261">
        <f t="shared" si="7"/>
        <v>1082007</v>
      </c>
      <c r="G50" s="261">
        <v>0</v>
      </c>
      <c r="H50" s="409">
        <f t="shared" si="8"/>
        <v>1082007</v>
      </c>
      <c r="I50" s="262">
        <f t="shared" si="9"/>
        <v>1.8335482146431194E-3</v>
      </c>
      <c r="J50" s="263">
        <f t="shared" si="10"/>
        <v>-481446</v>
      </c>
      <c r="K50" s="265">
        <f t="shared" si="11"/>
        <v>-0.30793762268517189</v>
      </c>
    </row>
    <row r="51" spans="1:11" s="35" customFormat="1" x14ac:dyDescent="0.25">
      <c r="A51" s="86" t="s">
        <v>28</v>
      </c>
      <c r="B51" s="87">
        <v>2</v>
      </c>
      <c r="C51" s="28">
        <v>725928</v>
      </c>
      <c r="D51" s="38">
        <v>17088.5</v>
      </c>
      <c r="E51" s="264">
        <f t="shared" si="6"/>
        <v>42.480498580916993</v>
      </c>
      <c r="F51" s="261">
        <f t="shared" si="7"/>
        <v>501319</v>
      </c>
      <c r="G51" s="261">
        <v>0</v>
      </c>
      <c r="H51" s="409">
        <f t="shared" si="8"/>
        <v>501319</v>
      </c>
      <c r="I51" s="262">
        <f t="shared" si="9"/>
        <v>8.4952551824218697E-4</v>
      </c>
      <c r="J51" s="263">
        <f t="shared" si="10"/>
        <v>-224609</v>
      </c>
      <c r="K51" s="265">
        <f t="shared" si="11"/>
        <v>-0.30940947311579109</v>
      </c>
    </row>
    <row r="52" spans="1:11" s="35" customFormat="1" x14ac:dyDescent="0.25">
      <c r="A52" s="86" t="s">
        <v>38</v>
      </c>
      <c r="B52" s="87">
        <v>3</v>
      </c>
      <c r="C52" s="28">
        <v>1361638</v>
      </c>
      <c r="D52" s="38">
        <v>31319</v>
      </c>
      <c r="E52" s="264">
        <f t="shared" si="6"/>
        <v>43.476420064497589</v>
      </c>
      <c r="F52" s="261">
        <f t="shared" si="7"/>
        <v>918793</v>
      </c>
      <c r="G52" s="261">
        <v>0</v>
      </c>
      <c r="H52" s="409">
        <f t="shared" si="8"/>
        <v>918793</v>
      </c>
      <c r="I52" s="262">
        <f t="shared" si="9"/>
        <v>1.5569689149669047E-3</v>
      </c>
      <c r="J52" s="263">
        <f t="shared" si="10"/>
        <v>-442845</v>
      </c>
      <c r="K52" s="265">
        <f t="shared" si="11"/>
        <v>-0.32522961315709464</v>
      </c>
    </row>
    <row r="53" spans="1:11" s="35" customFormat="1" x14ac:dyDescent="0.25">
      <c r="A53" s="86" t="s">
        <v>41</v>
      </c>
      <c r="B53" s="87">
        <v>3</v>
      </c>
      <c r="C53" s="28">
        <v>1601525</v>
      </c>
      <c r="D53" s="38">
        <v>36495.5</v>
      </c>
      <c r="E53" s="264">
        <f t="shared" si="6"/>
        <v>43.88280746941404</v>
      </c>
      <c r="F53" s="261">
        <f t="shared" si="7"/>
        <v>1070654</v>
      </c>
      <c r="G53" s="261">
        <v>0</v>
      </c>
      <c r="H53" s="409">
        <f t="shared" si="8"/>
        <v>1070654</v>
      </c>
      <c r="I53" s="262">
        <f t="shared" si="9"/>
        <v>1.8143096395869106E-3</v>
      </c>
      <c r="J53" s="263">
        <f t="shared" si="10"/>
        <v>-530871</v>
      </c>
      <c r="K53" s="265">
        <f t="shared" si="11"/>
        <v>-0.33147843461700566</v>
      </c>
    </row>
    <row r="54" spans="1:11" s="35" customFormat="1" x14ac:dyDescent="0.25">
      <c r="A54" s="86" t="s">
        <v>23</v>
      </c>
      <c r="B54" s="87">
        <v>2</v>
      </c>
      <c r="C54" s="28">
        <v>552219</v>
      </c>
      <c r="D54" s="38">
        <v>12579</v>
      </c>
      <c r="E54" s="264">
        <f t="shared" si="6"/>
        <v>43.900071547817788</v>
      </c>
      <c r="F54" s="261">
        <f t="shared" si="7"/>
        <v>369025</v>
      </c>
      <c r="G54" s="261">
        <v>0</v>
      </c>
      <c r="H54" s="409">
        <f t="shared" si="8"/>
        <v>369025</v>
      </c>
      <c r="I54" s="262">
        <f t="shared" si="9"/>
        <v>6.2534265481524345E-4</v>
      </c>
      <c r="J54" s="263">
        <f t="shared" si="10"/>
        <v>-183194</v>
      </c>
      <c r="K54" s="265">
        <f t="shared" si="11"/>
        <v>-0.33174157354238082</v>
      </c>
    </row>
    <row r="55" spans="1:11" s="35" customFormat="1" x14ac:dyDescent="0.25">
      <c r="A55" s="86" t="s">
        <v>31</v>
      </c>
      <c r="B55" s="87">
        <v>2</v>
      </c>
      <c r="C55" s="28">
        <v>612817</v>
      </c>
      <c r="D55" s="38">
        <v>13847</v>
      </c>
      <c r="E55" s="264">
        <f t="shared" si="6"/>
        <v>44.256301003827545</v>
      </c>
      <c r="F55" s="261">
        <f t="shared" si="7"/>
        <v>406224</v>
      </c>
      <c r="G55" s="261">
        <v>0</v>
      </c>
      <c r="H55" s="409">
        <f t="shared" si="8"/>
        <v>406224</v>
      </c>
      <c r="I55" s="262">
        <f t="shared" si="9"/>
        <v>6.883793634839577E-4</v>
      </c>
      <c r="J55" s="263">
        <f t="shared" si="10"/>
        <v>-206593</v>
      </c>
      <c r="K55" s="265">
        <f t="shared" si="11"/>
        <v>-0.33712021696526046</v>
      </c>
    </row>
    <row r="56" spans="1:11" s="35" customFormat="1" x14ac:dyDescent="0.25">
      <c r="A56" s="86" t="s">
        <v>30</v>
      </c>
      <c r="B56" s="87">
        <v>2</v>
      </c>
      <c r="C56" s="28">
        <v>724790</v>
      </c>
      <c r="D56" s="38">
        <v>16236</v>
      </c>
      <c r="E56" s="264">
        <f t="shared" si="6"/>
        <v>44.640921409214094</v>
      </c>
      <c r="F56" s="261">
        <f t="shared" si="7"/>
        <v>476309</v>
      </c>
      <c r="G56" s="261">
        <v>0</v>
      </c>
      <c r="H56" s="409">
        <f t="shared" si="8"/>
        <v>476309</v>
      </c>
      <c r="I56" s="262">
        <f t="shared" si="9"/>
        <v>8.0714405412206174E-4</v>
      </c>
      <c r="J56" s="263">
        <f t="shared" si="10"/>
        <v>-248481</v>
      </c>
      <c r="K56" s="265">
        <f t="shared" si="11"/>
        <v>-0.34283171677313429</v>
      </c>
    </row>
    <row r="57" spans="1:11" s="35" customFormat="1" x14ac:dyDescent="0.25">
      <c r="A57" s="86" t="s">
        <v>42</v>
      </c>
      <c r="B57" s="87">
        <v>3</v>
      </c>
      <c r="C57" s="28">
        <v>1453646</v>
      </c>
      <c r="D57" s="38">
        <v>32000.5</v>
      </c>
      <c r="E57" s="264">
        <f t="shared" si="6"/>
        <v>45.425727723004329</v>
      </c>
      <c r="F57" s="261">
        <f t="shared" si="7"/>
        <v>938786</v>
      </c>
      <c r="G57" s="261">
        <v>0</v>
      </c>
      <c r="H57" s="409">
        <f t="shared" si="8"/>
        <v>938786</v>
      </c>
      <c r="I57" s="262">
        <f t="shared" si="9"/>
        <v>1.5908486675520173E-3</v>
      </c>
      <c r="J57" s="263">
        <f t="shared" si="10"/>
        <v>-514860</v>
      </c>
      <c r="K57" s="265">
        <f t="shared" si="11"/>
        <v>-0.35418526931591321</v>
      </c>
    </row>
    <row r="58" spans="1:11" s="35" customFormat="1" x14ac:dyDescent="0.25">
      <c r="A58" s="86" t="s">
        <v>29</v>
      </c>
      <c r="B58" s="87">
        <v>2</v>
      </c>
      <c r="C58" s="28">
        <v>1103110</v>
      </c>
      <c r="D58" s="38">
        <v>23886.5</v>
      </c>
      <c r="E58" s="264">
        <f t="shared" si="6"/>
        <v>46.181315805999205</v>
      </c>
      <c r="F58" s="261">
        <f t="shared" si="7"/>
        <v>700749</v>
      </c>
      <c r="G58" s="261">
        <v>0</v>
      </c>
      <c r="H58" s="409">
        <f t="shared" si="8"/>
        <v>700749</v>
      </c>
      <c r="I58" s="262">
        <f t="shared" si="9"/>
        <v>1.1874757537270566E-3</v>
      </c>
      <c r="J58" s="263">
        <f t="shared" si="10"/>
        <v>-402361</v>
      </c>
      <c r="K58" s="265">
        <f t="shared" si="11"/>
        <v>-0.36475147537416941</v>
      </c>
    </row>
    <row r="59" spans="1:11" s="35" customFormat="1" x14ac:dyDescent="0.25">
      <c r="A59" s="86" t="s">
        <v>18</v>
      </c>
      <c r="B59" s="87">
        <v>1</v>
      </c>
      <c r="C59" s="28">
        <v>603165</v>
      </c>
      <c r="D59" s="38">
        <v>10541.5</v>
      </c>
      <c r="E59" s="264">
        <f t="shared" si="6"/>
        <v>57.218137836171323</v>
      </c>
      <c r="F59" s="261">
        <f t="shared" si="7"/>
        <v>309252</v>
      </c>
      <c r="G59" s="261">
        <v>72021.204748352204</v>
      </c>
      <c r="H59" s="409">
        <f t="shared" si="8"/>
        <v>381273.20474835217</v>
      </c>
      <c r="I59" s="262">
        <f t="shared" si="9"/>
        <v>6.4609822658966316E-4</v>
      </c>
      <c r="J59" s="263">
        <f t="shared" si="10"/>
        <v>-221891.79525164783</v>
      </c>
      <c r="K59" s="265">
        <f t="shared" si="11"/>
        <v>-0.36787909651861073</v>
      </c>
    </row>
    <row r="60" spans="1:11" s="35" customFormat="1" x14ac:dyDescent="0.25">
      <c r="A60" s="86" t="s">
        <v>22</v>
      </c>
      <c r="B60" s="87">
        <v>2</v>
      </c>
      <c r="C60" s="28">
        <v>895589</v>
      </c>
      <c r="D60" s="38">
        <v>19242</v>
      </c>
      <c r="E60" s="264">
        <f t="shared" si="6"/>
        <v>46.543446627169736</v>
      </c>
      <c r="F60" s="261">
        <f t="shared" si="7"/>
        <v>564495</v>
      </c>
      <c r="G60" s="261">
        <v>0</v>
      </c>
      <c r="H60" s="409">
        <f t="shared" si="8"/>
        <v>564495</v>
      </c>
      <c r="I60" s="262">
        <f t="shared" si="9"/>
        <v>9.565823505993656E-4</v>
      </c>
      <c r="J60" s="263">
        <f t="shared" si="10"/>
        <v>-331094</v>
      </c>
      <c r="K60" s="265">
        <f t="shared" si="11"/>
        <v>-0.36969413425131392</v>
      </c>
    </row>
    <row r="61" spans="1:11" s="35" customFormat="1" x14ac:dyDescent="0.25">
      <c r="A61" s="86" t="s">
        <v>36</v>
      </c>
      <c r="B61" s="87">
        <v>3</v>
      </c>
      <c r="C61" s="28">
        <v>1642925</v>
      </c>
      <c r="D61" s="38">
        <v>35044.5</v>
      </c>
      <c r="E61" s="264">
        <f t="shared" si="6"/>
        <v>46.881108305154875</v>
      </c>
      <c r="F61" s="261">
        <f t="shared" si="7"/>
        <v>1028087</v>
      </c>
      <c r="G61" s="261">
        <v>0</v>
      </c>
      <c r="H61" s="409">
        <f t="shared" si="8"/>
        <v>1028087</v>
      </c>
      <c r="I61" s="262">
        <f t="shared" si="9"/>
        <v>1.7421764215460721E-3</v>
      </c>
      <c r="J61" s="263">
        <f t="shared" si="10"/>
        <v>-614838</v>
      </c>
      <c r="K61" s="265">
        <f t="shared" si="11"/>
        <v>-0.37423375990991675</v>
      </c>
    </row>
    <row r="62" spans="1:11" s="35" customFormat="1" x14ac:dyDescent="0.25">
      <c r="A62" s="86" t="s">
        <v>33</v>
      </c>
      <c r="B62" s="87">
        <v>2</v>
      </c>
      <c r="C62" s="28">
        <v>965049</v>
      </c>
      <c r="D62" s="38">
        <v>19004</v>
      </c>
      <c r="E62" s="264">
        <f t="shared" si="6"/>
        <v>50.781361818564513</v>
      </c>
      <c r="F62" s="261">
        <f t="shared" si="7"/>
        <v>557513</v>
      </c>
      <c r="G62" s="261">
        <v>0</v>
      </c>
      <c r="H62" s="409">
        <f t="shared" si="8"/>
        <v>557513</v>
      </c>
      <c r="I62" s="262">
        <f t="shared" si="9"/>
        <v>9.4475078792496676E-4</v>
      </c>
      <c r="J62" s="263">
        <f t="shared" si="10"/>
        <v>-407536</v>
      </c>
      <c r="K62" s="265">
        <f t="shared" si="11"/>
        <v>-0.42229565545376452</v>
      </c>
    </row>
    <row r="63" spans="1:11" s="35" customFormat="1" x14ac:dyDescent="0.25">
      <c r="A63" s="86" t="s">
        <v>27</v>
      </c>
      <c r="B63" s="87">
        <v>2</v>
      </c>
      <c r="C63" s="28">
        <v>684959</v>
      </c>
      <c r="D63" s="38">
        <v>13472.5</v>
      </c>
      <c r="E63" s="264">
        <f t="shared" si="6"/>
        <v>50.841269252180368</v>
      </c>
      <c r="F63" s="261">
        <f t="shared" si="7"/>
        <v>395237</v>
      </c>
      <c r="G63" s="261">
        <v>0</v>
      </c>
      <c r="H63" s="409">
        <f t="shared" si="8"/>
        <v>395237</v>
      </c>
      <c r="I63" s="262">
        <f t="shared" si="9"/>
        <v>6.6976100497584824E-4</v>
      </c>
      <c r="J63" s="263">
        <f t="shared" si="10"/>
        <v>-289722</v>
      </c>
      <c r="K63" s="265">
        <f t="shared" si="11"/>
        <v>-0.42297714169753226</v>
      </c>
    </row>
    <row r="64" spans="1:11" s="35" customFormat="1" x14ac:dyDescent="0.25">
      <c r="A64" s="86" t="s">
        <v>24</v>
      </c>
      <c r="B64" s="87">
        <v>2</v>
      </c>
      <c r="C64" s="28">
        <v>602528</v>
      </c>
      <c r="D64" s="38">
        <v>11787</v>
      </c>
      <c r="E64" s="264">
        <f t="shared" si="6"/>
        <v>51.118011368456777</v>
      </c>
      <c r="F64" s="261">
        <f t="shared" si="7"/>
        <v>345791</v>
      </c>
      <c r="G64" s="261">
        <v>0</v>
      </c>
      <c r="H64" s="409">
        <f t="shared" si="8"/>
        <v>345791</v>
      </c>
      <c r="I64" s="262">
        <f t="shared" si="9"/>
        <v>5.8597076607605958E-4</v>
      </c>
      <c r="J64" s="263">
        <f t="shared" si="10"/>
        <v>-256737</v>
      </c>
      <c r="K64" s="265">
        <f t="shared" si="11"/>
        <v>-0.42609969993095759</v>
      </c>
    </row>
    <row r="65" spans="1:11" s="35" customFormat="1" x14ac:dyDescent="0.25">
      <c r="A65" s="86" t="s">
        <v>25</v>
      </c>
      <c r="B65" s="87">
        <v>2</v>
      </c>
      <c r="C65" s="28">
        <v>780526</v>
      </c>
      <c r="D65" s="38">
        <v>15210</v>
      </c>
      <c r="E65" s="264">
        <f t="shared" si="6"/>
        <v>51.316633793556868</v>
      </c>
      <c r="F65" s="261">
        <f t="shared" si="7"/>
        <v>446210</v>
      </c>
      <c r="G65" s="261">
        <v>0</v>
      </c>
      <c r="H65" s="409">
        <f t="shared" si="8"/>
        <v>446210</v>
      </c>
      <c r="I65" s="262">
        <f t="shared" si="9"/>
        <v>7.5613886865418282E-4</v>
      </c>
      <c r="J65" s="263">
        <f t="shared" si="10"/>
        <v>-334316</v>
      </c>
      <c r="K65" s="265">
        <f t="shared" si="11"/>
        <v>-0.42832141402080137</v>
      </c>
    </row>
    <row r="66" spans="1:11" s="35" customFormat="1" x14ac:dyDescent="0.25">
      <c r="A66" s="86" t="s">
        <v>26</v>
      </c>
      <c r="B66" s="87">
        <v>2</v>
      </c>
      <c r="C66" s="28">
        <v>671513</v>
      </c>
      <c r="D66" s="38">
        <v>12849</v>
      </c>
      <c r="E66" s="264">
        <f t="shared" si="6"/>
        <v>52.261888084675853</v>
      </c>
      <c r="F66" s="261">
        <f t="shared" si="7"/>
        <v>376946</v>
      </c>
      <c r="G66" s="261">
        <v>0</v>
      </c>
      <c r="H66" s="409">
        <f t="shared" si="8"/>
        <v>376946</v>
      </c>
      <c r="I66" s="262">
        <f t="shared" si="9"/>
        <v>6.3876542879747107E-4</v>
      </c>
      <c r="J66" s="263">
        <f t="shared" si="10"/>
        <v>-294567</v>
      </c>
      <c r="K66" s="265">
        <f t="shared" si="11"/>
        <v>-0.43866164914156541</v>
      </c>
    </row>
    <row r="67" spans="1:11" s="35" customFormat="1" x14ac:dyDescent="0.25">
      <c r="A67" s="86" t="s">
        <v>20</v>
      </c>
      <c r="B67" s="87">
        <v>1</v>
      </c>
      <c r="C67" s="28">
        <v>385133</v>
      </c>
      <c r="D67" s="38">
        <v>7058.5</v>
      </c>
      <c r="E67" s="264">
        <f t="shared" ref="E67:E69" si="12">C67/D67</f>
        <v>54.563009137918819</v>
      </c>
      <c r="F67" s="261">
        <f t="shared" si="7"/>
        <v>207072</v>
      </c>
      <c r="G67" s="261">
        <v>0</v>
      </c>
      <c r="H67" s="409">
        <f t="shared" ref="H67:H69" si="13">F67+G67</f>
        <v>207072</v>
      </c>
      <c r="I67" s="262">
        <f t="shared" ref="I67:I69" si="14">H67/$D$1</f>
        <v>3.5090022144272637E-4</v>
      </c>
      <c r="J67" s="263">
        <f t="shared" si="10"/>
        <v>-178061</v>
      </c>
      <c r="K67" s="265">
        <f t="shared" ref="K67:K69" si="15">J67/C67</f>
        <v>-0.46233638768944751</v>
      </c>
    </row>
    <row r="68" spans="1:11" x14ac:dyDescent="0.25">
      <c r="A68" s="86" t="s">
        <v>21</v>
      </c>
      <c r="B68" s="87">
        <v>1</v>
      </c>
      <c r="C68" s="28">
        <v>595396</v>
      </c>
      <c r="D68" s="38">
        <v>7615.5</v>
      </c>
      <c r="E68" s="264">
        <f t="shared" si="12"/>
        <v>78.182128553607768</v>
      </c>
      <c r="F68" s="261">
        <f t="shared" si="7"/>
        <v>223413</v>
      </c>
      <c r="G68" s="261">
        <v>0</v>
      </c>
      <c r="H68" s="409">
        <f t="shared" si="13"/>
        <v>223413</v>
      </c>
      <c r="I68" s="262">
        <f t="shared" si="14"/>
        <v>3.7859136519270508E-4</v>
      </c>
      <c r="J68" s="263">
        <f t="shared" si="10"/>
        <v>-371983</v>
      </c>
      <c r="K68" s="265">
        <f t="shared" si="15"/>
        <v>-0.62476570215453242</v>
      </c>
    </row>
    <row r="69" spans="1:11" ht="14.25" thickBot="1" x14ac:dyDescent="0.3">
      <c r="A69" s="95" t="s">
        <v>19</v>
      </c>
      <c r="B69" s="96">
        <v>1</v>
      </c>
      <c r="C69" s="48">
        <v>367092</v>
      </c>
      <c r="D69" s="50">
        <v>4515.5</v>
      </c>
      <c r="E69" s="269">
        <f t="shared" si="12"/>
        <v>81.295980511571258</v>
      </c>
      <c r="F69" s="270">
        <f t="shared" si="7"/>
        <v>132469</v>
      </c>
      <c r="G69" s="270">
        <v>0</v>
      </c>
      <c r="H69" s="410">
        <f t="shared" si="13"/>
        <v>132469</v>
      </c>
      <c r="I69" s="271">
        <f t="shared" si="14"/>
        <v>2.2447941505513309E-4</v>
      </c>
      <c r="J69" s="394">
        <f t="shared" si="10"/>
        <v>-234623</v>
      </c>
      <c r="K69" s="395">
        <f t="shared" si="15"/>
        <v>-0.63913950726248459</v>
      </c>
    </row>
    <row r="70" spans="1:11" ht="14.25" thickBot="1" x14ac:dyDescent="0.3">
      <c r="A70" s="55"/>
      <c r="B70" s="56"/>
      <c r="C70" s="272"/>
      <c r="D70" s="60"/>
      <c r="E70" s="45"/>
      <c r="F70" s="273"/>
      <c r="G70" s="273"/>
      <c r="H70" s="273"/>
      <c r="I70" s="274"/>
      <c r="J70" s="275"/>
    </row>
    <row r="71" spans="1:11" s="35" customFormat="1" ht="14.25" thickBot="1" x14ac:dyDescent="0.3">
      <c r="A71" s="512" t="s">
        <v>215</v>
      </c>
      <c r="B71" s="512"/>
      <c r="C71" s="277">
        <f>SUM(C3:C69)</f>
        <v>590116470</v>
      </c>
      <c r="D71" s="63">
        <f>SUM(D3:D70)</f>
        <v>19109598</v>
      </c>
      <c r="E71" s="278">
        <f>C71/D71</f>
        <v>30.88063233983258</v>
      </c>
      <c r="F71" s="270">
        <f>SUM(F3:F69)</f>
        <v>560610647</v>
      </c>
      <c r="G71" s="270">
        <f>SUM(G3:G69)</f>
        <v>29505823.5</v>
      </c>
      <c r="H71" s="410">
        <f>SUM(H3:H69)</f>
        <v>590116470.50000012</v>
      </c>
      <c r="I71" s="279">
        <f>SUM(I3:I69)</f>
        <v>1.0000000008472902</v>
      </c>
      <c r="J71" s="280">
        <f>SUM(J3:J69)</f>
        <v>0.49999999906867743</v>
      </c>
      <c r="K71" s="276"/>
    </row>
    <row r="72" spans="1:11" x14ac:dyDescent="0.25">
      <c r="C72" s="67"/>
      <c r="D72" s="69" t="s">
        <v>86</v>
      </c>
      <c r="E72" s="281"/>
      <c r="G72" s="411">
        <v>35</v>
      </c>
    </row>
    <row r="73" spans="1:11" x14ac:dyDescent="0.25">
      <c r="C73" s="67"/>
      <c r="J73" s="284" t="s">
        <v>216</v>
      </c>
      <c r="K73" s="285">
        <f>COUNTIF(J3:J69,"&gt;0")</f>
        <v>20</v>
      </c>
    </row>
    <row r="74" spans="1:11" s="283" customFormat="1" x14ac:dyDescent="0.25">
      <c r="A74" s="45"/>
      <c r="B74" s="45"/>
      <c r="C74" s="45"/>
      <c r="D74" s="276"/>
      <c r="E74" s="276"/>
      <c r="F74" s="45"/>
      <c r="G74" s="45"/>
      <c r="H74" s="45"/>
      <c r="I74" s="282"/>
      <c r="J74" s="284" t="s">
        <v>217</v>
      </c>
      <c r="K74" s="286">
        <f>COUNTIF(J3:J69,"&lt;0")</f>
        <v>47</v>
      </c>
    </row>
    <row r="75" spans="1:11" s="283" customFormat="1" x14ac:dyDescent="0.25">
      <c r="A75" s="45"/>
      <c r="B75" s="45"/>
      <c r="C75" s="287"/>
      <c r="D75" s="288"/>
      <c r="E75" s="288"/>
      <c r="F75" s="287"/>
      <c r="G75" s="287"/>
      <c r="H75" s="287"/>
      <c r="I75" s="289"/>
      <c r="J75" s="290"/>
      <c r="K75" s="276"/>
    </row>
  </sheetData>
  <autoFilter ref="A2:K2" xr:uid="{41B5CC8B-0BCD-4DAE-A51C-120BBCDBC277}">
    <sortState xmlns:xlrd2="http://schemas.microsoft.com/office/spreadsheetml/2017/richdata2" ref="A3:K69">
      <sortCondition descending="1" ref="K2"/>
    </sortState>
  </autoFilter>
  <mergeCells count="1">
    <mergeCell ref="A71:B71"/>
  </mergeCells>
  <printOptions horizontalCentered="1"/>
  <pageMargins left="0.45" right="0.45" top="0.75" bottom="0.6" header="0.3" footer="0.3"/>
  <pageSetup scale="96" fitToHeight="0" pageOrder="overThenDown"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A552-F860-48AB-8A14-3D6F8839C196}">
  <sheetPr>
    <tabColor rgb="FF0070C0"/>
    <pageSetUpPr fitToPage="1"/>
  </sheetPr>
  <dimension ref="A1:L76"/>
  <sheetViews>
    <sheetView zoomScaleNormal="100" workbookViewId="0">
      <pane xSplit="1" ySplit="1" topLeftCell="B53" activePane="bottomRight" state="frozen"/>
      <selection pane="topRight" activeCell="B1" sqref="B1"/>
      <selection pane="bottomLeft" activeCell="A2" sqref="A2"/>
      <selection pane="bottomRight" activeCell="H79" sqref="H79"/>
    </sheetView>
  </sheetViews>
  <sheetFormatPr defaultColWidth="9.140625" defaultRowHeight="15.75" x14ac:dyDescent="0.25"/>
  <cols>
    <col min="1" max="1" width="13.85546875" style="156" customWidth="1"/>
    <col min="2" max="2" width="22.140625" style="156" customWidth="1"/>
    <col min="3" max="3" width="22.42578125" style="156" bestFit="1" customWidth="1"/>
    <col min="4" max="5" width="20.85546875" style="156" bestFit="1" customWidth="1"/>
    <col min="6" max="6" width="22.42578125" style="156" bestFit="1" customWidth="1"/>
    <col min="7" max="7" width="20.85546875" style="185" bestFit="1" customWidth="1"/>
    <col min="8" max="9" width="22.42578125" style="156" bestFit="1" customWidth="1"/>
    <col min="10" max="10" width="21.7109375" style="156" bestFit="1" customWidth="1"/>
    <col min="11" max="11" width="20.85546875" style="156" bestFit="1" customWidth="1"/>
    <col min="12" max="12" width="14.85546875" style="156" customWidth="1"/>
    <col min="13" max="13" width="3.5703125" style="156" customWidth="1"/>
    <col min="14" max="16384" width="9.140625" style="156"/>
  </cols>
  <sheetData>
    <row r="1" spans="1:12" s="149" customFormat="1" ht="79.5" thickBot="1" x14ac:dyDescent="0.3">
      <c r="A1" s="142" t="s">
        <v>11</v>
      </c>
      <c r="B1" s="143" t="s">
        <v>181</v>
      </c>
      <c r="C1" s="144" t="s">
        <v>182</v>
      </c>
      <c r="D1" s="145" t="s">
        <v>183</v>
      </c>
      <c r="E1" s="145" t="s">
        <v>184</v>
      </c>
      <c r="F1" s="145" t="s">
        <v>185</v>
      </c>
      <c r="G1" s="146" t="s">
        <v>186</v>
      </c>
      <c r="H1" s="146" t="s">
        <v>187</v>
      </c>
      <c r="I1" s="146" t="s">
        <v>188</v>
      </c>
      <c r="J1" s="193" t="s">
        <v>189</v>
      </c>
      <c r="K1" s="147" t="s">
        <v>190</v>
      </c>
      <c r="L1" s="148" t="s">
        <v>191</v>
      </c>
    </row>
    <row r="2" spans="1:12" x14ac:dyDescent="0.25">
      <c r="A2" s="150" t="s">
        <v>54</v>
      </c>
      <c r="B2" s="151">
        <v>6676129</v>
      </c>
      <c r="C2" s="152">
        <v>4707781.4099999992</v>
      </c>
      <c r="D2" s="153">
        <v>2496129</v>
      </c>
      <c r="E2" s="152">
        <v>318228</v>
      </c>
      <c r="F2" s="152">
        <f t="shared" ref="F2:F33" si="0">SUM(C2:E2)</f>
        <v>7522138.4099999992</v>
      </c>
      <c r="G2" s="152">
        <v>0</v>
      </c>
      <c r="H2" s="152">
        <v>6179947.3699999992</v>
      </c>
      <c r="I2" s="152">
        <f t="shared" ref="I2:I65" si="1">SUM(G2:H2)</f>
        <v>6179947.3699999992</v>
      </c>
      <c r="J2" s="152">
        <f t="shared" ref="J2:J65" si="2">H2-B2</f>
        <v>-496181.63000000082</v>
      </c>
      <c r="K2" s="154">
        <f t="shared" ref="K2:K65" si="3">F2-I2</f>
        <v>1342191.04</v>
      </c>
      <c r="L2" s="155" t="str">
        <f t="shared" ref="L2:L65" si="4">_xlfn.IFS(K2&gt;0,"Due To TF",K2&lt;0,"Due From TF")</f>
        <v>Due To TF</v>
      </c>
    </row>
    <row r="3" spans="1:12" x14ac:dyDescent="0.25">
      <c r="A3" s="157" t="s">
        <v>22</v>
      </c>
      <c r="B3" s="158">
        <v>816730</v>
      </c>
      <c r="C3" s="152">
        <v>413098.26000000007</v>
      </c>
      <c r="D3" s="159">
        <v>448459.32</v>
      </c>
      <c r="E3" s="154">
        <v>38931</v>
      </c>
      <c r="F3" s="154">
        <f t="shared" si="0"/>
        <v>900488.58000000007</v>
      </c>
      <c r="G3" s="154">
        <v>0</v>
      </c>
      <c r="H3" s="154">
        <v>689439.54999999993</v>
      </c>
      <c r="I3" s="154">
        <f t="shared" si="1"/>
        <v>689439.54999999993</v>
      </c>
      <c r="J3" s="154">
        <f t="shared" si="2"/>
        <v>-127290.45000000007</v>
      </c>
      <c r="K3" s="154">
        <f t="shared" si="3"/>
        <v>211049.03000000014</v>
      </c>
      <c r="L3" s="160" t="str">
        <f t="shared" si="4"/>
        <v>Due To TF</v>
      </c>
    </row>
    <row r="4" spans="1:12" x14ac:dyDescent="0.25">
      <c r="A4" s="161" t="s">
        <v>55</v>
      </c>
      <c r="B4" s="162">
        <v>4553732</v>
      </c>
      <c r="C4" s="163">
        <v>5469414.4100000001</v>
      </c>
      <c r="D4" s="159">
        <v>0</v>
      </c>
      <c r="E4" s="163">
        <v>217061</v>
      </c>
      <c r="F4" s="163">
        <f t="shared" si="0"/>
        <v>5686475.4100000001</v>
      </c>
      <c r="G4" s="154">
        <v>939711.23</v>
      </c>
      <c r="H4" s="163">
        <v>4553732</v>
      </c>
      <c r="I4" s="163">
        <f t="shared" si="1"/>
        <v>5493443.2300000004</v>
      </c>
      <c r="J4" s="163">
        <f t="shared" si="2"/>
        <v>0</v>
      </c>
      <c r="K4" s="154">
        <f t="shared" si="3"/>
        <v>193032.1799999997</v>
      </c>
      <c r="L4" s="164" t="str">
        <f t="shared" si="4"/>
        <v>Due To TF</v>
      </c>
    </row>
    <row r="5" spans="1:12" x14ac:dyDescent="0.25">
      <c r="A5" s="165" t="s">
        <v>34</v>
      </c>
      <c r="B5" s="158">
        <v>1000951</v>
      </c>
      <c r="C5" s="154">
        <v>817675.03000000014</v>
      </c>
      <c r="D5" s="166">
        <v>203665.5</v>
      </c>
      <c r="E5" s="154">
        <v>47712</v>
      </c>
      <c r="F5" s="154">
        <f t="shared" si="0"/>
        <v>1069052.5300000003</v>
      </c>
      <c r="G5" s="154">
        <v>0</v>
      </c>
      <c r="H5" s="154">
        <v>951441.92000000004</v>
      </c>
      <c r="I5" s="154">
        <f t="shared" si="1"/>
        <v>951441.92000000004</v>
      </c>
      <c r="J5" s="154">
        <f t="shared" si="2"/>
        <v>-49509.079999999958</v>
      </c>
      <c r="K5" s="154">
        <f t="shared" si="3"/>
        <v>117610.61000000022</v>
      </c>
      <c r="L5" s="160" t="str">
        <f t="shared" si="4"/>
        <v>Due To TF</v>
      </c>
    </row>
    <row r="6" spans="1:12" x14ac:dyDescent="0.25">
      <c r="A6" s="157" t="s">
        <v>68</v>
      </c>
      <c r="B6" s="158">
        <v>13042941</v>
      </c>
      <c r="C6" s="154">
        <v>12168834.67</v>
      </c>
      <c r="D6" s="166">
        <v>2342941</v>
      </c>
      <c r="E6" s="154">
        <v>621712</v>
      </c>
      <c r="F6" s="154">
        <f t="shared" si="0"/>
        <v>15133487.67</v>
      </c>
      <c r="G6" s="154">
        <v>0</v>
      </c>
      <c r="H6" s="154">
        <v>13042941</v>
      </c>
      <c r="I6" s="154">
        <f t="shared" si="1"/>
        <v>13042941</v>
      </c>
      <c r="J6" s="154">
        <f t="shared" si="2"/>
        <v>0</v>
      </c>
      <c r="K6" s="154">
        <f t="shared" si="3"/>
        <v>2090546.67</v>
      </c>
      <c r="L6" s="160" t="str">
        <f t="shared" si="4"/>
        <v>Due To TF</v>
      </c>
    </row>
    <row r="7" spans="1:12" x14ac:dyDescent="0.25">
      <c r="A7" s="157" t="s">
        <v>79</v>
      </c>
      <c r="B7" s="158">
        <v>45017522</v>
      </c>
      <c r="C7" s="154">
        <v>40090180.939999998</v>
      </c>
      <c r="D7" s="166">
        <v>7241767</v>
      </c>
      <c r="E7" s="154">
        <v>2145831</v>
      </c>
      <c r="F7" s="154">
        <f t="shared" si="0"/>
        <v>49477778.939999998</v>
      </c>
      <c r="G7" s="154">
        <v>0</v>
      </c>
      <c r="H7" s="154">
        <v>42677634.579999998</v>
      </c>
      <c r="I7" s="154">
        <f t="shared" si="1"/>
        <v>42677634.579999998</v>
      </c>
      <c r="J7" s="154">
        <f t="shared" si="2"/>
        <v>-2339887.4200000018</v>
      </c>
      <c r="K7" s="154">
        <f t="shared" si="3"/>
        <v>6800144.3599999994</v>
      </c>
      <c r="L7" s="160" t="str">
        <f t="shared" si="4"/>
        <v>Due To TF</v>
      </c>
    </row>
    <row r="8" spans="1:12" x14ac:dyDescent="0.25">
      <c r="A8" s="157" t="s">
        <v>23</v>
      </c>
      <c r="B8" s="158">
        <v>509417</v>
      </c>
      <c r="C8" s="154">
        <v>331456.37</v>
      </c>
      <c r="D8" s="166">
        <v>230254</v>
      </c>
      <c r="E8" s="154">
        <v>24283</v>
      </c>
      <c r="F8" s="154">
        <f t="shared" si="0"/>
        <v>585993.37</v>
      </c>
      <c r="G8" s="154">
        <v>0</v>
      </c>
      <c r="H8" s="154">
        <v>509416.99999999994</v>
      </c>
      <c r="I8" s="154">
        <f t="shared" si="1"/>
        <v>509416.99999999994</v>
      </c>
      <c r="J8" s="154">
        <f t="shared" si="2"/>
        <v>0</v>
      </c>
      <c r="K8" s="154">
        <f t="shared" si="3"/>
        <v>76576.370000000054</v>
      </c>
      <c r="L8" s="160" t="str">
        <f t="shared" si="4"/>
        <v>Due To TF</v>
      </c>
    </row>
    <row r="9" spans="1:12" x14ac:dyDescent="0.25">
      <c r="A9" s="157" t="s">
        <v>56</v>
      </c>
      <c r="B9" s="158">
        <v>4115050</v>
      </c>
      <c r="C9" s="154">
        <v>4695755.6399999997</v>
      </c>
      <c r="D9" s="166">
        <v>2184</v>
      </c>
      <c r="E9" s="154">
        <v>196150</v>
      </c>
      <c r="F9" s="154">
        <f t="shared" si="0"/>
        <v>4894089.6399999997</v>
      </c>
      <c r="G9" s="154">
        <v>621884.51</v>
      </c>
      <c r="H9" s="154">
        <v>3907751.71</v>
      </c>
      <c r="I9" s="154">
        <f t="shared" si="1"/>
        <v>4529636.22</v>
      </c>
      <c r="J9" s="154">
        <f t="shared" si="2"/>
        <v>-207298.29000000004</v>
      </c>
      <c r="K9" s="154">
        <f t="shared" si="3"/>
        <v>364453.41999999993</v>
      </c>
      <c r="L9" s="160" t="str">
        <f t="shared" si="4"/>
        <v>Due To TF</v>
      </c>
    </row>
    <row r="10" spans="1:12" x14ac:dyDescent="0.25">
      <c r="A10" s="157" t="s">
        <v>44</v>
      </c>
      <c r="B10" s="158">
        <v>3525784</v>
      </c>
      <c r="C10" s="154">
        <v>3919052.08</v>
      </c>
      <c r="D10" s="166">
        <v>0</v>
      </c>
      <c r="E10" s="154">
        <v>168062</v>
      </c>
      <c r="F10" s="154">
        <f t="shared" si="0"/>
        <v>4087114.08</v>
      </c>
      <c r="G10" s="154">
        <v>424202.55</v>
      </c>
      <c r="H10" s="154">
        <v>3525784.0000000005</v>
      </c>
      <c r="I10" s="154">
        <f t="shared" si="1"/>
        <v>3949986.5500000003</v>
      </c>
      <c r="J10" s="154">
        <f t="shared" si="2"/>
        <v>0</v>
      </c>
      <c r="K10" s="154">
        <f t="shared" si="3"/>
        <v>137127.5299999998</v>
      </c>
      <c r="L10" s="160" t="str">
        <f t="shared" si="4"/>
        <v>Due To TF</v>
      </c>
    </row>
    <row r="11" spans="1:12" x14ac:dyDescent="0.25">
      <c r="A11" s="157" t="s">
        <v>57</v>
      </c>
      <c r="B11" s="158">
        <v>4276738</v>
      </c>
      <c r="C11" s="154">
        <v>4959101.8500000006</v>
      </c>
      <c r="D11" s="166">
        <v>22738</v>
      </c>
      <c r="E11" s="154">
        <v>203858</v>
      </c>
      <c r="F11" s="154">
        <f t="shared" si="0"/>
        <v>5185697.8500000006</v>
      </c>
      <c r="G11" s="154">
        <v>714714.89</v>
      </c>
      <c r="H11" s="154">
        <v>4276738</v>
      </c>
      <c r="I11" s="154">
        <f t="shared" si="1"/>
        <v>4991452.8899999997</v>
      </c>
      <c r="J11" s="154">
        <f t="shared" si="2"/>
        <v>0</v>
      </c>
      <c r="K11" s="154">
        <f t="shared" si="3"/>
        <v>194244.96000000089</v>
      </c>
      <c r="L11" s="160" t="str">
        <f t="shared" si="4"/>
        <v>Due To TF</v>
      </c>
    </row>
    <row r="12" spans="1:12" x14ac:dyDescent="0.25">
      <c r="A12" s="157" t="s">
        <v>58</v>
      </c>
      <c r="B12" s="158">
        <v>7477231</v>
      </c>
      <c r="C12" s="154">
        <v>8490032.9000000004</v>
      </c>
      <c r="D12" s="166">
        <v>0</v>
      </c>
      <c r="E12" s="154">
        <v>356413</v>
      </c>
      <c r="F12" s="154">
        <f t="shared" si="0"/>
        <v>8846445.9000000004</v>
      </c>
      <c r="G12" s="154">
        <v>1055684.27</v>
      </c>
      <c r="H12" s="154">
        <v>7477231.0000000009</v>
      </c>
      <c r="I12" s="154">
        <f t="shared" si="1"/>
        <v>8532915.2700000014</v>
      </c>
      <c r="J12" s="154">
        <f t="shared" si="2"/>
        <v>0</v>
      </c>
      <c r="K12" s="154">
        <f t="shared" si="3"/>
        <v>313530.62999999896</v>
      </c>
      <c r="L12" s="160" t="str">
        <f t="shared" si="4"/>
        <v>Due To TF</v>
      </c>
    </row>
    <row r="13" spans="1:12" x14ac:dyDescent="0.25">
      <c r="A13" s="157" t="s">
        <v>45</v>
      </c>
      <c r="B13" s="158">
        <v>1846836</v>
      </c>
      <c r="C13" s="154">
        <v>1518649.03</v>
      </c>
      <c r="D13" s="166">
        <v>329352</v>
      </c>
      <c r="E13" s="154">
        <v>88032</v>
      </c>
      <c r="F13" s="154">
        <f t="shared" si="0"/>
        <v>1936033.03</v>
      </c>
      <c r="G13" s="154">
        <v>0</v>
      </c>
      <c r="H13" s="154">
        <v>1736058.2</v>
      </c>
      <c r="I13" s="154">
        <f t="shared" si="1"/>
        <v>1736058.2</v>
      </c>
      <c r="J13" s="154">
        <f t="shared" si="2"/>
        <v>-110777.80000000005</v>
      </c>
      <c r="K13" s="154">
        <f t="shared" si="3"/>
        <v>199974.83000000007</v>
      </c>
      <c r="L13" s="160" t="str">
        <f t="shared" si="4"/>
        <v>Due To TF</v>
      </c>
    </row>
    <row r="14" spans="1:12" x14ac:dyDescent="0.25">
      <c r="A14" s="157" t="s">
        <v>35</v>
      </c>
      <c r="B14" s="158">
        <v>939304</v>
      </c>
      <c r="C14" s="154">
        <v>893501.58</v>
      </c>
      <c r="D14" s="166">
        <v>298877</v>
      </c>
      <c r="E14" s="154">
        <v>44773</v>
      </c>
      <c r="F14" s="154">
        <f t="shared" si="0"/>
        <v>1237151.58</v>
      </c>
      <c r="G14" s="154">
        <v>21616.51</v>
      </c>
      <c r="H14" s="154">
        <v>930632.95000000007</v>
      </c>
      <c r="I14" s="154">
        <f t="shared" si="1"/>
        <v>952249.46000000008</v>
      </c>
      <c r="J14" s="154">
        <f t="shared" si="2"/>
        <v>-8671.0499999999302</v>
      </c>
      <c r="K14" s="154">
        <f t="shared" si="3"/>
        <v>284902.12</v>
      </c>
      <c r="L14" s="160" t="str">
        <f t="shared" si="4"/>
        <v>Due To TF</v>
      </c>
    </row>
    <row r="15" spans="1:12" x14ac:dyDescent="0.25">
      <c r="A15" s="157" t="s">
        <v>24</v>
      </c>
      <c r="B15" s="158">
        <v>561107</v>
      </c>
      <c r="C15" s="154">
        <v>176012.65999999997</v>
      </c>
      <c r="D15" s="159">
        <v>351198.25</v>
      </c>
      <c r="E15" s="154">
        <v>26746</v>
      </c>
      <c r="F15" s="154">
        <f t="shared" si="0"/>
        <v>553956.90999999992</v>
      </c>
      <c r="G15" s="154">
        <v>0</v>
      </c>
      <c r="H15" s="158">
        <v>523453.62</v>
      </c>
      <c r="I15" s="154">
        <f t="shared" si="1"/>
        <v>523453.62</v>
      </c>
      <c r="J15" s="154">
        <f t="shared" si="2"/>
        <v>-37653.380000000005</v>
      </c>
      <c r="K15" s="154">
        <f t="shared" si="3"/>
        <v>30503.289999999921</v>
      </c>
      <c r="L15" s="160" t="str">
        <f t="shared" si="4"/>
        <v>Due To TF</v>
      </c>
    </row>
    <row r="16" spans="1:12" x14ac:dyDescent="0.25">
      <c r="A16" s="161" t="s">
        <v>80</v>
      </c>
      <c r="B16" s="162">
        <v>23144597</v>
      </c>
      <c r="C16" s="163">
        <v>21946475.399999999</v>
      </c>
      <c r="D16" s="159">
        <v>1732489</v>
      </c>
      <c r="E16" s="163">
        <v>1103224</v>
      </c>
      <c r="F16" s="163">
        <f t="shared" si="0"/>
        <v>24782188.399999999</v>
      </c>
      <c r="G16" s="163">
        <v>21270.95</v>
      </c>
      <c r="H16" s="154">
        <v>23144463.539999999</v>
      </c>
      <c r="I16" s="163">
        <f t="shared" si="1"/>
        <v>23165734.489999998</v>
      </c>
      <c r="J16" s="163">
        <f t="shared" si="2"/>
        <v>-133.46000000089407</v>
      </c>
      <c r="K16" s="154">
        <f t="shared" si="3"/>
        <v>1616453.9100000001</v>
      </c>
      <c r="L16" s="164" t="str">
        <f t="shared" si="4"/>
        <v>Due To TF</v>
      </c>
    </row>
    <row r="17" spans="1:12" x14ac:dyDescent="0.25">
      <c r="A17" s="157" t="s">
        <v>69</v>
      </c>
      <c r="B17" s="158">
        <v>7976162</v>
      </c>
      <c r="C17" s="154">
        <v>7332150.0199999996</v>
      </c>
      <c r="D17" s="166">
        <v>1338239</v>
      </c>
      <c r="E17" s="154">
        <v>381938</v>
      </c>
      <c r="F17" s="154">
        <f t="shared" si="0"/>
        <v>9052327.0199999996</v>
      </c>
      <c r="G17" s="154">
        <v>127345.38</v>
      </c>
      <c r="H17" s="154">
        <v>7774556.4399999995</v>
      </c>
      <c r="I17" s="154">
        <f t="shared" si="1"/>
        <v>7901901.8199999994</v>
      </c>
      <c r="J17" s="154">
        <f t="shared" si="2"/>
        <v>-201605.56000000052</v>
      </c>
      <c r="K17" s="154">
        <f>F17-I17</f>
        <v>1150425.2000000002</v>
      </c>
      <c r="L17" s="160" t="str">
        <f t="shared" si="4"/>
        <v>Due To TF</v>
      </c>
    </row>
    <row r="18" spans="1:12" x14ac:dyDescent="0.25">
      <c r="A18" s="157" t="s">
        <v>46</v>
      </c>
      <c r="B18" s="158">
        <v>2140390</v>
      </c>
      <c r="C18" s="154">
        <v>2420713.17</v>
      </c>
      <c r="D18" s="166">
        <v>203390</v>
      </c>
      <c r="E18" s="154">
        <v>102025</v>
      </c>
      <c r="F18" s="154">
        <f t="shared" si="0"/>
        <v>2726128.17</v>
      </c>
      <c r="G18" s="154">
        <v>0</v>
      </c>
      <c r="H18" s="154">
        <v>2136848.2199999997</v>
      </c>
      <c r="I18" s="154">
        <f t="shared" si="1"/>
        <v>2136848.2199999997</v>
      </c>
      <c r="J18" s="154">
        <f t="shared" si="2"/>
        <v>-3541.7800000002608</v>
      </c>
      <c r="K18" s="154">
        <f t="shared" si="3"/>
        <v>589279.95000000019</v>
      </c>
      <c r="L18" s="160" t="str">
        <f t="shared" si="4"/>
        <v>Due To TF</v>
      </c>
    </row>
    <row r="19" spans="1:12" x14ac:dyDescent="0.25">
      <c r="A19" s="157" t="s">
        <v>25</v>
      </c>
      <c r="B19" s="158">
        <v>729233</v>
      </c>
      <c r="C19" s="154">
        <v>338286.2</v>
      </c>
      <c r="D19" s="166">
        <v>489074.5</v>
      </c>
      <c r="E19" s="154">
        <v>34760</v>
      </c>
      <c r="F19" s="154">
        <f t="shared" si="0"/>
        <v>862120.7</v>
      </c>
      <c r="G19" s="154">
        <v>0</v>
      </c>
      <c r="H19" s="154">
        <v>726641.3899999999</v>
      </c>
      <c r="I19" s="154">
        <f t="shared" si="1"/>
        <v>726641.3899999999</v>
      </c>
      <c r="J19" s="154">
        <f t="shared" si="2"/>
        <v>-2591.6100000001024</v>
      </c>
      <c r="K19" s="154">
        <f t="shared" si="3"/>
        <v>135479.31000000006</v>
      </c>
      <c r="L19" s="160" t="str">
        <f t="shared" si="4"/>
        <v>Due To TF</v>
      </c>
    </row>
    <row r="20" spans="1:12" x14ac:dyDescent="0.25">
      <c r="A20" s="157" t="s">
        <v>36</v>
      </c>
      <c r="B20" s="158">
        <v>1526249</v>
      </c>
      <c r="C20" s="154">
        <v>780520.26000000013</v>
      </c>
      <c r="D20" s="166">
        <v>784997</v>
      </c>
      <c r="E20" s="154">
        <v>72751</v>
      </c>
      <c r="F20" s="154">
        <f t="shared" si="0"/>
        <v>1638268.2600000002</v>
      </c>
      <c r="G20" s="154">
        <v>0</v>
      </c>
      <c r="H20" s="154">
        <v>1526249</v>
      </c>
      <c r="I20" s="154">
        <f t="shared" si="1"/>
        <v>1526249</v>
      </c>
      <c r="J20" s="154">
        <f t="shared" si="2"/>
        <v>0</v>
      </c>
      <c r="K20" s="154">
        <f t="shared" si="3"/>
        <v>112019.26000000024</v>
      </c>
      <c r="L20" s="160" t="str">
        <f t="shared" si="4"/>
        <v>Due To TF</v>
      </c>
    </row>
    <row r="21" spans="1:12" x14ac:dyDescent="0.25">
      <c r="A21" s="157" t="s">
        <v>26</v>
      </c>
      <c r="B21" s="158">
        <v>614496</v>
      </c>
      <c r="C21" s="154">
        <v>313571.5</v>
      </c>
      <c r="D21" s="166">
        <v>308796</v>
      </c>
      <c r="E21" s="154">
        <v>29291</v>
      </c>
      <c r="F21" s="154">
        <f t="shared" si="0"/>
        <v>651658.5</v>
      </c>
      <c r="G21" s="154">
        <v>0</v>
      </c>
      <c r="H21" s="154">
        <v>614496</v>
      </c>
      <c r="I21" s="154">
        <f t="shared" si="1"/>
        <v>614496</v>
      </c>
      <c r="J21" s="154">
        <f t="shared" si="2"/>
        <v>0</v>
      </c>
      <c r="K21" s="154">
        <f t="shared" si="3"/>
        <v>37162.5</v>
      </c>
      <c r="L21" s="160" t="str">
        <f t="shared" si="4"/>
        <v>Due To TF</v>
      </c>
    </row>
    <row r="22" spans="1:12" x14ac:dyDescent="0.25">
      <c r="A22" s="157" t="s">
        <v>27</v>
      </c>
      <c r="B22" s="158">
        <v>638127</v>
      </c>
      <c r="C22" s="154">
        <v>478064.99999999994</v>
      </c>
      <c r="D22" s="166">
        <v>183574.34</v>
      </c>
      <c r="E22" s="154">
        <v>30418</v>
      </c>
      <c r="F22" s="154">
        <f t="shared" si="0"/>
        <v>692057.34</v>
      </c>
      <c r="G22" s="154">
        <v>0</v>
      </c>
      <c r="H22" s="154">
        <v>638126.99999999988</v>
      </c>
      <c r="I22" s="154">
        <f t="shared" si="1"/>
        <v>638126.99999999988</v>
      </c>
      <c r="J22" s="154">
        <f t="shared" si="2"/>
        <v>0</v>
      </c>
      <c r="K22" s="154">
        <f t="shared" si="3"/>
        <v>53930.340000000084</v>
      </c>
      <c r="L22" s="160" t="str">
        <f t="shared" si="4"/>
        <v>Due To TF</v>
      </c>
    </row>
    <row r="23" spans="1:12" x14ac:dyDescent="0.25">
      <c r="A23" s="157" t="s">
        <v>18</v>
      </c>
      <c r="B23" s="158">
        <v>558057</v>
      </c>
      <c r="C23" s="154">
        <v>480832.7</v>
      </c>
      <c r="D23" s="166">
        <v>330081</v>
      </c>
      <c r="E23" s="154">
        <v>26602</v>
      </c>
      <c r="F23" s="154">
        <f t="shared" si="0"/>
        <v>837515.7</v>
      </c>
      <c r="G23" s="154">
        <v>0</v>
      </c>
      <c r="H23" s="154">
        <v>558057</v>
      </c>
      <c r="I23" s="154">
        <f t="shared" si="1"/>
        <v>558057</v>
      </c>
      <c r="J23" s="154">
        <f t="shared" si="2"/>
        <v>0</v>
      </c>
      <c r="K23" s="154">
        <f t="shared" si="3"/>
        <v>279458.69999999995</v>
      </c>
      <c r="L23" s="160" t="str">
        <f t="shared" si="4"/>
        <v>Due To TF</v>
      </c>
    </row>
    <row r="24" spans="1:12" x14ac:dyDescent="0.25">
      <c r="A24" s="157" t="s">
        <v>28</v>
      </c>
      <c r="B24" s="158">
        <v>669639</v>
      </c>
      <c r="C24" s="154">
        <v>401834.14</v>
      </c>
      <c r="D24" s="166">
        <v>292539</v>
      </c>
      <c r="E24" s="154">
        <v>31920</v>
      </c>
      <c r="F24" s="154">
        <f t="shared" si="0"/>
        <v>726293.14</v>
      </c>
      <c r="G24" s="154">
        <v>0</v>
      </c>
      <c r="H24" s="154">
        <v>655041.05999999994</v>
      </c>
      <c r="I24" s="154">
        <f t="shared" si="1"/>
        <v>655041.05999999994</v>
      </c>
      <c r="J24" s="154">
        <f t="shared" si="2"/>
        <v>-14597.940000000061</v>
      </c>
      <c r="K24" s="154">
        <f t="shared" si="3"/>
        <v>71252.080000000075</v>
      </c>
      <c r="L24" s="160" t="str">
        <f t="shared" si="4"/>
        <v>Due To TF</v>
      </c>
    </row>
    <row r="25" spans="1:12" x14ac:dyDescent="0.25">
      <c r="A25" s="157" t="s">
        <v>29</v>
      </c>
      <c r="B25" s="158">
        <v>1021928</v>
      </c>
      <c r="C25" s="154">
        <v>688568.21</v>
      </c>
      <c r="D25" s="166">
        <v>427793</v>
      </c>
      <c r="E25" s="154">
        <v>48712</v>
      </c>
      <c r="F25" s="154">
        <f t="shared" si="0"/>
        <v>1165073.21</v>
      </c>
      <c r="G25" s="154">
        <v>0</v>
      </c>
      <c r="H25" s="154">
        <v>857613.13</v>
      </c>
      <c r="I25" s="154">
        <f t="shared" si="1"/>
        <v>857613.13</v>
      </c>
      <c r="J25" s="154">
        <f t="shared" si="2"/>
        <v>-164314.87</v>
      </c>
      <c r="K25" s="154">
        <f t="shared" si="3"/>
        <v>307460.07999999996</v>
      </c>
      <c r="L25" s="160" t="str">
        <f t="shared" si="4"/>
        <v>Due To TF</v>
      </c>
    </row>
    <row r="26" spans="1:12" x14ac:dyDescent="0.25">
      <c r="A26" s="157" t="s">
        <v>37</v>
      </c>
      <c r="B26" s="158">
        <v>1438886</v>
      </c>
      <c r="C26" s="154">
        <v>1337602.2899999998</v>
      </c>
      <c r="D26" s="166">
        <f>367286+26723.25</f>
        <v>394009.25</v>
      </c>
      <c r="E26" s="154">
        <v>68587</v>
      </c>
      <c r="F26" s="154">
        <f t="shared" si="0"/>
        <v>1800198.5399999998</v>
      </c>
      <c r="G26" s="154">
        <v>104492.33</v>
      </c>
      <c r="H26" s="154">
        <v>1356170.3399999999</v>
      </c>
      <c r="I26" s="154">
        <f t="shared" si="1"/>
        <v>1460662.67</v>
      </c>
      <c r="J26" s="154">
        <f t="shared" si="2"/>
        <v>-82715.660000000149</v>
      </c>
      <c r="K26" s="154">
        <f t="shared" si="3"/>
        <v>339535.86999999988</v>
      </c>
      <c r="L26" s="160" t="str">
        <f t="shared" si="4"/>
        <v>Due To TF</v>
      </c>
    </row>
    <row r="27" spans="1:12" x14ac:dyDescent="0.25">
      <c r="A27" s="157" t="s">
        <v>59</v>
      </c>
      <c r="B27" s="158">
        <v>4003407</v>
      </c>
      <c r="C27" s="154">
        <v>5051172.6400000006</v>
      </c>
      <c r="D27" s="166">
        <v>0</v>
      </c>
      <c r="E27" s="154">
        <v>190829</v>
      </c>
      <c r="F27" s="154">
        <f t="shared" si="0"/>
        <v>5242001.6400000006</v>
      </c>
      <c r="G27" s="154">
        <v>1187123.55</v>
      </c>
      <c r="H27" s="154">
        <v>3549182.7199999997</v>
      </c>
      <c r="I27" s="154">
        <f t="shared" si="1"/>
        <v>4736306.2699999996</v>
      </c>
      <c r="J27" s="154">
        <f t="shared" si="2"/>
        <v>-454224.28000000026</v>
      </c>
      <c r="K27" s="154">
        <f t="shared" si="3"/>
        <v>505695.37000000104</v>
      </c>
      <c r="L27" s="160" t="str">
        <f t="shared" si="4"/>
        <v>Due To TF</v>
      </c>
    </row>
    <row r="28" spans="1:12" x14ac:dyDescent="0.25">
      <c r="A28" s="157" t="s">
        <v>47</v>
      </c>
      <c r="B28" s="158">
        <v>2287647</v>
      </c>
      <c r="C28" s="154">
        <v>2040409.52</v>
      </c>
      <c r="D28" s="166">
        <v>354987</v>
      </c>
      <c r="E28" s="154">
        <v>109044</v>
      </c>
      <c r="F28" s="154">
        <f t="shared" si="0"/>
        <v>2504440.52</v>
      </c>
      <c r="G28" s="154">
        <v>0</v>
      </c>
      <c r="H28" s="154">
        <v>2253687.5699999998</v>
      </c>
      <c r="I28" s="154">
        <f t="shared" si="1"/>
        <v>2253687.5699999998</v>
      </c>
      <c r="J28" s="154">
        <f t="shared" si="2"/>
        <v>-33959.430000000168</v>
      </c>
      <c r="K28" s="154">
        <f t="shared" si="3"/>
        <v>250752.95000000019</v>
      </c>
      <c r="L28" s="160" t="str">
        <f t="shared" si="4"/>
        <v>Due To TF</v>
      </c>
    </row>
    <row r="29" spans="1:12" x14ac:dyDescent="0.25">
      <c r="A29" s="157" t="s">
        <v>81</v>
      </c>
      <c r="B29" s="158">
        <v>35834370</v>
      </c>
      <c r="C29" s="154">
        <v>30761128.300000001</v>
      </c>
      <c r="D29" s="166">
        <v>4417370</v>
      </c>
      <c r="E29" s="154">
        <v>1708102</v>
      </c>
      <c r="F29" s="154">
        <f t="shared" si="0"/>
        <v>36886600.299999997</v>
      </c>
      <c r="G29" s="154">
        <v>0</v>
      </c>
      <c r="H29" s="154">
        <v>34879234.989999995</v>
      </c>
      <c r="I29" s="154">
        <f t="shared" si="1"/>
        <v>34879234.989999995</v>
      </c>
      <c r="J29" s="154">
        <f t="shared" si="2"/>
        <v>-955135.01000000536</v>
      </c>
      <c r="K29" s="154">
        <f t="shared" si="3"/>
        <v>2007365.3100000024</v>
      </c>
      <c r="L29" s="160" t="str">
        <f t="shared" si="4"/>
        <v>Due To TF</v>
      </c>
    </row>
    <row r="30" spans="1:12" x14ac:dyDescent="0.25">
      <c r="A30" s="157" t="s">
        <v>30</v>
      </c>
      <c r="B30" s="158">
        <v>670053</v>
      </c>
      <c r="C30" s="154">
        <v>608707.91000000015</v>
      </c>
      <c r="D30" s="166">
        <v>176614</v>
      </c>
      <c r="E30" s="154">
        <v>31939</v>
      </c>
      <c r="F30" s="154">
        <f t="shared" si="0"/>
        <v>817260.91000000015</v>
      </c>
      <c r="G30" s="154">
        <v>0</v>
      </c>
      <c r="H30" s="154">
        <v>670053</v>
      </c>
      <c r="I30" s="154">
        <f t="shared" si="1"/>
        <v>670053</v>
      </c>
      <c r="J30" s="154">
        <f t="shared" si="2"/>
        <v>0</v>
      </c>
      <c r="K30" s="154">
        <f t="shared" si="3"/>
        <v>147207.91000000015</v>
      </c>
      <c r="L30" s="160" t="str">
        <f t="shared" si="4"/>
        <v>Due To TF</v>
      </c>
    </row>
    <row r="31" spans="1:12" x14ac:dyDescent="0.25">
      <c r="A31" s="157" t="s">
        <v>48</v>
      </c>
      <c r="B31" s="158">
        <v>3299276</v>
      </c>
      <c r="C31" s="154">
        <v>3958329.9599999995</v>
      </c>
      <c r="D31" s="166">
        <v>4976</v>
      </c>
      <c r="E31" s="154">
        <v>157265</v>
      </c>
      <c r="F31" s="154">
        <f t="shared" si="0"/>
        <v>4120570.9599999995</v>
      </c>
      <c r="G31" s="154">
        <v>667471.38</v>
      </c>
      <c r="H31" s="154">
        <v>3295125.9300000006</v>
      </c>
      <c r="I31" s="154">
        <f t="shared" si="1"/>
        <v>3962597.3100000005</v>
      </c>
      <c r="J31" s="154">
        <f t="shared" si="2"/>
        <v>-4150.0699999993667</v>
      </c>
      <c r="K31" s="154">
        <f t="shared" si="3"/>
        <v>157973.64999999898</v>
      </c>
      <c r="L31" s="160" t="str">
        <f t="shared" si="4"/>
        <v>Due To TF</v>
      </c>
    </row>
    <row r="32" spans="1:12" x14ac:dyDescent="0.25">
      <c r="A32" s="157" t="s">
        <v>38</v>
      </c>
      <c r="B32" s="158">
        <v>1255824</v>
      </c>
      <c r="C32" s="166">
        <v>867506.15</v>
      </c>
      <c r="D32" s="166">
        <v>488024</v>
      </c>
      <c r="E32" s="154">
        <v>59861</v>
      </c>
      <c r="F32" s="154">
        <f t="shared" si="0"/>
        <v>1415391.15</v>
      </c>
      <c r="G32" s="154">
        <v>0</v>
      </c>
      <c r="H32" s="154">
        <v>1245729.2000000002</v>
      </c>
      <c r="I32" s="154">
        <f t="shared" si="1"/>
        <v>1245729.2000000002</v>
      </c>
      <c r="J32" s="154">
        <f t="shared" si="2"/>
        <v>-10094.799999999814</v>
      </c>
      <c r="K32" s="154">
        <f>F32-I32</f>
        <v>169661.94999999972</v>
      </c>
      <c r="L32" s="160" t="str">
        <f t="shared" si="4"/>
        <v>Due To TF</v>
      </c>
    </row>
    <row r="33" spans="1:12" x14ac:dyDescent="0.25">
      <c r="A33" s="157" t="s">
        <v>31</v>
      </c>
      <c r="B33" s="158">
        <v>565956</v>
      </c>
      <c r="C33" s="154">
        <v>378817.67000000004</v>
      </c>
      <c r="D33" s="166">
        <v>186108</v>
      </c>
      <c r="E33" s="154">
        <v>26978</v>
      </c>
      <c r="F33" s="154">
        <f t="shared" si="0"/>
        <v>591903.67000000004</v>
      </c>
      <c r="G33" s="154">
        <v>0</v>
      </c>
      <c r="H33" s="154">
        <v>565956</v>
      </c>
      <c r="I33" s="154">
        <f t="shared" si="1"/>
        <v>565956</v>
      </c>
      <c r="J33" s="154">
        <f t="shared" si="2"/>
        <v>0</v>
      </c>
      <c r="K33" s="154">
        <f t="shared" si="3"/>
        <v>25947.670000000042</v>
      </c>
      <c r="L33" s="160" t="str">
        <f t="shared" si="4"/>
        <v>Due To TF</v>
      </c>
    </row>
    <row r="34" spans="1:12" x14ac:dyDescent="0.25">
      <c r="A34" s="157" t="s">
        <v>19</v>
      </c>
      <c r="B34" s="158">
        <v>343958</v>
      </c>
      <c r="C34" s="154">
        <v>113080.48999999999</v>
      </c>
      <c r="D34" s="166">
        <v>249211.25</v>
      </c>
      <c r="E34" s="154">
        <v>16396</v>
      </c>
      <c r="F34" s="154">
        <f t="shared" ref="F34:F68" si="5">SUM(C34:E34)</f>
        <v>378687.74</v>
      </c>
      <c r="G34" s="154">
        <v>0</v>
      </c>
      <c r="H34" s="154">
        <v>343958</v>
      </c>
      <c r="I34" s="154">
        <f t="shared" si="1"/>
        <v>343958</v>
      </c>
      <c r="J34" s="154">
        <f t="shared" si="2"/>
        <v>0</v>
      </c>
      <c r="K34" s="154">
        <f t="shared" si="3"/>
        <v>34729.739999999991</v>
      </c>
      <c r="L34" s="160" t="str">
        <f t="shared" si="4"/>
        <v>Due To TF</v>
      </c>
    </row>
    <row r="35" spans="1:12" x14ac:dyDescent="0.25">
      <c r="A35" s="157" t="s">
        <v>60</v>
      </c>
      <c r="B35" s="158">
        <v>7214798</v>
      </c>
      <c r="C35" s="154">
        <v>7862613</v>
      </c>
      <c r="D35" s="166">
        <v>0</v>
      </c>
      <c r="E35" s="154">
        <v>343905</v>
      </c>
      <c r="F35" s="154">
        <f t="shared" si="5"/>
        <v>8206518</v>
      </c>
      <c r="G35" s="154">
        <v>537261</v>
      </c>
      <c r="H35" s="154">
        <v>6895688</v>
      </c>
      <c r="I35" s="154">
        <f t="shared" si="1"/>
        <v>7432949</v>
      </c>
      <c r="J35" s="154">
        <f t="shared" si="2"/>
        <v>-319110</v>
      </c>
      <c r="K35" s="154">
        <f t="shared" si="3"/>
        <v>773569</v>
      </c>
      <c r="L35" s="160" t="str">
        <f t="shared" si="4"/>
        <v>Due To TF</v>
      </c>
    </row>
    <row r="36" spans="1:12" x14ac:dyDescent="0.25">
      <c r="A36" s="157" t="s">
        <v>75</v>
      </c>
      <c r="B36" s="158">
        <v>13826859</v>
      </c>
      <c r="C36" s="154">
        <v>18945989.900000002</v>
      </c>
      <c r="D36" s="166">
        <v>0</v>
      </c>
      <c r="E36" s="154">
        <v>659079</v>
      </c>
      <c r="F36" s="154">
        <f t="shared" si="5"/>
        <v>19605068.900000002</v>
      </c>
      <c r="G36" s="154">
        <v>5213026.07</v>
      </c>
      <c r="H36" s="154">
        <v>13826858.999999998</v>
      </c>
      <c r="I36" s="154">
        <f t="shared" si="1"/>
        <v>19039885.07</v>
      </c>
      <c r="J36" s="154">
        <f t="shared" si="2"/>
        <v>0</v>
      </c>
      <c r="K36" s="154">
        <f t="shared" si="3"/>
        <v>565183.83000000194</v>
      </c>
      <c r="L36" s="160" t="str">
        <f t="shared" si="4"/>
        <v>Due To TF</v>
      </c>
    </row>
    <row r="37" spans="1:12" x14ac:dyDescent="0.25">
      <c r="A37" s="161" t="s">
        <v>61</v>
      </c>
      <c r="B37" s="162">
        <v>6810411</v>
      </c>
      <c r="C37" s="163">
        <v>5654207.8600000003</v>
      </c>
      <c r="D37" s="166">
        <v>1850211</v>
      </c>
      <c r="E37" s="163">
        <v>324628</v>
      </c>
      <c r="F37" s="163">
        <f t="shared" si="5"/>
        <v>7829046.8600000003</v>
      </c>
      <c r="G37" s="163">
        <v>0</v>
      </c>
      <c r="H37" s="163">
        <v>6810410.9999999991</v>
      </c>
      <c r="I37" s="163">
        <f t="shared" si="1"/>
        <v>6810410.9999999991</v>
      </c>
      <c r="J37" s="163">
        <f t="shared" si="2"/>
        <v>0</v>
      </c>
      <c r="K37" s="154">
        <f t="shared" si="3"/>
        <v>1018635.8600000013</v>
      </c>
      <c r="L37" s="164" t="str">
        <f t="shared" si="4"/>
        <v>Due To TF</v>
      </c>
    </row>
    <row r="38" spans="1:12" x14ac:dyDescent="0.25">
      <c r="A38" s="157" t="s">
        <v>39</v>
      </c>
      <c r="B38" s="158">
        <v>1307660</v>
      </c>
      <c r="C38" s="154">
        <v>1012220.6399999999</v>
      </c>
      <c r="D38" s="166">
        <v>408990</v>
      </c>
      <c r="E38" s="154">
        <v>62332</v>
      </c>
      <c r="F38" s="154">
        <f t="shared" si="5"/>
        <v>1483542.64</v>
      </c>
      <c r="G38" s="154">
        <v>0</v>
      </c>
      <c r="H38" s="154">
        <v>1074260.1099999999</v>
      </c>
      <c r="I38" s="154">
        <f t="shared" si="1"/>
        <v>1074260.1099999999</v>
      </c>
      <c r="J38" s="154">
        <f t="shared" si="2"/>
        <v>-233399.89000000013</v>
      </c>
      <c r="K38" s="154">
        <f t="shared" si="3"/>
        <v>409282.53</v>
      </c>
      <c r="L38" s="160" t="str">
        <f t="shared" si="4"/>
        <v>Due To TF</v>
      </c>
    </row>
    <row r="39" spans="1:12" x14ac:dyDescent="0.25">
      <c r="A39" s="157" t="s">
        <v>20</v>
      </c>
      <c r="B39" s="158">
        <v>360605</v>
      </c>
      <c r="C39" s="154">
        <v>199213.47000000003</v>
      </c>
      <c r="D39" s="166">
        <v>193754</v>
      </c>
      <c r="E39" s="154">
        <v>17189</v>
      </c>
      <c r="F39" s="154">
        <f t="shared" si="5"/>
        <v>410156.47000000003</v>
      </c>
      <c r="G39" s="154">
        <v>0</v>
      </c>
      <c r="H39" s="154">
        <v>360605.00000000006</v>
      </c>
      <c r="I39" s="154">
        <f t="shared" si="1"/>
        <v>360605.00000000006</v>
      </c>
      <c r="J39" s="154">
        <f t="shared" si="2"/>
        <v>0</v>
      </c>
      <c r="K39" s="154">
        <f t="shared" si="3"/>
        <v>49551.469999999972</v>
      </c>
      <c r="L39" s="160" t="str">
        <f t="shared" si="4"/>
        <v>Due To TF</v>
      </c>
    </row>
    <row r="40" spans="1:12" x14ac:dyDescent="0.25">
      <c r="A40" s="157" t="s">
        <v>40</v>
      </c>
      <c r="B40" s="158">
        <v>648064</v>
      </c>
      <c r="C40" s="154">
        <v>689551.9800000001</v>
      </c>
      <c r="D40" s="166">
        <v>29056</v>
      </c>
      <c r="E40" s="154">
        <v>30891</v>
      </c>
      <c r="F40" s="154">
        <f t="shared" si="5"/>
        <v>749498.9800000001</v>
      </c>
      <c r="G40" s="154">
        <v>89279.6</v>
      </c>
      <c r="H40" s="154">
        <v>595414.43000000005</v>
      </c>
      <c r="I40" s="154">
        <f t="shared" si="1"/>
        <v>684694.03</v>
      </c>
      <c r="J40" s="154">
        <f t="shared" si="2"/>
        <v>-52649.569999999949</v>
      </c>
      <c r="K40" s="154">
        <f t="shared" si="3"/>
        <v>64804.95000000007</v>
      </c>
      <c r="L40" s="160" t="str">
        <f t="shared" si="4"/>
        <v>Due To TF</v>
      </c>
    </row>
    <row r="41" spans="1:12" x14ac:dyDescent="0.25">
      <c r="A41" s="157" t="s">
        <v>70</v>
      </c>
      <c r="B41" s="158">
        <v>6884221</v>
      </c>
      <c r="C41" s="154">
        <v>8286621.5699999994</v>
      </c>
      <c r="D41" s="166">
        <v>0</v>
      </c>
      <c r="E41" s="154">
        <v>328147</v>
      </c>
      <c r="F41" s="154">
        <f t="shared" si="5"/>
        <v>8614768.5700000003</v>
      </c>
      <c r="G41" s="154">
        <v>1725228.69</v>
      </c>
      <c r="H41" s="154">
        <v>6826007.0800000001</v>
      </c>
      <c r="I41" s="154">
        <f t="shared" si="1"/>
        <v>8551235.7699999996</v>
      </c>
      <c r="J41" s="154">
        <f t="shared" si="2"/>
        <v>-58213.919999999925</v>
      </c>
      <c r="K41" s="154">
        <f t="shared" si="3"/>
        <v>63532.800000000745</v>
      </c>
      <c r="L41" s="160" t="str">
        <f t="shared" si="4"/>
        <v>Due To TF</v>
      </c>
    </row>
    <row r="42" spans="1:12" x14ac:dyDescent="0.25">
      <c r="A42" s="157" t="s">
        <v>62</v>
      </c>
      <c r="B42" s="158">
        <v>7612138</v>
      </c>
      <c r="C42" s="154">
        <v>8869726.8999999985</v>
      </c>
      <c r="D42" s="166">
        <v>0</v>
      </c>
      <c r="E42" s="154">
        <v>362844</v>
      </c>
      <c r="F42" s="154">
        <f t="shared" si="5"/>
        <v>9232570.8999999985</v>
      </c>
      <c r="G42" s="154">
        <v>1301199.92</v>
      </c>
      <c r="H42" s="154">
        <v>7521199.21</v>
      </c>
      <c r="I42" s="154">
        <f t="shared" si="1"/>
        <v>8822399.129999999</v>
      </c>
      <c r="J42" s="154">
        <f t="shared" si="2"/>
        <v>-90938.790000000037</v>
      </c>
      <c r="K42" s="154">
        <f t="shared" si="3"/>
        <v>410171.76999999955</v>
      </c>
      <c r="L42" s="160" t="str">
        <f t="shared" si="4"/>
        <v>Due To TF</v>
      </c>
    </row>
    <row r="43" spans="1:12" x14ac:dyDescent="0.25">
      <c r="A43" s="157" t="s">
        <v>49</v>
      </c>
      <c r="B43" s="158">
        <v>4008040</v>
      </c>
      <c r="C43" s="154">
        <v>4222453.47</v>
      </c>
      <c r="D43" s="166">
        <v>465779</v>
      </c>
      <c r="E43" s="154">
        <v>191050</v>
      </c>
      <c r="F43" s="154">
        <f t="shared" si="5"/>
        <v>4879282.47</v>
      </c>
      <c r="G43" s="154">
        <v>322273.25</v>
      </c>
      <c r="H43" s="154">
        <v>4008007.55</v>
      </c>
      <c r="I43" s="154">
        <f t="shared" si="1"/>
        <v>4330280.8</v>
      </c>
      <c r="J43" s="154">
        <f t="shared" si="2"/>
        <v>-32.450000000186265</v>
      </c>
      <c r="K43" s="154">
        <f t="shared" si="3"/>
        <v>549001.66999999993</v>
      </c>
      <c r="L43" s="160" t="str">
        <f t="shared" si="4"/>
        <v>Due To TF</v>
      </c>
    </row>
    <row r="44" spans="1:12" x14ac:dyDescent="0.25">
      <c r="A44" s="167" t="s">
        <v>82</v>
      </c>
      <c r="B44" s="158">
        <v>83295613</v>
      </c>
      <c r="C44" s="154">
        <v>87110527.709999979</v>
      </c>
      <c r="D44" s="166">
        <v>4545112</v>
      </c>
      <c r="E44" s="154">
        <v>3970415</v>
      </c>
      <c r="F44" s="154">
        <f t="shared" si="5"/>
        <v>95626054.709999979</v>
      </c>
      <c r="G44" s="154">
        <v>4942074.8</v>
      </c>
      <c r="H44" s="154">
        <v>83295613</v>
      </c>
      <c r="I44" s="154">
        <f t="shared" si="1"/>
        <v>88237687.799999997</v>
      </c>
      <c r="J44" s="154">
        <f t="shared" si="2"/>
        <v>0</v>
      </c>
      <c r="K44" s="154">
        <f t="shared" si="3"/>
        <v>7388366.9099999815</v>
      </c>
      <c r="L44" s="160" t="str">
        <f t="shared" si="4"/>
        <v>Due To TF</v>
      </c>
    </row>
    <row r="45" spans="1:12" x14ac:dyDescent="0.25">
      <c r="A45" s="157" t="s">
        <v>63</v>
      </c>
      <c r="B45" s="158">
        <v>4130386</v>
      </c>
      <c r="C45" s="154">
        <v>3549260.27</v>
      </c>
      <c r="D45" s="166">
        <v>1308538</v>
      </c>
      <c r="E45" s="154">
        <v>196881</v>
      </c>
      <c r="F45" s="154">
        <f t="shared" si="5"/>
        <v>5054679.2699999996</v>
      </c>
      <c r="G45" s="154">
        <v>0</v>
      </c>
      <c r="H45" s="154">
        <v>4130386.0000000005</v>
      </c>
      <c r="I45" s="154">
        <f t="shared" si="1"/>
        <v>4130386.0000000005</v>
      </c>
      <c r="J45" s="154">
        <f t="shared" si="2"/>
        <v>0</v>
      </c>
      <c r="K45" s="154">
        <f t="shared" si="3"/>
        <v>924293.26999999909</v>
      </c>
      <c r="L45" s="160" t="str">
        <f t="shared" si="4"/>
        <v>Due To TF</v>
      </c>
    </row>
    <row r="46" spans="1:12" x14ac:dyDescent="0.25">
      <c r="A46" s="157" t="s">
        <v>50</v>
      </c>
      <c r="B46" s="158">
        <v>1820759</v>
      </c>
      <c r="C46" s="154">
        <v>1493477.1199999999</v>
      </c>
      <c r="D46" s="154">
        <v>432101.5</v>
      </c>
      <c r="E46" s="154">
        <v>86789</v>
      </c>
      <c r="F46" s="154">
        <f t="shared" si="5"/>
        <v>2012367.6199999999</v>
      </c>
      <c r="G46" s="154">
        <v>0</v>
      </c>
      <c r="H46" s="154">
        <v>1793458.69</v>
      </c>
      <c r="I46" s="154">
        <f t="shared" si="1"/>
        <v>1793458.69</v>
      </c>
      <c r="J46" s="154">
        <f t="shared" si="2"/>
        <v>-27300.310000000056</v>
      </c>
      <c r="K46" s="154">
        <f t="shared" si="3"/>
        <v>218908.92999999993</v>
      </c>
      <c r="L46" s="160" t="str">
        <f t="shared" si="4"/>
        <v>Due To TF</v>
      </c>
    </row>
    <row r="47" spans="1:12" x14ac:dyDescent="0.25">
      <c r="A47" s="157" t="s">
        <v>64</v>
      </c>
      <c r="B47" s="158">
        <v>4274112</v>
      </c>
      <c r="C47" s="154">
        <v>3724259.1799999997</v>
      </c>
      <c r="D47" s="154">
        <v>91271</v>
      </c>
      <c r="E47" s="154">
        <v>203732</v>
      </c>
      <c r="F47" s="154">
        <f t="shared" si="5"/>
        <v>4019262.1799999997</v>
      </c>
      <c r="G47" s="154">
        <v>0</v>
      </c>
      <c r="H47" s="154">
        <v>4274112</v>
      </c>
      <c r="I47" s="154">
        <f t="shared" si="1"/>
        <v>4274112</v>
      </c>
      <c r="J47" s="154">
        <f t="shared" si="2"/>
        <v>0</v>
      </c>
      <c r="K47" s="154">
        <f t="shared" si="3"/>
        <v>-254849.8200000003</v>
      </c>
      <c r="L47" s="160" t="str">
        <f t="shared" si="4"/>
        <v>Due From TF</v>
      </c>
    </row>
    <row r="48" spans="1:12" x14ac:dyDescent="0.25">
      <c r="A48" s="157" t="s">
        <v>41</v>
      </c>
      <c r="B48" s="158">
        <v>1472937</v>
      </c>
      <c r="C48" s="154">
        <v>1262015.49</v>
      </c>
      <c r="D48" s="154">
        <v>312749.16000000003</v>
      </c>
      <c r="E48" s="154">
        <v>70210</v>
      </c>
      <c r="F48" s="154">
        <f t="shared" si="5"/>
        <v>1644974.65</v>
      </c>
      <c r="G48" s="154">
        <v>0</v>
      </c>
      <c r="H48" s="154">
        <v>1472937.0000000002</v>
      </c>
      <c r="I48" s="154">
        <f t="shared" si="1"/>
        <v>1472937.0000000002</v>
      </c>
      <c r="J48" s="154">
        <f t="shared" si="2"/>
        <v>0</v>
      </c>
      <c r="K48" s="154">
        <f t="shared" si="3"/>
        <v>172037.64999999967</v>
      </c>
      <c r="L48" s="160" t="str">
        <f t="shared" si="4"/>
        <v>Due To TF</v>
      </c>
    </row>
    <row r="49" spans="1:12" x14ac:dyDescent="0.25">
      <c r="A49" s="157" t="s">
        <v>83</v>
      </c>
      <c r="B49" s="158">
        <v>34409249</v>
      </c>
      <c r="C49" s="154">
        <v>41934302.369999997</v>
      </c>
      <c r="D49" s="166">
        <v>0</v>
      </c>
      <c r="E49" s="154">
        <v>1640170</v>
      </c>
      <c r="F49" s="154">
        <f t="shared" si="5"/>
        <v>43574472.369999997</v>
      </c>
      <c r="G49" s="154">
        <v>9544054.7100000009</v>
      </c>
      <c r="H49" s="154">
        <v>34409249</v>
      </c>
      <c r="I49" s="154">
        <f t="shared" si="1"/>
        <v>43953303.710000001</v>
      </c>
      <c r="J49" s="154">
        <f t="shared" si="2"/>
        <v>0</v>
      </c>
      <c r="K49" s="163">
        <f t="shared" si="3"/>
        <v>-378831.34000000358</v>
      </c>
      <c r="L49" s="160" t="str">
        <f t="shared" si="4"/>
        <v>Due From TF</v>
      </c>
    </row>
    <row r="50" spans="1:12" x14ac:dyDescent="0.25">
      <c r="A50" s="157" t="s">
        <v>71</v>
      </c>
      <c r="B50" s="158">
        <v>8991338</v>
      </c>
      <c r="C50" s="154">
        <v>9459987.3099999987</v>
      </c>
      <c r="D50" s="166">
        <v>0</v>
      </c>
      <c r="E50" s="154">
        <v>428586</v>
      </c>
      <c r="F50" s="154">
        <f t="shared" si="5"/>
        <v>9888573.3099999987</v>
      </c>
      <c r="G50" s="154">
        <v>530580.04</v>
      </c>
      <c r="H50" s="154">
        <v>6436716.6699999999</v>
      </c>
      <c r="I50" s="154">
        <f t="shared" si="1"/>
        <v>6967296.71</v>
      </c>
      <c r="J50" s="154">
        <f t="shared" si="2"/>
        <v>-2554621.33</v>
      </c>
      <c r="K50" s="154">
        <f t="shared" si="3"/>
        <v>2921276.5999999987</v>
      </c>
      <c r="L50" s="160" t="str">
        <f t="shared" si="4"/>
        <v>Due To TF</v>
      </c>
    </row>
    <row r="51" spans="1:12" x14ac:dyDescent="0.25">
      <c r="A51" s="161" t="s">
        <v>84</v>
      </c>
      <c r="B51" s="162">
        <v>34557372</v>
      </c>
      <c r="C51" s="163">
        <v>32434957.460000001</v>
      </c>
      <c r="D51" s="166">
        <v>3818304</v>
      </c>
      <c r="E51" s="163">
        <v>1647231</v>
      </c>
      <c r="F51" s="163">
        <f t="shared" si="5"/>
        <v>37900492.460000001</v>
      </c>
      <c r="G51" s="163">
        <v>0</v>
      </c>
      <c r="H51" s="163">
        <v>34282827.910000004</v>
      </c>
      <c r="I51" s="163">
        <f t="shared" si="1"/>
        <v>34282827.910000004</v>
      </c>
      <c r="J51" s="163">
        <f t="shared" si="2"/>
        <v>-274544.08999999613</v>
      </c>
      <c r="K51" s="154">
        <f t="shared" si="3"/>
        <v>3617664.549999997</v>
      </c>
      <c r="L51" s="164" t="str">
        <f t="shared" si="4"/>
        <v>Due To TF</v>
      </c>
    </row>
    <row r="52" spans="1:12" x14ac:dyDescent="0.25">
      <c r="A52" s="157" t="s">
        <v>72</v>
      </c>
      <c r="B52" s="158">
        <v>13281406</v>
      </c>
      <c r="C52" s="154">
        <v>11633053.379999999</v>
      </c>
      <c r="D52" s="166">
        <v>4788046.75</v>
      </c>
      <c r="E52" s="154">
        <v>633079</v>
      </c>
      <c r="F52" s="154">
        <f t="shared" si="5"/>
        <v>17054179.129999999</v>
      </c>
      <c r="G52" s="154">
        <v>0</v>
      </c>
      <c r="H52" s="154">
        <v>13281406</v>
      </c>
      <c r="I52" s="154">
        <f t="shared" si="1"/>
        <v>13281406</v>
      </c>
      <c r="J52" s="154">
        <f t="shared" si="2"/>
        <v>0</v>
      </c>
      <c r="K52" s="154">
        <f t="shared" si="3"/>
        <v>3772773.129999999</v>
      </c>
      <c r="L52" s="160" t="str">
        <f t="shared" si="4"/>
        <v>Due To TF</v>
      </c>
    </row>
    <row r="53" spans="1:12" x14ac:dyDescent="0.25">
      <c r="A53" s="157" t="s">
        <v>76</v>
      </c>
      <c r="B53" s="158">
        <v>25966935</v>
      </c>
      <c r="C53" s="154">
        <v>19118281.050000001</v>
      </c>
      <c r="D53" s="166">
        <v>5443685</v>
      </c>
      <c r="E53" s="154">
        <v>1237754</v>
      </c>
      <c r="F53" s="154">
        <f t="shared" si="5"/>
        <v>25799720.050000001</v>
      </c>
      <c r="G53" s="154">
        <v>0</v>
      </c>
      <c r="H53" s="154">
        <v>25660749.079999998</v>
      </c>
      <c r="I53" s="154">
        <f t="shared" si="1"/>
        <v>25660749.079999998</v>
      </c>
      <c r="J53" s="154">
        <f t="shared" si="2"/>
        <v>-306185.92000000179</v>
      </c>
      <c r="K53" s="154">
        <f t="shared" si="3"/>
        <v>138970.97000000253</v>
      </c>
      <c r="L53" s="160" t="str">
        <f t="shared" si="4"/>
        <v>Due To TF</v>
      </c>
    </row>
    <row r="54" spans="1:12" x14ac:dyDescent="0.25">
      <c r="A54" s="157" t="s">
        <v>77</v>
      </c>
      <c r="B54" s="158">
        <v>14703061</v>
      </c>
      <c r="C54" s="154">
        <v>19224940.949999999</v>
      </c>
      <c r="D54" s="166">
        <v>0</v>
      </c>
      <c r="E54" s="154">
        <v>700845</v>
      </c>
      <c r="F54" s="154">
        <f t="shared" si="5"/>
        <v>19925785.949999999</v>
      </c>
      <c r="G54" s="154">
        <v>4618291.38</v>
      </c>
      <c r="H54" s="154">
        <v>14437140.760000002</v>
      </c>
      <c r="I54" s="154">
        <f t="shared" si="1"/>
        <v>19055432.140000001</v>
      </c>
      <c r="J54" s="154">
        <f t="shared" si="2"/>
        <v>-265920.23999999836</v>
      </c>
      <c r="K54" s="154">
        <f t="shared" si="3"/>
        <v>870353.80999999866</v>
      </c>
      <c r="L54" s="160" t="str">
        <f t="shared" si="4"/>
        <v>Due To TF</v>
      </c>
    </row>
    <row r="55" spans="1:12" x14ac:dyDescent="0.25">
      <c r="A55" s="157" t="s">
        <v>51</v>
      </c>
      <c r="B55" s="158">
        <v>2469317</v>
      </c>
      <c r="C55" s="154">
        <v>1519427.5699999998</v>
      </c>
      <c r="D55" s="166">
        <v>1444022</v>
      </c>
      <c r="E55" s="154">
        <v>117704</v>
      </c>
      <c r="F55" s="154">
        <f t="shared" si="5"/>
        <v>3081153.57</v>
      </c>
      <c r="G55" s="154">
        <v>0</v>
      </c>
      <c r="H55" s="154">
        <v>2347832.7399999998</v>
      </c>
      <c r="I55" s="154">
        <f t="shared" si="1"/>
        <v>2347832.7399999998</v>
      </c>
      <c r="J55" s="154">
        <f t="shared" si="2"/>
        <v>-121484.26000000024</v>
      </c>
      <c r="K55" s="154">
        <f t="shared" si="3"/>
        <v>733320.83000000007</v>
      </c>
      <c r="L55" s="160" t="str">
        <f t="shared" si="4"/>
        <v>Due To TF</v>
      </c>
    </row>
    <row r="56" spans="1:12" x14ac:dyDescent="0.25">
      <c r="A56" s="157" t="s">
        <v>65</v>
      </c>
      <c r="B56" s="158">
        <v>4249289</v>
      </c>
      <c r="C56" s="154">
        <v>5572137.3799999999</v>
      </c>
      <c r="D56" s="166">
        <v>0</v>
      </c>
      <c r="E56" s="154">
        <v>202549</v>
      </c>
      <c r="F56" s="154">
        <f t="shared" si="5"/>
        <v>5774686.3799999999</v>
      </c>
      <c r="G56" s="154">
        <v>1196304.8199999998</v>
      </c>
      <c r="H56" s="154">
        <v>4233775.46</v>
      </c>
      <c r="I56" s="154">
        <f t="shared" si="1"/>
        <v>5430080.2799999993</v>
      </c>
      <c r="J56" s="154">
        <f t="shared" si="2"/>
        <v>-15513.540000000037</v>
      </c>
      <c r="K56" s="154">
        <f t="shared" si="3"/>
        <v>344606.10000000056</v>
      </c>
      <c r="L56" s="160" t="str">
        <f t="shared" si="4"/>
        <v>Due To TF</v>
      </c>
    </row>
    <row r="57" spans="1:12" x14ac:dyDescent="0.25">
      <c r="A57" s="157" t="s">
        <v>66</v>
      </c>
      <c r="B57" s="158">
        <v>7712313</v>
      </c>
      <c r="C57" s="154">
        <v>8602716.1400000006</v>
      </c>
      <c r="D57" s="166">
        <v>545344.5</v>
      </c>
      <c r="E57" s="154">
        <v>367620</v>
      </c>
      <c r="F57" s="154">
        <f t="shared" si="5"/>
        <v>9515680.6400000006</v>
      </c>
      <c r="G57" s="154">
        <v>0</v>
      </c>
      <c r="H57" s="154">
        <v>7712313</v>
      </c>
      <c r="I57" s="154">
        <f t="shared" si="1"/>
        <v>7712313</v>
      </c>
      <c r="J57" s="154">
        <f t="shared" si="2"/>
        <v>0</v>
      </c>
      <c r="K57" s="154">
        <f t="shared" si="3"/>
        <v>1803367.6400000006</v>
      </c>
      <c r="L57" s="160" t="str">
        <f t="shared" si="4"/>
        <v>Due To TF</v>
      </c>
    </row>
    <row r="58" spans="1:12" x14ac:dyDescent="0.25">
      <c r="A58" s="157" t="s">
        <v>67</v>
      </c>
      <c r="B58" s="158">
        <v>3914945</v>
      </c>
      <c r="C58" s="154">
        <v>4208566.54</v>
      </c>
      <c r="D58" s="166">
        <v>92913</v>
      </c>
      <c r="E58" s="154">
        <v>186612</v>
      </c>
      <c r="F58" s="154">
        <f t="shared" si="5"/>
        <v>4488091.54</v>
      </c>
      <c r="G58" s="154">
        <v>408070.23</v>
      </c>
      <c r="H58" s="154">
        <v>3914945</v>
      </c>
      <c r="I58" s="154">
        <f t="shared" si="1"/>
        <v>4323015.2300000004</v>
      </c>
      <c r="J58" s="154">
        <f t="shared" si="2"/>
        <v>0</v>
      </c>
      <c r="K58" s="154">
        <f t="shared" si="3"/>
        <v>165076.30999999959</v>
      </c>
      <c r="L58" s="160" t="str">
        <f t="shared" si="4"/>
        <v>Due To TF</v>
      </c>
    </row>
    <row r="59" spans="1:12" x14ac:dyDescent="0.25">
      <c r="A59" s="157" t="s">
        <v>73</v>
      </c>
      <c r="B59" s="158">
        <v>9443102</v>
      </c>
      <c r="C59" s="154">
        <v>8910529.4299999997</v>
      </c>
      <c r="D59" s="166">
        <v>1597907</v>
      </c>
      <c r="E59" s="154">
        <v>450120</v>
      </c>
      <c r="F59" s="154">
        <f t="shared" si="5"/>
        <v>10958556.43</v>
      </c>
      <c r="G59" s="154">
        <v>264648.66000000003</v>
      </c>
      <c r="H59" s="154">
        <v>9443102</v>
      </c>
      <c r="I59" s="154">
        <f t="shared" si="1"/>
        <v>9707750.6600000001</v>
      </c>
      <c r="J59" s="154">
        <f t="shared" si="2"/>
        <v>0</v>
      </c>
      <c r="K59" s="154">
        <f t="shared" si="3"/>
        <v>1250805.7699999996</v>
      </c>
      <c r="L59" s="160" t="str">
        <f t="shared" si="4"/>
        <v>Due To TF</v>
      </c>
    </row>
    <row r="60" spans="1:12" x14ac:dyDescent="0.25">
      <c r="A60" s="157" t="s">
        <v>74</v>
      </c>
      <c r="B60" s="158">
        <v>10199230</v>
      </c>
      <c r="C60" s="154">
        <v>10225980.01</v>
      </c>
      <c r="D60" s="166">
        <v>1105767</v>
      </c>
      <c r="E60" s="154">
        <v>486163</v>
      </c>
      <c r="F60" s="154">
        <f t="shared" si="5"/>
        <v>11817910.01</v>
      </c>
      <c r="G60" s="154">
        <v>679197.99</v>
      </c>
      <c r="H60" s="154">
        <v>10199230</v>
      </c>
      <c r="I60" s="154">
        <f t="shared" si="1"/>
        <v>10878427.99</v>
      </c>
      <c r="J60" s="154">
        <f t="shared" si="2"/>
        <v>0</v>
      </c>
      <c r="K60" s="154">
        <f t="shared" si="3"/>
        <v>939482.01999999955</v>
      </c>
      <c r="L60" s="160" t="str">
        <f t="shared" si="4"/>
        <v>Due To TF</v>
      </c>
    </row>
    <row r="61" spans="1:12" x14ac:dyDescent="0.25">
      <c r="A61" s="157" t="s">
        <v>52</v>
      </c>
      <c r="B61" s="158">
        <v>2255831</v>
      </c>
      <c r="C61" s="154">
        <v>2749365.5600000005</v>
      </c>
      <c r="D61" s="166">
        <v>0</v>
      </c>
      <c r="E61" s="154">
        <v>107527</v>
      </c>
      <c r="F61" s="154">
        <f t="shared" si="5"/>
        <v>2856892.5600000005</v>
      </c>
      <c r="G61" s="154">
        <v>508502.33</v>
      </c>
      <c r="H61" s="154">
        <v>2255831</v>
      </c>
      <c r="I61" s="154">
        <f t="shared" si="1"/>
        <v>2764333.33</v>
      </c>
      <c r="J61" s="154">
        <f t="shared" si="2"/>
        <v>0</v>
      </c>
      <c r="K61" s="154">
        <f t="shared" si="3"/>
        <v>92559.230000000447</v>
      </c>
      <c r="L61" s="160" t="str">
        <f t="shared" si="4"/>
        <v>Due To TF</v>
      </c>
    </row>
    <row r="62" spans="1:12" x14ac:dyDescent="0.25">
      <c r="A62" s="157" t="s">
        <v>42</v>
      </c>
      <c r="B62" s="158">
        <v>1344959</v>
      </c>
      <c r="C62" s="154">
        <v>1133343.31</v>
      </c>
      <c r="D62" s="166">
        <v>407959</v>
      </c>
      <c r="E62" s="154">
        <v>64109</v>
      </c>
      <c r="F62" s="154">
        <f t="shared" si="5"/>
        <v>1605411.31</v>
      </c>
      <c r="G62" s="154">
        <v>4162.6099999999997</v>
      </c>
      <c r="H62" s="154">
        <v>1344959</v>
      </c>
      <c r="I62" s="154">
        <f t="shared" si="1"/>
        <v>1349121.61</v>
      </c>
      <c r="J62" s="154">
        <f>H62-B62</f>
        <v>0</v>
      </c>
      <c r="K62" s="154">
        <f t="shared" si="3"/>
        <v>256289.69999999995</v>
      </c>
      <c r="L62" s="160" t="str">
        <f t="shared" si="4"/>
        <v>Due To TF</v>
      </c>
    </row>
    <row r="63" spans="1:12" x14ac:dyDescent="0.25">
      <c r="A63" s="161" t="s">
        <v>32</v>
      </c>
      <c r="B63" s="162">
        <v>648825</v>
      </c>
      <c r="C63" s="163">
        <v>502440.16000000003</v>
      </c>
      <c r="D63" s="163">
        <v>261490</v>
      </c>
      <c r="E63" s="163">
        <v>30927</v>
      </c>
      <c r="F63" s="163">
        <f t="shared" si="5"/>
        <v>794857.16</v>
      </c>
      <c r="G63" s="163">
        <v>0</v>
      </c>
      <c r="H63" s="163">
        <v>647904.07999999996</v>
      </c>
      <c r="I63" s="163">
        <f t="shared" si="1"/>
        <v>647904.07999999996</v>
      </c>
      <c r="J63" s="163">
        <f t="shared" si="2"/>
        <v>-920.92000000004191</v>
      </c>
      <c r="K63" s="154">
        <f t="shared" si="3"/>
        <v>146953.08000000007</v>
      </c>
      <c r="L63" s="164" t="str">
        <f t="shared" si="4"/>
        <v>Due To TF</v>
      </c>
    </row>
    <row r="64" spans="1:12" x14ac:dyDescent="0.25">
      <c r="A64" s="161" t="s">
        <v>21</v>
      </c>
      <c r="B64" s="162">
        <v>544515</v>
      </c>
      <c r="C64" s="163">
        <v>175999.38999999998</v>
      </c>
      <c r="D64" s="166">
        <v>410115</v>
      </c>
      <c r="E64" s="163">
        <v>25956</v>
      </c>
      <c r="F64" s="163">
        <f t="shared" si="5"/>
        <v>612070.39</v>
      </c>
      <c r="G64" s="163">
        <v>0</v>
      </c>
      <c r="H64" s="163">
        <v>544515</v>
      </c>
      <c r="I64" s="163">
        <f t="shared" si="1"/>
        <v>544515</v>
      </c>
      <c r="J64" s="163">
        <f t="shared" si="2"/>
        <v>0</v>
      </c>
      <c r="K64" s="154">
        <f t="shared" si="3"/>
        <v>67555.390000000014</v>
      </c>
      <c r="L64" s="164" t="str">
        <f t="shared" si="4"/>
        <v>Due To TF</v>
      </c>
    </row>
    <row r="65" spans="1:12" x14ac:dyDescent="0.25">
      <c r="A65" s="157" t="s">
        <v>78</v>
      </c>
      <c r="B65" s="158">
        <v>13645907</v>
      </c>
      <c r="C65" s="154">
        <v>13242838.689999999</v>
      </c>
      <c r="D65" s="166">
        <v>2358248</v>
      </c>
      <c r="E65" s="154">
        <v>650453</v>
      </c>
      <c r="F65" s="154">
        <f t="shared" si="5"/>
        <v>16251539.689999999</v>
      </c>
      <c r="G65" s="154">
        <v>256336.23</v>
      </c>
      <c r="H65" s="154">
        <v>13645906.999999998</v>
      </c>
      <c r="I65" s="154">
        <f t="shared" si="1"/>
        <v>13902243.229999999</v>
      </c>
      <c r="J65" s="154">
        <f t="shared" si="2"/>
        <v>0</v>
      </c>
      <c r="K65" s="154">
        <f t="shared" si="3"/>
        <v>2349296.4600000009</v>
      </c>
      <c r="L65" s="160" t="str">
        <f t="shared" si="4"/>
        <v>Due To TF</v>
      </c>
    </row>
    <row r="66" spans="1:12" x14ac:dyDescent="0.25">
      <c r="A66" s="157" t="s">
        <v>43</v>
      </c>
      <c r="B66" s="158">
        <v>804879</v>
      </c>
      <c r="C66" s="154">
        <v>652325.52</v>
      </c>
      <c r="D66" s="166">
        <v>177003</v>
      </c>
      <c r="E66" s="154">
        <v>38365</v>
      </c>
      <c r="F66" s="154">
        <f t="shared" si="5"/>
        <v>867693.52</v>
      </c>
      <c r="G66" s="154">
        <v>0</v>
      </c>
      <c r="H66" s="154">
        <v>804879</v>
      </c>
      <c r="I66" s="154">
        <f t="shared" ref="I66:I68" si="6">SUM(G66:H66)</f>
        <v>804879</v>
      </c>
      <c r="J66" s="154">
        <f t="shared" ref="J66:J68" si="7">H66-B66</f>
        <v>0</v>
      </c>
      <c r="K66" s="154">
        <f t="shared" ref="K66:K68" si="8">F66-I66</f>
        <v>62814.520000000019</v>
      </c>
      <c r="L66" s="160" t="str">
        <f t="shared" ref="L66:L68" si="9">_xlfn.IFS(K66&gt;0,"Due To TF",K66&lt;0,"Due From TF")</f>
        <v>Due To TF</v>
      </c>
    </row>
    <row r="67" spans="1:12" x14ac:dyDescent="0.25">
      <c r="A67" s="157" t="s">
        <v>53</v>
      </c>
      <c r="B67" s="158">
        <v>1995185</v>
      </c>
      <c r="C67" s="154">
        <v>1814617.15</v>
      </c>
      <c r="D67" s="166">
        <v>415765</v>
      </c>
      <c r="E67" s="154">
        <v>93361</v>
      </c>
      <c r="F67" s="154">
        <f t="shared" si="5"/>
        <v>2323743.15</v>
      </c>
      <c r="G67" s="154">
        <v>56401.06</v>
      </c>
      <c r="H67" s="154">
        <v>1995185</v>
      </c>
      <c r="I67" s="154">
        <f t="shared" si="6"/>
        <v>2051586.06</v>
      </c>
      <c r="J67" s="154">
        <f t="shared" si="7"/>
        <v>0</v>
      </c>
      <c r="K67" s="154">
        <f t="shared" si="8"/>
        <v>272157.08999999985</v>
      </c>
      <c r="L67" s="160" t="str">
        <f t="shared" si="9"/>
        <v>Due To TF</v>
      </c>
    </row>
    <row r="68" spans="1:12" ht="16.5" thickBot="1" x14ac:dyDescent="0.3">
      <c r="A68" s="168" t="s">
        <v>33</v>
      </c>
      <c r="B68" s="169">
        <v>899753</v>
      </c>
      <c r="C68" s="169">
        <v>515718.48000000004</v>
      </c>
      <c r="D68" s="170">
        <v>476600.08</v>
      </c>
      <c r="E68" s="170">
        <v>42888</v>
      </c>
      <c r="F68" s="170">
        <f t="shared" si="5"/>
        <v>1035206.56</v>
      </c>
      <c r="G68" s="170">
        <v>0</v>
      </c>
      <c r="H68" s="170">
        <v>899753</v>
      </c>
      <c r="I68" s="170">
        <f t="shared" si="6"/>
        <v>899753</v>
      </c>
      <c r="J68" s="170">
        <f t="shared" si="7"/>
        <v>0</v>
      </c>
      <c r="K68" s="171">
        <f t="shared" si="8"/>
        <v>135453.56000000006</v>
      </c>
      <c r="L68" s="172" t="str">
        <f t="shared" si="9"/>
        <v>Due To TF</v>
      </c>
    </row>
    <row r="69" spans="1:12" ht="16.5" thickBot="1" x14ac:dyDescent="0.3">
      <c r="A69" s="173"/>
      <c r="B69" s="174"/>
      <c r="C69" s="174"/>
      <c r="D69" s="174"/>
      <c r="E69" s="174"/>
      <c r="F69" s="174"/>
      <c r="G69" s="174"/>
      <c r="H69" s="174"/>
      <c r="I69" s="174"/>
      <c r="J69" s="174"/>
      <c r="K69" s="174"/>
      <c r="L69" s="175"/>
    </row>
    <row r="70" spans="1:12" s="182" customFormat="1" ht="16.5" thickBot="1" x14ac:dyDescent="0.3">
      <c r="A70" s="176" t="s">
        <v>192</v>
      </c>
      <c r="B70" s="177">
        <f>SUM(B2:B68)</f>
        <v>518781741</v>
      </c>
      <c r="C70" s="178">
        <f t="shared" ref="C70:K70" si="10">SUM(C2:C68)</f>
        <v>515461984.76999998</v>
      </c>
      <c r="D70" s="144">
        <f>SUM(D2:D68)</f>
        <v>59310568.399999991</v>
      </c>
      <c r="E70" s="144">
        <f t="shared" si="10"/>
        <v>24728545</v>
      </c>
      <c r="F70" s="179">
        <f t="shared" si="10"/>
        <v>599501098.16999948</v>
      </c>
      <c r="G70" s="180">
        <f t="shared" si="10"/>
        <v>38082410.93999999</v>
      </c>
      <c r="H70" s="146">
        <f t="shared" si="10"/>
        <v>509156572.20000005</v>
      </c>
      <c r="I70" s="181">
        <f t="shared" si="10"/>
        <v>547238983.13999987</v>
      </c>
      <c r="J70" s="192">
        <f>SUM(J2:J68)</f>
        <v>-9625168.8000000063</v>
      </c>
      <c r="K70" s="177">
        <f t="shared" si="10"/>
        <v>52262115.029999986</v>
      </c>
      <c r="L70" s="156"/>
    </row>
    <row r="71" spans="1:12" x14ac:dyDescent="0.25">
      <c r="C71" s="183"/>
      <c r="E71" s="184"/>
      <c r="I71" s="183"/>
      <c r="J71" s="186"/>
      <c r="K71" s="183"/>
    </row>
    <row r="72" spans="1:12" x14ac:dyDescent="0.25">
      <c r="G72" s="187"/>
    </row>
    <row r="73" spans="1:12" x14ac:dyDescent="0.25">
      <c r="C73" s="183"/>
      <c r="J73" s="189"/>
      <c r="K73" s="190"/>
    </row>
    <row r="74" spans="1:12" x14ac:dyDescent="0.25">
      <c r="C74" s="183"/>
      <c r="I74" s="190"/>
      <c r="J74" s="183"/>
      <c r="K74" s="190"/>
    </row>
    <row r="75" spans="1:12" x14ac:dyDescent="0.25">
      <c r="K75" s="190"/>
    </row>
    <row r="76" spans="1:12" s="188" customFormat="1" x14ac:dyDescent="0.25">
      <c r="G76" s="191"/>
    </row>
  </sheetData>
  <autoFilter ref="A1:M1" xr:uid="{6E7C197F-08F3-4E3C-89AD-6E6A6466593E}">
    <sortState xmlns:xlrd2="http://schemas.microsoft.com/office/spreadsheetml/2017/richdata2" ref="A2:M68">
      <sortCondition ref="A1"/>
    </sortState>
  </autoFilter>
  <pageMargins left="0.5" right="0.5" top="0.5" bottom="1" header="0.25" footer="0.25"/>
  <pageSetup paperSize="5" scale="67"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FB43-87D4-4186-9EB1-AA19A4B7BC38}">
  <sheetPr>
    <tabColor rgb="FF0070C0"/>
    <pageSetUpPr fitToPage="1"/>
  </sheetPr>
  <dimension ref="A1:B17"/>
  <sheetViews>
    <sheetView zoomScale="120" zoomScaleNormal="120" workbookViewId="0">
      <selection activeCell="H15" sqref="H15"/>
    </sheetView>
  </sheetViews>
  <sheetFormatPr defaultRowHeight="21" x14ac:dyDescent="0.35"/>
  <cols>
    <col min="1" max="1" width="91.85546875" style="1" customWidth="1"/>
    <col min="2" max="2" width="26.85546875" style="1" customWidth="1"/>
    <col min="3" max="3" width="3.85546875" style="1" customWidth="1"/>
    <col min="4" max="16384" width="9.140625" style="1"/>
  </cols>
  <sheetData>
    <row r="1" spans="1:2" x14ac:dyDescent="0.35">
      <c r="A1" s="530" t="s">
        <v>177</v>
      </c>
      <c r="B1" s="530"/>
    </row>
    <row r="2" spans="1:2" ht="39.75" customHeight="1" x14ac:dyDescent="0.35"/>
    <row r="3" spans="1:2" x14ac:dyDescent="0.35">
      <c r="A3" s="132" t="s">
        <v>178</v>
      </c>
      <c r="B3" s="138">
        <v>494053196</v>
      </c>
    </row>
    <row r="4" spans="1:2" x14ac:dyDescent="0.35">
      <c r="A4" s="132" t="s">
        <v>179</v>
      </c>
      <c r="B4" s="140">
        <v>515461984.76999998</v>
      </c>
    </row>
    <row r="5" spans="1:2" x14ac:dyDescent="0.35">
      <c r="A5" s="132" t="s">
        <v>172</v>
      </c>
      <c r="B5" s="134">
        <f>B4-B3</f>
        <v>21408788.769999981</v>
      </c>
    </row>
    <row r="6" spans="1:2" x14ac:dyDescent="0.35">
      <c r="A6" s="132" t="s">
        <v>173</v>
      </c>
      <c r="B6" s="133">
        <f>B5/2</f>
        <v>10704394.38499999</v>
      </c>
    </row>
    <row r="7" spans="1:2" x14ac:dyDescent="0.35">
      <c r="A7" s="132" t="s">
        <v>174</v>
      </c>
      <c r="B7" s="139">
        <f>B6*-0.1</f>
        <v>-1070439.438499999</v>
      </c>
    </row>
    <row r="8" spans="1:2" x14ac:dyDescent="0.35">
      <c r="A8" s="135" t="s">
        <v>180</v>
      </c>
      <c r="B8" s="136">
        <f>B6+B7</f>
        <v>9633954.9464999922</v>
      </c>
    </row>
    <row r="15" spans="1:2" x14ac:dyDescent="0.35">
      <c r="B15" s="194"/>
    </row>
    <row r="16" spans="1:2" ht="50.25" x14ac:dyDescent="0.35">
      <c r="A16" s="137" t="s">
        <v>175</v>
      </c>
    </row>
    <row r="17" spans="1:1" ht="50.25" x14ac:dyDescent="0.35">
      <c r="A17" s="137" t="s">
        <v>176</v>
      </c>
    </row>
  </sheetData>
  <mergeCells count="1">
    <mergeCell ref="A1:B1"/>
  </mergeCells>
  <printOptions horizontalCentered="1"/>
  <pageMargins left="0.5" right="0.5" top="1" bottom="1" header="0.5" footer="0.5"/>
  <pageSetup scale="7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7BD9F-BCD8-4D10-AA47-8AF79A5007FB}">
  <sheetPr>
    <pageSetUpPr fitToPage="1"/>
  </sheetPr>
  <dimension ref="A1:G75"/>
  <sheetViews>
    <sheetView zoomScale="110" zoomScaleNormal="110" zoomScalePageLayoutView="55" workbookViewId="0">
      <pane xSplit="2" ySplit="1" topLeftCell="C41" activePane="bottomRight" state="frozen"/>
      <selection pane="topRight" activeCell="C1" sqref="C1"/>
      <selection pane="bottomLeft" activeCell="A2" sqref="A2"/>
      <selection pane="bottomRight" activeCell="S56" sqref="S56"/>
    </sheetView>
  </sheetViews>
  <sheetFormatPr defaultColWidth="2.28515625" defaultRowHeight="13.5" x14ac:dyDescent="0.25"/>
  <cols>
    <col min="1" max="1" width="12.42578125" style="45" customWidth="1"/>
    <col min="2" max="2" width="7.140625" style="45" customWidth="1"/>
    <col min="3" max="4" width="15" style="45" customWidth="1"/>
    <col min="5" max="5" width="15.42578125" style="45" customWidth="1"/>
    <col min="6" max="6" width="15.140625" style="45" customWidth="1"/>
    <col min="7" max="7" width="14.5703125" style="45" customWidth="1"/>
    <col min="8" max="16384" width="2.28515625" style="45"/>
  </cols>
  <sheetData>
    <row r="1" spans="1:7" s="25" customFormat="1" ht="51.75" thickBot="1" x14ac:dyDescent="0.3">
      <c r="A1" s="16" t="s">
        <v>11</v>
      </c>
      <c r="B1" s="83" t="s">
        <v>12</v>
      </c>
      <c r="C1" s="84" t="s">
        <v>92</v>
      </c>
      <c r="D1" s="84" t="s">
        <v>14</v>
      </c>
      <c r="E1" s="85" t="s">
        <v>89</v>
      </c>
      <c r="F1" s="84" t="s">
        <v>90</v>
      </c>
      <c r="G1" s="84" t="s">
        <v>91</v>
      </c>
    </row>
    <row r="2" spans="1:7" s="35" customFormat="1" ht="13.5" customHeight="1" x14ac:dyDescent="0.25">
      <c r="A2" s="86" t="s">
        <v>54</v>
      </c>
      <c r="B2" s="87">
        <v>5</v>
      </c>
      <c r="C2" s="88">
        <v>189269</v>
      </c>
      <c r="D2" s="88">
        <v>186280</v>
      </c>
      <c r="E2" s="89">
        <v>187429.5</v>
      </c>
      <c r="F2" s="90">
        <v>185378</v>
      </c>
      <c r="G2" s="90">
        <v>182728</v>
      </c>
    </row>
    <row r="3" spans="1:7" customFormat="1" ht="13.5" customHeight="1" x14ac:dyDescent="0.25">
      <c r="A3" s="86" t="s">
        <v>22</v>
      </c>
      <c r="B3" s="87">
        <v>2</v>
      </c>
      <c r="C3" s="88">
        <v>19242</v>
      </c>
      <c r="D3" s="88">
        <v>20304</v>
      </c>
      <c r="E3" s="89">
        <v>21348.5</v>
      </c>
      <c r="F3" s="88">
        <v>19595.5</v>
      </c>
      <c r="G3" s="88">
        <v>18280.5</v>
      </c>
    </row>
    <row r="4" spans="1:7" s="40" customFormat="1" ht="13.5" customHeight="1" x14ac:dyDescent="0.25">
      <c r="A4" s="86" t="s">
        <v>55</v>
      </c>
      <c r="B4" s="87">
        <v>5</v>
      </c>
      <c r="C4" s="88">
        <v>219115</v>
      </c>
      <c r="D4" s="88">
        <v>213576.5</v>
      </c>
      <c r="E4" s="89">
        <v>206616</v>
      </c>
      <c r="F4" s="88">
        <v>194563</v>
      </c>
      <c r="G4" s="88">
        <v>211628.5</v>
      </c>
    </row>
    <row r="5" spans="1:7" s="35" customFormat="1" ht="13.5" customHeight="1" x14ac:dyDescent="0.25">
      <c r="A5" s="86" t="s">
        <v>34</v>
      </c>
      <c r="B5" s="87">
        <v>3</v>
      </c>
      <c r="C5" s="88">
        <v>28955.5</v>
      </c>
      <c r="D5" s="88">
        <v>30252.5</v>
      </c>
      <c r="E5" s="89">
        <v>34291</v>
      </c>
      <c r="F5" s="88">
        <v>30987</v>
      </c>
      <c r="G5" s="88">
        <v>31867</v>
      </c>
    </row>
    <row r="6" spans="1:7" s="35" customFormat="1" ht="13.5" customHeight="1" x14ac:dyDescent="0.25">
      <c r="A6" s="86" t="s">
        <v>68</v>
      </c>
      <c r="B6" s="87">
        <v>6</v>
      </c>
      <c r="C6" s="88">
        <v>430377.5</v>
      </c>
      <c r="D6" s="88">
        <v>395988</v>
      </c>
      <c r="E6" s="89">
        <v>394059</v>
      </c>
      <c r="F6" s="88">
        <v>388680</v>
      </c>
      <c r="G6" s="88">
        <v>391956</v>
      </c>
    </row>
    <row r="7" spans="1:7" s="35" customFormat="1" ht="13.5" customHeight="1" x14ac:dyDescent="0.25">
      <c r="A7" s="91" t="s">
        <v>79</v>
      </c>
      <c r="B7" s="92">
        <v>8</v>
      </c>
      <c r="C7" s="93">
        <v>1518803.5</v>
      </c>
      <c r="D7" s="93">
        <v>1475104.5</v>
      </c>
      <c r="E7" s="94">
        <v>1748123</v>
      </c>
      <c r="F7" s="88">
        <v>1513921.5</v>
      </c>
      <c r="G7" s="88">
        <v>1749498.5</v>
      </c>
    </row>
    <row r="8" spans="1:7" s="35" customFormat="1" ht="13.5" customHeight="1" x14ac:dyDescent="0.25">
      <c r="A8" s="86" t="s">
        <v>23</v>
      </c>
      <c r="B8" s="87">
        <v>2</v>
      </c>
      <c r="C8" s="88">
        <v>12579</v>
      </c>
      <c r="D8" s="88">
        <v>13164.5</v>
      </c>
      <c r="E8" s="89">
        <v>12926.5</v>
      </c>
      <c r="F8" s="88">
        <v>13234</v>
      </c>
      <c r="G8" s="88">
        <v>10054.5</v>
      </c>
    </row>
    <row r="9" spans="1:7" s="35" customFormat="1" ht="13.5" customHeight="1" x14ac:dyDescent="0.25">
      <c r="A9" s="86" t="s">
        <v>56</v>
      </c>
      <c r="B9" s="87">
        <v>5</v>
      </c>
      <c r="C9" s="88">
        <v>150809</v>
      </c>
      <c r="D9" s="88">
        <v>164184</v>
      </c>
      <c r="E9" s="89">
        <v>155263</v>
      </c>
      <c r="F9" s="88">
        <v>140392.5</v>
      </c>
      <c r="G9" s="88">
        <v>142018.5</v>
      </c>
    </row>
    <row r="10" spans="1:7" s="35" customFormat="1" ht="13.5" customHeight="1" x14ac:dyDescent="0.25">
      <c r="A10" s="86" t="s">
        <v>44</v>
      </c>
      <c r="B10" s="87">
        <v>4</v>
      </c>
      <c r="C10" s="88">
        <v>110990.5</v>
      </c>
      <c r="D10" s="88">
        <v>108793</v>
      </c>
      <c r="E10" s="89">
        <v>107520.5</v>
      </c>
      <c r="F10" s="88">
        <v>102654.5</v>
      </c>
      <c r="G10" s="88">
        <v>99627.5</v>
      </c>
    </row>
    <row r="11" spans="1:7" s="35" customFormat="1" ht="13.5" customHeight="1" x14ac:dyDescent="0.25">
      <c r="A11" s="86" t="s">
        <v>57</v>
      </c>
      <c r="B11" s="87">
        <v>5</v>
      </c>
      <c r="C11" s="88">
        <v>154861</v>
      </c>
      <c r="D11" s="88">
        <v>153300</v>
      </c>
      <c r="E11" s="89">
        <v>149779.5</v>
      </c>
      <c r="F11" s="88">
        <v>142202</v>
      </c>
      <c r="G11" s="88">
        <v>140230.5</v>
      </c>
    </row>
    <row r="12" spans="1:7" s="35" customFormat="1" ht="13.5" customHeight="1" x14ac:dyDescent="0.25">
      <c r="A12" s="86" t="s">
        <v>58</v>
      </c>
      <c r="B12" s="87">
        <v>5</v>
      </c>
      <c r="C12" s="88">
        <v>231039.5</v>
      </c>
      <c r="D12" s="88">
        <v>224281</v>
      </c>
      <c r="E12" s="89">
        <v>229643</v>
      </c>
      <c r="F12" s="88">
        <v>230847.5</v>
      </c>
      <c r="G12" s="88">
        <v>219771</v>
      </c>
    </row>
    <row r="13" spans="1:7" s="35" customFormat="1" ht="13.5" customHeight="1" x14ac:dyDescent="0.25">
      <c r="A13" s="86" t="s">
        <v>45</v>
      </c>
      <c r="B13" s="87">
        <v>4</v>
      </c>
      <c r="C13" s="88">
        <v>61956.5</v>
      </c>
      <c r="D13" s="88">
        <v>60531.5</v>
      </c>
      <c r="E13" s="89">
        <v>59413.5</v>
      </c>
      <c r="F13" s="88">
        <v>65278</v>
      </c>
      <c r="G13" s="88">
        <v>60631</v>
      </c>
    </row>
    <row r="14" spans="1:7" s="35" customFormat="1" ht="13.5" customHeight="1" x14ac:dyDescent="0.25">
      <c r="A14" s="86" t="s">
        <v>35</v>
      </c>
      <c r="B14" s="87">
        <v>3</v>
      </c>
      <c r="C14" s="88">
        <v>30650</v>
      </c>
      <c r="D14" s="88">
        <v>30168</v>
      </c>
      <c r="E14" s="89">
        <v>30928</v>
      </c>
      <c r="F14" s="88">
        <v>26500.5</v>
      </c>
      <c r="G14" s="88">
        <v>28033</v>
      </c>
    </row>
    <row r="15" spans="1:7" s="35" customFormat="1" ht="13.5" customHeight="1" x14ac:dyDescent="0.25">
      <c r="A15" s="86" t="s">
        <v>24</v>
      </c>
      <c r="B15" s="87">
        <v>2</v>
      </c>
      <c r="C15" s="88">
        <v>11787</v>
      </c>
      <c r="D15" s="88">
        <v>14221</v>
      </c>
      <c r="E15" s="89">
        <v>14764.5</v>
      </c>
      <c r="F15" s="88">
        <v>12763.5</v>
      </c>
      <c r="G15" s="88">
        <v>14410</v>
      </c>
    </row>
    <row r="16" spans="1:7" s="35" customFormat="1" ht="13.5" customHeight="1" x14ac:dyDescent="0.25">
      <c r="A16" s="86" t="s">
        <v>80</v>
      </c>
      <c r="B16" s="87">
        <v>8</v>
      </c>
      <c r="C16" s="88">
        <v>958610.5</v>
      </c>
      <c r="D16" s="88">
        <v>972500.5</v>
      </c>
      <c r="E16" s="89">
        <v>1030510.5</v>
      </c>
      <c r="F16" s="88">
        <v>1012593</v>
      </c>
      <c r="G16" s="88">
        <v>1068704.5</v>
      </c>
    </row>
    <row r="17" spans="1:7" s="35" customFormat="1" ht="13.5" customHeight="1" x14ac:dyDescent="0.25">
      <c r="A17" s="86" t="s">
        <v>69</v>
      </c>
      <c r="B17" s="87">
        <v>6</v>
      </c>
      <c r="C17" s="88">
        <v>248942.5</v>
      </c>
      <c r="D17" s="88">
        <v>243701</v>
      </c>
      <c r="E17" s="89">
        <v>249165.5</v>
      </c>
      <c r="F17" s="88">
        <v>246362.5</v>
      </c>
      <c r="G17" s="88">
        <v>250250</v>
      </c>
    </row>
    <row r="18" spans="1:7" s="35" customFormat="1" ht="13.5" customHeight="1" x14ac:dyDescent="0.25">
      <c r="A18" s="86" t="s">
        <v>46</v>
      </c>
      <c r="B18" s="87">
        <v>4</v>
      </c>
      <c r="C18" s="88">
        <v>82331</v>
      </c>
      <c r="D18" s="88">
        <v>78140</v>
      </c>
      <c r="E18" s="89">
        <v>75935.5</v>
      </c>
      <c r="F18" s="88">
        <v>71591</v>
      </c>
      <c r="G18" s="88">
        <v>67808</v>
      </c>
    </row>
    <row r="19" spans="1:7" s="35" customFormat="1" ht="13.5" customHeight="1" x14ac:dyDescent="0.25">
      <c r="A19" s="86" t="s">
        <v>25</v>
      </c>
      <c r="B19" s="87">
        <v>2</v>
      </c>
      <c r="C19" s="88">
        <v>15210</v>
      </c>
      <c r="D19" s="88">
        <v>13824.5</v>
      </c>
      <c r="E19" s="89">
        <v>13394.5</v>
      </c>
      <c r="F19" s="88">
        <v>12254</v>
      </c>
      <c r="G19" s="88">
        <v>10508.5</v>
      </c>
    </row>
    <row r="20" spans="1:7" s="35" customFormat="1" ht="13.5" customHeight="1" x14ac:dyDescent="0.25">
      <c r="A20" s="86" t="s">
        <v>36</v>
      </c>
      <c r="B20" s="87">
        <v>3</v>
      </c>
      <c r="C20" s="88">
        <v>35044.5</v>
      </c>
      <c r="D20" s="88">
        <v>31300</v>
      </c>
      <c r="E20" s="89">
        <v>34195.5</v>
      </c>
      <c r="F20" s="88">
        <v>35454.5</v>
      </c>
      <c r="G20" s="88">
        <v>37739.5</v>
      </c>
    </row>
    <row r="21" spans="1:7" s="35" customFormat="1" ht="13.5" customHeight="1" x14ac:dyDescent="0.25">
      <c r="A21" s="86" t="s">
        <v>26</v>
      </c>
      <c r="B21" s="87">
        <v>2</v>
      </c>
      <c r="C21" s="88">
        <v>12849</v>
      </c>
      <c r="D21" s="88">
        <v>11097</v>
      </c>
      <c r="E21" s="89">
        <v>12098</v>
      </c>
      <c r="F21" s="88">
        <v>12406.5</v>
      </c>
      <c r="G21" s="88">
        <v>12138.5</v>
      </c>
    </row>
    <row r="22" spans="1:7" s="35" customFormat="1" ht="13.5" customHeight="1" x14ac:dyDescent="0.25">
      <c r="A22" s="86" t="s">
        <v>27</v>
      </c>
      <c r="B22" s="87">
        <v>2</v>
      </c>
      <c r="C22" s="88">
        <v>13472.5</v>
      </c>
      <c r="D22" s="88">
        <v>15669.5</v>
      </c>
      <c r="E22" s="89">
        <v>11258.5</v>
      </c>
      <c r="F22" s="88">
        <v>11559.5</v>
      </c>
      <c r="G22" s="88">
        <v>13606</v>
      </c>
    </row>
    <row r="23" spans="1:7" s="35" customFormat="1" ht="13.5" customHeight="1" x14ac:dyDescent="0.25">
      <c r="A23" s="86" t="s">
        <v>18</v>
      </c>
      <c r="B23" s="87">
        <v>1</v>
      </c>
      <c r="C23" s="88">
        <v>10541.5</v>
      </c>
      <c r="D23" s="88">
        <v>12063</v>
      </c>
      <c r="E23" s="89">
        <v>11386</v>
      </c>
      <c r="F23" s="88">
        <v>11107</v>
      </c>
      <c r="G23" s="88">
        <v>10113.5</v>
      </c>
    </row>
    <row r="24" spans="1:7" s="35" customFormat="1" ht="13.5" customHeight="1" x14ac:dyDescent="0.25">
      <c r="A24" s="86" t="s">
        <v>28</v>
      </c>
      <c r="B24" s="87">
        <v>2</v>
      </c>
      <c r="C24" s="88">
        <v>17088.5</v>
      </c>
      <c r="D24" s="88">
        <v>14271</v>
      </c>
      <c r="E24" s="89">
        <v>13582.5</v>
      </c>
      <c r="F24" s="88">
        <v>15370.5</v>
      </c>
      <c r="G24" s="88">
        <v>13653</v>
      </c>
    </row>
    <row r="25" spans="1:7" s="35" customFormat="1" ht="13.5" customHeight="1" x14ac:dyDescent="0.25">
      <c r="A25" s="86" t="s">
        <v>29</v>
      </c>
      <c r="B25" s="87">
        <v>2</v>
      </c>
      <c r="C25" s="88">
        <v>23886.5</v>
      </c>
      <c r="D25" s="88">
        <v>24808.5</v>
      </c>
      <c r="E25" s="89">
        <v>24591.5</v>
      </c>
      <c r="F25" s="88">
        <v>20386</v>
      </c>
      <c r="G25" s="88">
        <v>21666.5</v>
      </c>
    </row>
    <row r="26" spans="1:7" s="35" customFormat="1" ht="13.5" customHeight="1" x14ac:dyDescent="0.25">
      <c r="A26" s="86" t="s">
        <v>37</v>
      </c>
      <c r="B26" s="87">
        <v>3</v>
      </c>
      <c r="C26" s="88">
        <v>36882.5</v>
      </c>
      <c r="D26" s="88">
        <v>36782.5</v>
      </c>
      <c r="E26" s="89">
        <v>31110.5</v>
      </c>
      <c r="F26" s="88">
        <v>28223.5</v>
      </c>
      <c r="G26" s="88">
        <v>31135</v>
      </c>
    </row>
    <row r="27" spans="1:7" s="35" customFormat="1" ht="13.5" customHeight="1" x14ac:dyDescent="0.25">
      <c r="A27" s="86" t="s">
        <v>59</v>
      </c>
      <c r="B27" s="87">
        <v>5</v>
      </c>
      <c r="C27" s="88">
        <v>144363.5</v>
      </c>
      <c r="D27" s="88">
        <v>142218</v>
      </c>
      <c r="E27" s="89">
        <v>143303.5</v>
      </c>
      <c r="F27" s="88">
        <v>128656.5</v>
      </c>
      <c r="G27" s="88">
        <v>128596.5</v>
      </c>
    </row>
    <row r="28" spans="1:7" s="35" customFormat="1" ht="13.5" customHeight="1" x14ac:dyDescent="0.25">
      <c r="A28" s="86" t="s">
        <v>47</v>
      </c>
      <c r="B28" s="87">
        <v>4</v>
      </c>
      <c r="C28" s="88">
        <v>66364.5</v>
      </c>
      <c r="D28" s="88">
        <v>65678.5</v>
      </c>
      <c r="E28" s="89">
        <v>67616</v>
      </c>
      <c r="F28" s="88">
        <v>61752.5</v>
      </c>
      <c r="G28" s="88">
        <v>59096.5</v>
      </c>
    </row>
    <row r="29" spans="1:7" s="35" customFormat="1" ht="13.5" customHeight="1" x14ac:dyDescent="0.25">
      <c r="A29" s="86" t="s">
        <v>81</v>
      </c>
      <c r="B29" s="87">
        <v>8</v>
      </c>
      <c r="C29" s="88">
        <v>1250227</v>
      </c>
      <c r="D29" s="88">
        <v>1373579</v>
      </c>
      <c r="E29" s="89">
        <v>1733540.5</v>
      </c>
      <c r="F29" s="88">
        <v>1420920</v>
      </c>
      <c r="G29" s="88">
        <v>1563237</v>
      </c>
    </row>
    <row r="30" spans="1:7" s="35" customFormat="1" ht="13.5" customHeight="1" x14ac:dyDescent="0.25">
      <c r="A30" s="86" t="s">
        <v>30</v>
      </c>
      <c r="B30" s="87">
        <v>2</v>
      </c>
      <c r="C30" s="88">
        <v>16236</v>
      </c>
      <c r="D30" s="88">
        <v>16001.5</v>
      </c>
      <c r="E30" s="89">
        <v>15217</v>
      </c>
      <c r="F30" s="88">
        <v>16678.5</v>
      </c>
      <c r="G30" s="88">
        <v>18084</v>
      </c>
    </row>
    <row r="31" spans="1:7" s="35" customFormat="1" ht="13.5" customHeight="1" x14ac:dyDescent="0.25">
      <c r="A31" s="86" t="s">
        <v>48</v>
      </c>
      <c r="B31" s="87">
        <v>4</v>
      </c>
      <c r="C31" s="88">
        <v>105140</v>
      </c>
      <c r="D31" s="88">
        <v>98541</v>
      </c>
      <c r="E31" s="89">
        <v>96387.5</v>
      </c>
      <c r="F31" s="88">
        <v>87914.5</v>
      </c>
      <c r="G31" s="88">
        <v>90620.5</v>
      </c>
    </row>
    <row r="32" spans="1:7" s="35" customFormat="1" ht="13.5" customHeight="1" x14ac:dyDescent="0.25">
      <c r="A32" s="86" t="s">
        <v>38</v>
      </c>
      <c r="B32" s="87">
        <v>3</v>
      </c>
      <c r="C32" s="88">
        <v>31319</v>
      </c>
      <c r="D32" s="88">
        <v>31307.5</v>
      </c>
      <c r="E32" s="89">
        <v>35224</v>
      </c>
      <c r="F32" s="88">
        <v>32334</v>
      </c>
      <c r="G32" s="88">
        <v>35398</v>
      </c>
    </row>
    <row r="33" spans="1:7" s="35" customFormat="1" ht="13.5" customHeight="1" x14ac:dyDescent="0.25">
      <c r="A33" s="86" t="s">
        <v>31</v>
      </c>
      <c r="B33" s="87">
        <v>2</v>
      </c>
      <c r="C33" s="88">
        <v>13847</v>
      </c>
      <c r="D33" s="88">
        <v>13994.5</v>
      </c>
      <c r="E33" s="89">
        <v>13633.5</v>
      </c>
      <c r="F33" s="88">
        <v>12499</v>
      </c>
      <c r="G33" s="88">
        <v>10999</v>
      </c>
    </row>
    <row r="34" spans="1:7" s="35" customFormat="1" ht="13.5" customHeight="1" x14ac:dyDescent="0.25">
      <c r="A34" s="86" t="s">
        <v>19</v>
      </c>
      <c r="B34" s="87">
        <v>1</v>
      </c>
      <c r="C34" s="88">
        <v>4515.5</v>
      </c>
      <c r="D34" s="88">
        <v>4576</v>
      </c>
      <c r="E34" s="89">
        <v>3795.5</v>
      </c>
      <c r="F34" s="88">
        <v>4538</v>
      </c>
      <c r="G34" s="88">
        <v>3869</v>
      </c>
    </row>
    <row r="35" spans="1:7" s="35" customFormat="1" ht="13.5" customHeight="1" x14ac:dyDescent="0.25">
      <c r="A35" s="86" t="s">
        <v>60</v>
      </c>
      <c r="B35" s="87">
        <v>5</v>
      </c>
      <c r="C35" s="88">
        <v>275059</v>
      </c>
      <c r="D35" s="88">
        <v>239337.5</v>
      </c>
      <c r="E35" s="89">
        <v>245441.5</v>
      </c>
      <c r="F35" s="88">
        <v>230984</v>
      </c>
      <c r="G35" s="88">
        <v>221687</v>
      </c>
    </row>
    <row r="36" spans="1:7" s="35" customFormat="1" ht="13.5" customHeight="1" x14ac:dyDescent="0.25">
      <c r="A36" s="86" t="s">
        <v>75</v>
      </c>
      <c r="B36" s="87">
        <v>7</v>
      </c>
      <c r="C36" s="88">
        <v>613453.5</v>
      </c>
      <c r="D36" s="88">
        <v>609639.5</v>
      </c>
      <c r="E36" s="89">
        <v>569245.5</v>
      </c>
      <c r="F36" s="88">
        <v>483019.5</v>
      </c>
      <c r="G36" s="88">
        <v>488502</v>
      </c>
    </row>
    <row r="37" spans="1:7" s="35" customFormat="1" ht="13.5" customHeight="1" x14ac:dyDescent="0.25">
      <c r="A37" s="86" t="s">
        <v>61</v>
      </c>
      <c r="B37" s="87">
        <v>5</v>
      </c>
      <c r="C37" s="88">
        <v>215584</v>
      </c>
      <c r="D37" s="88">
        <v>204196</v>
      </c>
      <c r="E37" s="89">
        <v>204552.5</v>
      </c>
      <c r="F37" s="88">
        <v>205593</v>
      </c>
      <c r="G37" s="88">
        <v>183090</v>
      </c>
    </row>
    <row r="38" spans="1:7" s="35" customFormat="1" ht="13.5" customHeight="1" x14ac:dyDescent="0.25">
      <c r="A38" s="86" t="s">
        <v>39</v>
      </c>
      <c r="B38" s="87">
        <v>3</v>
      </c>
      <c r="C38" s="88">
        <v>39600.5</v>
      </c>
      <c r="D38" s="88">
        <v>35856</v>
      </c>
      <c r="E38" s="89">
        <v>37420</v>
      </c>
      <c r="F38" s="88">
        <v>39743.5</v>
      </c>
      <c r="G38" s="88">
        <v>37134</v>
      </c>
    </row>
    <row r="39" spans="1:7" s="35" customFormat="1" ht="13.5" customHeight="1" x14ac:dyDescent="0.25">
      <c r="A39" s="86" t="s">
        <v>20</v>
      </c>
      <c r="B39" s="87">
        <v>1</v>
      </c>
      <c r="C39" s="88">
        <v>7058.5</v>
      </c>
      <c r="D39" s="88">
        <v>5300</v>
      </c>
      <c r="E39" s="89">
        <v>5861.5</v>
      </c>
      <c r="F39" s="88">
        <v>7148.5</v>
      </c>
      <c r="G39" s="88">
        <v>6585.5</v>
      </c>
    </row>
    <row r="40" spans="1:7" s="35" customFormat="1" ht="13.5" customHeight="1" x14ac:dyDescent="0.25">
      <c r="A40" s="86" t="s">
        <v>40</v>
      </c>
      <c r="B40" s="87">
        <v>3</v>
      </c>
      <c r="C40" s="88">
        <v>24784</v>
      </c>
      <c r="D40" s="88">
        <v>26518</v>
      </c>
      <c r="E40" s="89">
        <v>23380</v>
      </c>
      <c r="F40" s="88">
        <v>24042</v>
      </c>
      <c r="G40" s="88">
        <v>23740</v>
      </c>
    </row>
    <row r="41" spans="1:7" s="35" customFormat="1" ht="13.5" customHeight="1" x14ac:dyDescent="0.25">
      <c r="A41" s="86" t="s">
        <v>70</v>
      </c>
      <c r="B41" s="87">
        <v>6</v>
      </c>
      <c r="C41" s="88">
        <v>286679.5</v>
      </c>
      <c r="D41" s="88">
        <v>257677</v>
      </c>
      <c r="E41" s="89">
        <v>247722</v>
      </c>
      <c r="F41" s="88">
        <v>240170</v>
      </c>
      <c r="G41" s="88">
        <v>242336.5</v>
      </c>
    </row>
    <row r="42" spans="1:7" s="35" customFormat="1" ht="13.5" customHeight="1" x14ac:dyDescent="0.25">
      <c r="A42" s="86" t="s">
        <v>62</v>
      </c>
      <c r="B42" s="87">
        <v>5</v>
      </c>
      <c r="C42" s="88">
        <v>298054</v>
      </c>
      <c r="D42" s="88">
        <v>274953.5</v>
      </c>
      <c r="E42" s="89">
        <v>261608.5</v>
      </c>
      <c r="F42" s="88">
        <v>239539.5</v>
      </c>
      <c r="G42" s="88">
        <v>236281</v>
      </c>
    </row>
    <row r="43" spans="1:7" s="35" customFormat="1" ht="13.5" customHeight="1" x14ac:dyDescent="0.25">
      <c r="A43" s="86" t="s">
        <v>49</v>
      </c>
      <c r="B43" s="87">
        <v>4</v>
      </c>
      <c r="C43" s="88">
        <v>143072.5</v>
      </c>
      <c r="D43" s="88">
        <v>123139</v>
      </c>
      <c r="E43" s="89">
        <v>112597</v>
      </c>
      <c r="F43" s="88">
        <v>104015</v>
      </c>
      <c r="G43" s="88">
        <v>100343.5</v>
      </c>
    </row>
    <row r="44" spans="1:7" s="35" customFormat="1" ht="13.5" customHeight="1" x14ac:dyDescent="0.25">
      <c r="A44" s="86" t="s">
        <v>82</v>
      </c>
      <c r="B44" s="87">
        <v>8</v>
      </c>
      <c r="C44" s="88">
        <v>3662500</v>
      </c>
      <c r="D44" s="88">
        <v>3738430.5</v>
      </c>
      <c r="E44" s="89">
        <v>3821240</v>
      </c>
      <c r="F44" s="88">
        <v>3160436</v>
      </c>
      <c r="G44" s="88">
        <v>2990994</v>
      </c>
    </row>
    <row r="45" spans="1:7" s="35" customFormat="1" ht="13.5" customHeight="1" x14ac:dyDescent="0.25">
      <c r="A45" s="86" t="s">
        <v>63</v>
      </c>
      <c r="B45" s="87">
        <v>5</v>
      </c>
      <c r="C45" s="88">
        <v>111517.5</v>
      </c>
      <c r="D45" s="88">
        <v>119555</v>
      </c>
      <c r="E45" s="89">
        <v>127445.5</v>
      </c>
      <c r="F45" s="88">
        <v>121354.5</v>
      </c>
      <c r="G45" s="88">
        <v>112725</v>
      </c>
    </row>
    <row r="46" spans="1:7" s="35" customFormat="1" ht="13.5" customHeight="1" x14ac:dyDescent="0.25">
      <c r="A46" s="86" t="s">
        <v>50</v>
      </c>
      <c r="B46" s="87">
        <v>4</v>
      </c>
      <c r="C46" s="88">
        <v>56656</v>
      </c>
      <c r="D46" s="88">
        <v>62457</v>
      </c>
      <c r="E46" s="89">
        <v>59277</v>
      </c>
      <c r="F46" s="88">
        <v>53930</v>
      </c>
      <c r="G46" s="88">
        <v>53467.5</v>
      </c>
    </row>
    <row r="47" spans="1:7" s="35" customFormat="1" ht="13.5" customHeight="1" x14ac:dyDescent="0.25">
      <c r="A47" s="86" t="s">
        <v>64</v>
      </c>
      <c r="B47" s="87">
        <v>5</v>
      </c>
      <c r="C47" s="88">
        <v>136998</v>
      </c>
      <c r="D47" s="88">
        <v>156357</v>
      </c>
      <c r="E47" s="89">
        <v>159894</v>
      </c>
      <c r="F47" s="88">
        <v>154122.5</v>
      </c>
      <c r="G47" s="88">
        <v>162381</v>
      </c>
    </row>
    <row r="48" spans="1:7" s="35" customFormat="1" ht="13.5" customHeight="1" x14ac:dyDescent="0.25">
      <c r="A48" s="86" t="s">
        <v>41</v>
      </c>
      <c r="B48" s="87">
        <v>3</v>
      </c>
      <c r="C48" s="88">
        <v>36495.5</v>
      </c>
      <c r="D48" s="88">
        <v>40816</v>
      </c>
      <c r="E48" s="89">
        <v>36190</v>
      </c>
      <c r="F48" s="88">
        <v>34476</v>
      </c>
      <c r="G48" s="88">
        <v>32825.5</v>
      </c>
    </row>
    <row r="49" spans="1:7" s="35" customFormat="1" ht="13.5" customHeight="1" x14ac:dyDescent="0.25">
      <c r="A49" s="86" t="s">
        <v>83</v>
      </c>
      <c r="B49" s="87">
        <v>8</v>
      </c>
      <c r="C49" s="88">
        <v>1419366</v>
      </c>
      <c r="D49" s="88">
        <v>1488836.5</v>
      </c>
      <c r="E49" s="89">
        <v>1634672.5</v>
      </c>
      <c r="F49" s="88">
        <v>1357461</v>
      </c>
      <c r="G49" s="88">
        <v>1454819.5</v>
      </c>
    </row>
    <row r="50" spans="1:7" s="35" customFormat="1" ht="13.5" customHeight="1" x14ac:dyDescent="0.25">
      <c r="A50" s="86" t="s">
        <v>71</v>
      </c>
      <c r="B50" s="87">
        <v>6</v>
      </c>
      <c r="C50" s="88">
        <v>363686.5</v>
      </c>
      <c r="D50" s="88">
        <v>340616</v>
      </c>
      <c r="E50" s="89">
        <v>332973</v>
      </c>
      <c r="F50" s="88">
        <v>291815.5</v>
      </c>
      <c r="G50" s="88">
        <v>291554</v>
      </c>
    </row>
    <row r="51" spans="1:7" s="35" customFormat="1" ht="13.5" customHeight="1" x14ac:dyDescent="0.25">
      <c r="A51" s="86" t="s">
        <v>84</v>
      </c>
      <c r="B51" s="87">
        <v>8</v>
      </c>
      <c r="C51" s="88">
        <v>1177457.5</v>
      </c>
      <c r="D51" s="88">
        <v>1151981.5</v>
      </c>
      <c r="E51" s="89">
        <v>1133560.5</v>
      </c>
      <c r="F51" s="88">
        <v>1084405.5</v>
      </c>
      <c r="G51" s="88">
        <v>1092633</v>
      </c>
    </row>
    <row r="52" spans="1:7" s="35" customFormat="1" ht="13.5" customHeight="1" x14ac:dyDescent="0.25">
      <c r="A52" s="86" t="s">
        <v>72</v>
      </c>
      <c r="B52" s="87">
        <v>6</v>
      </c>
      <c r="C52" s="88">
        <v>377394.5</v>
      </c>
      <c r="D52" s="88">
        <v>353999</v>
      </c>
      <c r="E52" s="89">
        <v>351183.5</v>
      </c>
      <c r="F52" s="88">
        <v>333213</v>
      </c>
      <c r="G52" s="88">
        <v>336855</v>
      </c>
    </row>
    <row r="53" spans="1:7" s="35" customFormat="1" ht="13.5" customHeight="1" x14ac:dyDescent="0.25">
      <c r="A53" s="86" t="s">
        <v>76</v>
      </c>
      <c r="B53" s="87">
        <v>7</v>
      </c>
      <c r="C53" s="88">
        <v>770125</v>
      </c>
      <c r="D53" s="88">
        <v>694289</v>
      </c>
      <c r="E53" s="89">
        <v>742045.5</v>
      </c>
      <c r="F53" s="88">
        <v>725922</v>
      </c>
      <c r="G53" s="88">
        <v>689018</v>
      </c>
    </row>
    <row r="54" spans="1:7" s="35" customFormat="1" ht="13.5" customHeight="1" x14ac:dyDescent="0.25">
      <c r="A54" s="86" t="s">
        <v>77</v>
      </c>
      <c r="B54" s="87">
        <v>7</v>
      </c>
      <c r="C54" s="88">
        <v>723401</v>
      </c>
      <c r="D54" s="88">
        <v>683255</v>
      </c>
      <c r="E54" s="89">
        <v>628540</v>
      </c>
      <c r="F54" s="88">
        <v>571055</v>
      </c>
      <c r="G54" s="88">
        <v>528475</v>
      </c>
    </row>
    <row r="55" spans="1:7" s="35" customFormat="1" ht="13.5" customHeight="1" x14ac:dyDescent="0.25">
      <c r="A55" s="86" t="s">
        <v>51</v>
      </c>
      <c r="B55" s="87">
        <v>4</v>
      </c>
      <c r="C55" s="88">
        <v>64441</v>
      </c>
      <c r="D55" s="88">
        <v>63813.5</v>
      </c>
      <c r="E55" s="89">
        <v>68744</v>
      </c>
      <c r="F55" s="88">
        <v>59943.5</v>
      </c>
      <c r="G55" s="88">
        <v>54945.5</v>
      </c>
    </row>
    <row r="56" spans="1:7" s="35" customFormat="1" ht="13.5" customHeight="1" x14ac:dyDescent="0.25">
      <c r="A56" s="86" t="s">
        <v>65</v>
      </c>
      <c r="B56" s="87">
        <v>5</v>
      </c>
      <c r="C56" s="88">
        <v>177600.5</v>
      </c>
      <c r="D56" s="88">
        <v>186641.5</v>
      </c>
      <c r="E56" s="89">
        <v>193082</v>
      </c>
      <c r="F56" s="88">
        <v>160469</v>
      </c>
      <c r="G56" s="88">
        <v>141643</v>
      </c>
    </row>
    <row r="57" spans="1:7" s="35" customFormat="1" ht="13.5" customHeight="1" x14ac:dyDescent="0.25">
      <c r="A57" s="86" t="s">
        <v>66</v>
      </c>
      <c r="B57" s="87">
        <v>5</v>
      </c>
      <c r="C57" s="88">
        <v>278370</v>
      </c>
      <c r="D57" s="88">
        <v>254210.5</v>
      </c>
      <c r="E57" s="89">
        <v>247758</v>
      </c>
      <c r="F57" s="88">
        <v>230593.5</v>
      </c>
      <c r="G57" s="88">
        <v>225286.5</v>
      </c>
    </row>
    <row r="58" spans="1:7" s="35" customFormat="1" ht="13.5" customHeight="1" x14ac:dyDescent="0.25">
      <c r="A58" s="86" t="s">
        <v>67</v>
      </c>
      <c r="B58" s="87">
        <v>5</v>
      </c>
      <c r="C58" s="88">
        <v>113141.5</v>
      </c>
      <c r="D58" s="88">
        <v>117758</v>
      </c>
      <c r="E58" s="89">
        <v>131651.5</v>
      </c>
      <c r="F58" s="88">
        <v>119938.5</v>
      </c>
      <c r="G58" s="88">
        <v>114096.5</v>
      </c>
    </row>
    <row r="59" spans="1:7" s="35" customFormat="1" ht="13.5" customHeight="1" x14ac:dyDescent="0.25">
      <c r="A59" s="86" t="s">
        <v>73</v>
      </c>
      <c r="B59" s="87">
        <v>6</v>
      </c>
      <c r="C59" s="88">
        <v>321125</v>
      </c>
      <c r="D59" s="88">
        <v>313159</v>
      </c>
      <c r="E59" s="89">
        <v>329224</v>
      </c>
      <c r="F59" s="88">
        <v>304616</v>
      </c>
      <c r="G59" s="88">
        <v>280269</v>
      </c>
    </row>
    <row r="60" spans="1:7" s="35" customFormat="1" ht="13.5" customHeight="1" x14ac:dyDescent="0.25">
      <c r="A60" s="86" t="s">
        <v>74</v>
      </c>
      <c r="B60" s="87">
        <v>6</v>
      </c>
      <c r="C60" s="88">
        <v>383399.5</v>
      </c>
      <c r="D60" s="88">
        <v>365175</v>
      </c>
      <c r="E60" s="89">
        <v>339737</v>
      </c>
      <c r="F60" s="88">
        <v>313164</v>
      </c>
      <c r="G60" s="88">
        <v>335066</v>
      </c>
    </row>
    <row r="61" spans="1:7" s="35" customFormat="1" ht="13.5" customHeight="1" x14ac:dyDescent="0.25">
      <c r="A61" s="86" t="s">
        <v>52</v>
      </c>
      <c r="B61" s="87">
        <v>4</v>
      </c>
      <c r="C61" s="88">
        <v>74613.5</v>
      </c>
      <c r="D61" s="88">
        <v>82572</v>
      </c>
      <c r="E61" s="89">
        <v>79327</v>
      </c>
      <c r="F61" s="88">
        <v>72197.5</v>
      </c>
      <c r="G61" s="88">
        <v>66571</v>
      </c>
    </row>
    <row r="62" spans="1:7" s="35" customFormat="1" ht="13.5" customHeight="1" x14ac:dyDescent="0.25">
      <c r="A62" s="86" t="s">
        <v>42</v>
      </c>
      <c r="B62" s="87">
        <v>3</v>
      </c>
      <c r="C62" s="88">
        <v>32000.5</v>
      </c>
      <c r="D62" s="88">
        <v>33098.5</v>
      </c>
      <c r="E62" s="89">
        <v>33002</v>
      </c>
      <c r="F62" s="88">
        <v>30781</v>
      </c>
      <c r="G62" s="88">
        <v>36468.5</v>
      </c>
    </row>
    <row r="63" spans="1:7" s="35" customFormat="1" ht="13.5" customHeight="1" x14ac:dyDescent="0.25">
      <c r="A63" s="86" t="s">
        <v>32</v>
      </c>
      <c r="B63" s="87">
        <v>2</v>
      </c>
      <c r="C63" s="88">
        <v>21365</v>
      </c>
      <c r="D63" s="88">
        <v>19943</v>
      </c>
      <c r="E63" s="89">
        <v>18856</v>
      </c>
      <c r="F63" s="88">
        <v>19523</v>
      </c>
      <c r="G63" s="88">
        <v>19712</v>
      </c>
    </row>
    <row r="64" spans="1:7" s="35" customFormat="1" ht="13.5" customHeight="1" x14ac:dyDescent="0.25">
      <c r="A64" s="86" t="s">
        <v>21</v>
      </c>
      <c r="B64" s="87">
        <v>1</v>
      </c>
      <c r="C64" s="88">
        <v>7615.5</v>
      </c>
      <c r="D64" s="88">
        <v>7543.5</v>
      </c>
      <c r="E64" s="89">
        <v>7200</v>
      </c>
      <c r="F64" s="88">
        <v>7861.5</v>
      </c>
      <c r="G64" s="88">
        <v>7100</v>
      </c>
    </row>
    <row r="65" spans="1:7" s="35" customFormat="1" ht="13.5" customHeight="1" x14ac:dyDescent="0.25">
      <c r="A65" s="86" t="s">
        <v>78</v>
      </c>
      <c r="B65" s="87">
        <v>7</v>
      </c>
      <c r="C65" s="88">
        <v>540338.5</v>
      </c>
      <c r="D65" s="88">
        <v>552816.5</v>
      </c>
      <c r="E65" s="89">
        <v>568161.5</v>
      </c>
      <c r="F65" s="88">
        <v>536057.5</v>
      </c>
      <c r="G65" s="88">
        <v>520553.5</v>
      </c>
    </row>
    <row r="66" spans="1:7" s="35" customFormat="1" ht="13.5" customHeight="1" x14ac:dyDescent="0.25">
      <c r="A66" s="86" t="s">
        <v>43</v>
      </c>
      <c r="B66" s="87">
        <v>3</v>
      </c>
      <c r="C66" s="88">
        <v>23605.5</v>
      </c>
      <c r="D66" s="88">
        <v>22803</v>
      </c>
      <c r="E66" s="89">
        <v>25698.5</v>
      </c>
      <c r="F66" s="88">
        <v>23389.5</v>
      </c>
      <c r="G66" s="88">
        <v>22579.5</v>
      </c>
    </row>
    <row r="67" spans="1:7" ht="13.5" customHeight="1" x14ac:dyDescent="0.25">
      <c r="A67" s="86" t="s">
        <v>53</v>
      </c>
      <c r="B67" s="87">
        <v>4</v>
      </c>
      <c r="C67" s="88">
        <v>56728.5</v>
      </c>
      <c r="D67" s="88">
        <v>71144.5</v>
      </c>
      <c r="E67" s="89">
        <v>87634.5</v>
      </c>
      <c r="F67" s="88">
        <v>70373.5</v>
      </c>
      <c r="G67" s="88">
        <v>55950</v>
      </c>
    </row>
    <row r="68" spans="1:7" ht="13.5" customHeight="1" thickBot="1" x14ac:dyDescent="0.3">
      <c r="A68" s="95" t="s">
        <v>33</v>
      </c>
      <c r="B68" s="96">
        <v>2</v>
      </c>
      <c r="C68" s="97">
        <v>19004</v>
      </c>
      <c r="D68" s="97">
        <v>20742.5</v>
      </c>
      <c r="E68" s="98">
        <v>20625</v>
      </c>
      <c r="F68" s="97">
        <v>20364</v>
      </c>
      <c r="G68" s="97">
        <v>18481</v>
      </c>
    </row>
    <row r="69" spans="1:7" ht="14.25" thickBot="1" x14ac:dyDescent="0.3">
      <c r="A69" s="55"/>
      <c r="B69" s="56"/>
      <c r="C69" s="60"/>
      <c r="D69" s="60"/>
      <c r="E69" s="60"/>
      <c r="F69" s="60"/>
      <c r="G69" s="60"/>
    </row>
    <row r="70" spans="1:7" s="35" customFormat="1" ht="14.25" thickBot="1" x14ac:dyDescent="0.3">
      <c r="A70" s="512" t="s">
        <v>85</v>
      </c>
      <c r="B70" s="512"/>
      <c r="C70" s="63">
        <f>SUM(C2:C68)</f>
        <v>19109598</v>
      </c>
      <c r="D70" s="63">
        <f>SUM(D2:D68)</f>
        <v>19008832</v>
      </c>
      <c r="E70" s="63">
        <f>SUM(E2:E68)</f>
        <v>19853602.5</v>
      </c>
      <c r="F70" s="63">
        <f>SUM(F2:F69)</f>
        <v>17741316.5</v>
      </c>
      <c r="G70" s="63">
        <f>SUM(G2:G69)</f>
        <v>17932127</v>
      </c>
    </row>
    <row r="71" spans="1:7" ht="13.5" customHeight="1" x14ac:dyDescent="0.25">
      <c r="C71" s="69" t="s">
        <v>86</v>
      </c>
      <c r="D71" s="69" t="s">
        <v>86</v>
      </c>
      <c r="E71" s="69" t="s">
        <v>86</v>
      </c>
      <c r="F71" s="69" t="s">
        <v>86</v>
      </c>
      <c r="G71" s="69" t="s">
        <v>86</v>
      </c>
    </row>
    <row r="72" spans="1:7" s="99" customFormat="1" ht="15" customHeight="1" x14ac:dyDescent="0.25">
      <c r="C72" s="100"/>
      <c r="D72" s="100"/>
      <c r="E72" s="100"/>
      <c r="F72" s="100"/>
      <c r="G72" s="100"/>
    </row>
    <row r="74" spans="1:7" x14ac:dyDescent="0.25">
      <c r="E74" s="78"/>
    </row>
    <row r="75" spans="1:7" x14ac:dyDescent="0.25">
      <c r="E75" s="78"/>
    </row>
  </sheetData>
  <autoFilter ref="A1:G1" xr:uid="{4AB7BD9F-BCD8-4D10-AA47-8AF79A5007FB}">
    <sortState xmlns:xlrd2="http://schemas.microsoft.com/office/spreadsheetml/2017/richdata2" ref="A2:G68">
      <sortCondition ref="A1"/>
    </sortState>
  </autoFilter>
  <mergeCells count="1">
    <mergeCell ref="A70:B70"/>
  </mergeCells>
  <printOptions horizontalCentered="1"/>
  <pageMargins left="0.25" right="0.25" top="0.7" bottom="0.5" header="0.25" footer="0.25"/>
  <pageSetup paperSize="5" scale="59" fitToHeight="0" pageOrder="overThenDown" orientation="landscape" r:id="rId1"/>
  <headerFooter>
    <oddFooter xml:space="preserve">&amp;C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227AA-39C0-4E4E-BAEA-5D1E40A9CB02}">
  <dimension ref="A1:C81"/>
  <sheetViews>
    <sheetView workbookViewId="0">
      <pane xSplit="1" ySplit="1" topLeftCell="B59" activePane="bottomRight" state="frozen"/>
      <selection pane="topRight" activeCell="B1" sqref="B1"/>
      <selection pane="bottomLeft" activeCell="A2" sqref="A2"/>
      <selection pane="bottomRight" activeCell="A81" sqref="A81:C81"/>
    </sheetView>
  </sheetViews>
  <sheetFormatPr defaultColWidth="10.42578125" defaultRowHeight="15.75" x14ac:dyDescent="0.3"/>
  <cols>
    <col min="1" max="1" width="17.42578125" style="105" customWidth="1"/>
    <col min="2" max="2" width="10" style="105" customWidth="1"/>
    <col min="3" max="3" width="23.28515625" style="105" customWidth="1"/>
    <col min="4" max="16384" width="10.42578125" style="105"/>
  </cols>
  <sheetData>
    <row r="1" spans="1:3" ht="47.25" x14ac:dyDescent="0.3">
      <c r="A1" s="291" t="s">
        <v>11</v>
      </c>
      <c r="B1" s="292" t="s">
        <v>218</v>
      </c>
      <c r="C1" s="291" t="s">
        <v>222</v>
      </c>
    </row>
    <row r="2" spans="1:3" x14ac:dyDescent="0.3">
      <c r="A2" s="232" t="s">
        <v>54</v>
      </c>
      <c r="B2" s="293">
        <v>5</v>
      </c>
      <c r="C2" s="365">
        <v>4750000</v>
      </c>
    </row>
    <row r="3" spans="1:3" x14ac:dyDescent="0.3">
      <c r="A3" s="232" t="s">
        <v>22</v>
      </c>
      <c r="B3" s="293">
        <v>2</v>
      </c>
      <c r="C3" s="365">
        <v>491000</v>
      </c>
    </row>
    <row r="4" spans="1:3" x14ac:dyDescent="0.3">
      <c r="A4" s="232" t="s">
        <v>55</v>
      </c>
      <c r="B4" s="293">
        <v>5</v>
      </c>
      <c r="C4" s="365">
        <v>5700000</v>
      </c>
    </row>
    <row r="5" spans="1:3" x14ac:dyDescent="0.3">
      <c r="A5" s="232" t="s">
        <v>34</v>
      </c>
      <c r="B5" s="293">
        <v>3</v>
      </c>
      <c r="C5" s="365">
        <v>744621</v>
      </c>
    </row>
    <row r="6" spans="1:3" x14ac:dyDescent="0.3">
      <c r="A6" s="232" t="s">
        <v>68</v>
      </c>
      <c r="B6" s="293">
        <v>6</v>
      </c>
      <c r="C6" s="365">
        <v>12944000</v>
      </c>
    </row>
    <row r="7" spans="1:3" x14ac:dyDescent="0.3">
      <c r="A7" s="232" t="s">
        <v>79</v>
      </c>
      <c r="B7" s="293">
        <v>8</v>
      </c>
      <c r="C7" s="365">
        <v>48259096.420000002</v>
      </c>
    </row>
    <row r="8" spans="1:3" x14ac:dyDescent="0.3">
      <c r="A8" s="232" t="s">
        <v>23</v>
      </c>
      <c r="B8" s="293">
        <v>2</v>
      </c>
      <c r="C8" s="365">
        <v>325000</v>
      </c>
    </row>
    <row r="9" spans="1:3" x14ac:dyDescent="0.3">
      <c r="A9" s="232" t="s">
        <v>56</v>
      </c>
      <c r="B9" s="293">
        <v>5</v>
      </c>
      <c r="C9" s="365">
        <v>4648797</v>
      </c>
    </row>
    <row r="10" spans="1:3" x14ac:dyDescent="0.3">
      <c r="A10" s="232" t="s">
        <v>44</v>
      </c>
      <c r="B10" s="293">
        <v>4</v>
      </c>
      <c r="C10" s="365">
        <v>3859058</v>
      </c>
    </row>
    <row r="11" spans="1:3" x14ac:dyDescent="0.3">
      <c r="A11" s="232" t="s">
        <v>57</v>
      </c>
      <c r="B11" s="293">
        <v>5</v>
      </c>
      <c r="C11" s="365">
        <v>5199978</v>
      </c>
    </row>
    <row r="12" spans="1:3" x14ac:dyDescent="0.3">
      <c r="A12" s="232" t="s">
        <v>58</v>
      </c>
      <c r="B12" s="293">
        <v>5</v>
      </c>
      <c r="C12" s="365">
        <v>8474700</v>
      </c>
    </row>
    <row r="13" spans="1:3" x14ac:dyDescent="0.3">
      <c r="A13" s="232" t="s">
        <v>45</v>
      </c>
      <c r="B13" s="293">
        <v>4</v>
      </c>
      <c r="C13" s="365">
        <v>1369000</v>
      </c>
    </row>
    <row r="14" spans="1:3" x14ac:dyDescent="0.3">
      <c r="A14" s="232" t="s">
        <v>35</v>
      </c>
      <c r="B14" s="293">
        <v>3</v>
      </c>
      <c r="C14" s="365">
        <v>613438</v>
      </c>
    </row>
    <row r="15" spans="1:3" x14ac:dyDescent="0.3">
      <c r="A15" s="232" t="s">
        <v>24</v>
      </c>
      <c r="B15" s="293">
        <v>2</v>
      </c>
      <c r="C15" s="365">
        <v>267500</v>
      </c>
    </row>
    <row r="16" spans="1:3" x14ac:dyDescent="0.3">
      <c r="A16" s="232" t="s">
        <v>80</v>
      </c>
      <c r="B16" s="293">
        <v>8</v>
      </c>
      <c r="C16" s="365">
        <v>26648660.890000001</v>
      </c>
    </row>
    <row r="17" spans="1:3" x14ac:dyDescent="0.3">
      <c r="A17" s="232" t="s">
        <v>69</v>
      </c>
      <c r="B17" s="293">
        <v>6</v>
      </c>
      <c r="C17" s="365">
        <v>7840713</v>
      </c>
    </row>
    <row r="18" spans="1:3" x14ac:dyDescent="0.3">
      <c r="A18" s="232" t="s">
        <v>46</v>
      </c>
      <c r="B18" s="293">
        <v>4</v>
      </c>
      <c r="C18" s="365">
        <v>2755000</v>
      </c>
    </row>
    <row r="19" spans="1:3" x14ac:dyDescent="0.3">
      <c r="A19" s="232" t="s">
        <v>25</v>
      </c>
      <c r="B19" s="293">
        <v>2</v>
      </c>
      <c r="C19" s="365">
        <v>282473</v>
      </c>
    </row>
    <row r="20" spans="1:3" x14ac:dyDescent="0.3">
      <c r="A20" s="232" t="s">
        <v>36</v>
      </c>
      <c r="B20" s="293">
        <v>3</v>
      </c>
      <c r="C20" s="365">
        <v>802312</v>
      </c>
    </row>
    <row r="21" spans="1:3" x14ac:dyDescent="0.3">
      <c r="A21" s="232" t="s">
        <v>26</v>
      </c>
      <c r="B21" s="293">
        <v>2</v>
      </c>
      <c r="C21" s="365">
        <v>338500</v>
      </c>
    </row>
    <row r="22" spans="1:3" x14ac:dyDescent="0.3">
      <c r="A22" s="232" t="s">
        <v>27</v>
      </c>
      <c r="B22" s="293">
        <v>2</v>
      </c>
      <c r="C22" s="365">
        <v>521129</v>
      </c>
    </row>
    <row r="23" spans="1:3" x14ac:dyDescent="0.3">
      <c r="A23" s="232" t="s">
        <v>18</v>
      </c>
      <c r="B23" s="293">
        <v>1</v>
      </c>
      <c r="C23" s="365">
        <v>274715</v>
      </c>
    </row>
    <row r="24" spans="1:3" x14ac:dyDescent="0.3">
      <c r="A24" s="232" t="s">
        <v>28</v>
      </c>
      <c r="B24" s="293">
        <v>2</v>
      </c>
      <c r="C24" s="365">
        <v>487000</v>
      </c>
    </row>
    <row r="25" spans="1:3" x14ac:dyDescent="0.3">
      <c r="A25" s="232" t="s">
        <v>29</v>
      </c>
      <c r="B25" s="293">
        <v>2</v>
      </c>
      <c r="C25" s="365">
        <v>706000</v>
      </c>
    </row>
    <row r="26" spans="1:3" x14ac:dyDescent="0.3">
      <c r="A26" s="232" t="s">
        <v>37</v>
      </c>
      <c r="B26" s="293">
        <v>3</v>
      </c>
      <c r="C26" s="365">
        <v>1098000</v>
      </c>
    </row>
    <row r="27" spans="1:3" x14ac:dyDescent="0.3">
      <c r="A27" s="232" t="s">
        <v>59</v>
      </c>
      <c r="B27" s="293">
        <v>5</v>
      </c>
      <c r="C27" s="365">
        <v>5324249</v>
      </c>
    </row>
    <row r="28" spans="1:3" x14ac:dyDescent="0.3">
      <c r="A28" s="232" t="s">
        <v>47</v>
      </c>
      <c r="B28" s="293">
        <v>4</v>
      </c>
      <c r="C28" s="365">
        <v>2197295</v>
      </c>
    </row>
    <row r="29" spans="1:3" x14ac:dyDescent="0.3">
      <c r="A29" s="232" t="s">
        <v>81</v>
      </c>
      <c r="B29" s="293">
        <v>8</v>
      </c>
      <c r="C29" s="365">
        <v>33443000</v>
      </c>
    </row>
    <row r="30" spans="1:3" x14ac:dyDescent="0.3">
      <c r="A30" s="232" t="s">
        <v>30</v>
      </c>
      <c r="B30" s="293">
        <v>2</v>
      </c>
      <c r="C30" s="365">
        <v>679891</v>
      </c>
    </row>
    <row r="31" spans="1:3" x14ac:dyDescent="0.3">
      <c r="A31" s="232" t="s">
        <v>48</v>
      </c>
      <c r="B31" s="293">
        <v>4</v>
      </c>
      <c r="C31" s="365">
        <v>4067798</v>
      </c>
    </row>
    <row r="32" spans="1:3" x14ac:dyDescent="0.3">
      <c r="A32" s="232" t="s">
        <v>38</v>
      </c>
      <c r="B32" s="293">
        <v>3</v>
      </c>
      <c r="C32" s="365">
        <v>805000</v>
      </c>
    </row>
    <row r="33" spans="1:3" x14ac:dyDescent="0.3">
      <c r="A33" s="232" t="s">
        <v>31</v>
      </c>
      <c r="B33" s="293">
        <v>2</v>
      </c>
      <c r="C33" s="365">
        <v>359999.99</v>
      </c>
    </row>
    <row r="34" spans="1:3" x14ac:dyDescent="0.3">
      <c r="A34" s="232" t="s">
        <v>19</v>
      </c>
      <c r="B34" s="293">
        <v>1</v>
      </c>
      <c r="C34" s="365">
        <v>121000</v>
      </c>
    </row>
    <row r="35" spans="1:3" x14ac:dyDescent="0.3">
      <c r="A35" s="232" t="s">
        <v>60</v>
      </c>
      <c r="B35" s="293">
        <v>5</v>
      </c>
      <c r="C35" s="365">
        <v>10467720</v>
      </c>
    </row>
    <row r="36" spans="1:3" x14ac:dyDescent="0.3">
      <c r="A36" s="232" t="s">
        <v>75</v>
      </c>
      <c r="B36" s="293">
        <v>7</v>
      </c>
      <c r="C36" s="365">
        <v>19252000</v>
      </c>
    </row>
    <row r="37" spans="1:3" x14ac:dyDescent="0.3">
      <c r="A37" s="232" t="s">
        <v>61</v>
      </c>
      <c r="B37" s="293">
        <v>5</v>
      </c>
      <c r="C37" s="365">
        <v>6084000</v>
      </c>
    </row>
    <row r="38" spans="1:3" x14ac:dyDescent="0.3">
      <c r="A38" s="232" t="s">
        <v>39</v>
      </c>
      <c r="B38" s="293">
        <v>3</v>
      </c>
      <c r="C38" s="365">
        <v>950500</v>
      </c>
    </row>
    <row r="39" spans="1:3" x14ac:dyDescent="0.3">
      <c r="A39" s="232" t="s">
        <v>20</v>
      </c>
      <c r="B39" s="293">
        <v>1</v>
      </c>
      <c r="C39" s="365">
        <v>186919</v>
      </c>
    </row>
    <row r="40" spans="1:3" x14ac:dyDescent="0.3">
      <c r="A40" s="232" t="s">
        <v>40</v>
      </c>
      <c r="B40" s="293">
        <v>3</v>
      </c>
      <c r="C40" s="365">
        <v>754000</v>
      </c>
    </row>
    <row r="41" spans="1:3" x14ac:dyDescent="0.3">
      <c r="A41" s="232" t="s">
        <v>70</v>
      </c>
      <c r="B41" s="293">
        <v>6</v>
      </c>
      <c r="C41" s="365">
        <v>8695000</v>
      </c>
    </row>
    <row r="42" spans="1:3" x14ac:dyDescent="0.3">
      <c r="A42" s="232" t="s">
        <v>62</v>
      </c>
      <c r="B42" s="293">
        <v>5</v>
      </c>
      <c r="C42" s="365">
        <v>10811700</v>
      </c>
    </row>
    <row r="43" spans="1:3" x14ac:dyDescent="0.3">
      <c r="A43" s="232" t="s">
        <v>49</v>
      </c>
      <c r="B43" s="293">
        <v>4</v>
      </c>
      <c r="C43" s="365">
        <v>4591859</v>
      </c>
    </row>
    <row r="44" spans="1:3" x14ac:dyDescent="0.3">
      <c r="A44" s="232" t="s">
        <v>82</v>
      </c>
      <c r="B44" s="293">
        <v>8</v>
      </c>
      <c r="C44" s="365">
        <v>91911200</v>
      </c>
    </row>
    <row r="45" spans="1:3" x14ac:dyDescent="0.3">
      <c r="A45" s="232" t="s">
        <v>63</v>
      </c>
      <c r="B45" s="293">
        <v>5</v>
      </c>
      <c r="C45" s="365">
        <v>3031789</v>
      </c>
    </row>
    <row r="46" spans="1:3" x14ac:dyDescent="0.3">
      <c r="A46" s="232" t="s">
        <v>50</v>
      </c>
      <c r="B46" s="293">
        <v>4</v>
      </c>
      <c r="C46" s="365">
        <v>1543218</v>
      </c>
    </row>
    <row r="47" spans="1:3" x14ac:dyDescent="0.3">
      <c r="A47" s="232" t="s">
        <v>64</v>
      </c>
      <c r="B47" s="293">
        <v>5</v>
      </c>
      <c r="C47" s="365">
        <v>4282446</v>
      </c>
    </row>
    <row r="48" spans="1:3" x14ac:dyDescent="0.3">
      <c r="A48" s="232" t="s">
        <v>41</v>
      </c>
      <c r="B48" s="293">
        <v>3</v>
      </c>
      <c r="C48" s="365">
        <v>1308285</v>
      </c>
    </row>
    <row r="49" spans="1:3" x14ac:dyDescent="0.3">
      <c r="A49" s="232" t="s">
        <v>83</v>
      </c>
      <c r="B49" s="293">
        <v>8</v>
      </c>
      <c r="C49" s="365">
        <v>44784000</v>
      </c>
    </row>
    <row r="50" spans="1:3" x14ac:dyDescent="0.3">
      <c r="A50" s="232" t="s">
        <v>71</v>
      </c>
      <c r="B50" s="293">
        <v>6</v>
      </c>
      <c r="C50" s="365">
        <v>9500004</v>
      </c>
    </row>
    <row r="51" spans="1:3" x14ac:dyDescent="0.3">
      <c r="A51" s="232" t="s">
        <v>84</v>
      </c>
      <c r="B51" s="293">
        <v>8</v>
      </c>
      <c r="C51" s="365">
        <v>36075875</v>
      </c>
    </row>
    <row r="52" spans="1:3" x14ac:dyDescent="0.3">
      <c r="A52" s="232" t="s">
        <v>72</v>
      </c>
      <c r="B52" s="293">
        <v>6</v>
      </c>
      <c r="C52" s="365">
        <v>12444863</v>
      </c>
    </row>
    <row r="53" spans="1:3" x14ac:dyDescent="0.3">
      <c r="A53" s="232" t="s">
        <v>76</v>
      </c>
      <c r="B53" s="293">
        <v>7</v>
      </c>
      <c r="C53" s="365">
        <v>20017000</v>
      </c>
    </row>
    <row r="54" spans="1:3" x14ac:dyDescent="0.3">
      <c r="A54" s="232" t="s">
        <v>77</v>
      </c>
      <c r="B54" s="293">
        <v>7</v>
      </c>
      <c r="C54" s="365">
        <v>23430000</v>
      </c>
    </row>
    <row r="55" spans="1:3" x14ac:dyDescent="0.3">
      <c r="A55" s="232" t="s">
        <v>51</v>
      </c>
      <c r="B55" s="293">
        <v>4</v>
      </c>
      <c r="C55" s="365">
        <v>1765865.38</v>
      </c>
    </row>
    <row r="56" spans="1:3" x14ac:dyDescent="0.3">
      <c r="A56" s="232" t="s">
        <v>65</v>
      </c>
      <c r="B56" s="293">
        <v>5</v>
      </c>
      <c r="C56" s="365">
        <v>5630000</v>
      </c>
    </row>
    <row r="57" spans="1:3" x14ac:dyDescent="0.3">
      <c r="A57" s="232" t="s">
        <v>66</v>
      </c>
      <c r="B57" s="293">
        <v>5</v>
      </c>
      <c r="C57" s="365">
        <v>8810550</v>
      </c>
    </row>
    <row r="58" spans="1:3" x14ac:dyDescent="0.3">
      <c r="A58" s="232" t="s">
        <v>67</v>
      </c>
      <c r="B58" s="293">
        <v>5</v>
      </c>
      <c r="C58" s="365">
        <v>4390000</v>
      </c>
    </row>
    <row r="59" spans="1:3" x14ac:dyDescent="0.3">
      <c r="A59" s="232" t="s">
        <v>73</v>
      </c>
      <c r="B59" s="293">
        <v>6</v>
      </c>
      <c r="C59" s="365">
        <v>9262931</v>
      </c>
    </row>
    <row r="60" spans="1:3" x14ac:dyDescent="0.3">
      <c r="A60" s="232" t="s">
        <v>74</v>
      </c>
      <c r="B60" s="293">
        <v>6</v>
      </c>
      <c r="C60" s="365">
        <v>11749717</v>
      </c>
    </row>
    <row r="61" spans="1:3" x14ac:dyDescent="0.3">
      <c r="A61" s="232" t="s">
        <v>52</v>
      </c>
      <c r="B61" s="293">
        <v>4</v>
      </c>
      <c r="C61" s="365">
        <v>3527302.98</v>
      </c>
    </row>
    <row r="62" spans="1:3" x14ac:dyDescent="0.3">
      <c r="A62" s="232" t="s">
        <v>42</v>
      </c>
      <c r="B62" s="293">
        <v>3</v>
      </c>
      <c r="C62" s="365">
        <v>1107903</v>
      </c>
    </row>
    <row r="63" spans="1:3" x14ac:dyDescent="0.3">
      <c r="A63" s="232" t="s">
        <v>32</v>
      </c>
      <c r="B63" s="293">
        <v>2</v>
      </c>
      <c r="C63" s="365">
        <v>502733.37</v>
      </c>
    </row>
    <row r="64" spans="1:3" x14ac:dyDescent="0.3">
      <c r="A64" s="232" t="s">
        <v>21</v>
      </c>
      <c r="B64" s="293">
        <v>1</v>
      </c>
      <c r="C64" s="365">
        <v>184427</v>
      </c>
    </row>
    <row r="65" spans="1:3" x14ac:dyDescent="0.3">
      <c r="A65" s="232" t="s">
        <v>78</v>
      </c>
      <c r="B65" s="293">
        <v>7</v>
      </c>
      <c r="C65" s="365">
        <v>13340285</v>
      </c>
    </row>
    <row r="66" spans="1:3" x14ac:dyDescent="0.3">
      <c r="A66" s="232" t="s">
        <v>43</v>
      </c>
      <c r="B66" s="293">
        <v>3</v>
      </c>
      <c r="C66" s="365">
        <v>707000</v>
      </c>
    </row>
    <row r="67" spans="1:3" x14ac:dyDescent="0.3">
      <c r="A67" s="232" t="s">
        <v>53</v>
      </c>
      <c r="B67" s="293">
        <v>4</v>
      </c>
      <c r="C67" s="365">
        <v>1708144</v>
      </c>
    </row>
    <row r="68" spans="1:3" x14ac:dyDescent="0.3">
      <c r="A68" s="232" t="s">
        <v>33</v>
      </c>
      <c r="B68" s="293">
        <v>2</v>
      </c>
      <c r="C68" s="365">
        <v>593246</v>
      </c>
    </row>
    <row r="69" spans="1:3" ht="10.5" customHeight="1" x14ac:dyDescent="0.3">
      <c r="B69" s="294"/>
      <c r="C69" s="295"/>
    </row>
    <row r="70" spans="1:3" ht="16.5" x14ac:dyDescent="0.3">
      <c r="A70" s="296" t="s">
        <v>219</v>
      </c>
      <c r="B70" s="297"/>
      <c r="C70" s="298">
        <f>SUM($C$2:$C$68)</f>
        <v>559801407.03000009</v>
      </c>
    </row>
    <row r="71" spans="1:3" x14ac:dyDescent="0.3">
      <c r="C71" s="300"/>
    </row>
    <row r="72" spans="1:3" x14ac:dyDescent="0.3">
      <c r="C72" s="385"/>
    </row>
    <row r="73" spans="1:3" x14ac:dyDescent="0.3">
      <c r="B73" s="299" t="s">
        <v>220</v>
      </c>
      <c r="C73" s="400">
        <v>590116470</v>
      </c>
    </row>
    <row r="74" spans="1:3" x14ac:dyDescent="0.3">
      <c r="C74" s="300">
        <f>C70-C73</f>
        <v>-30315062.969999909</v>
      </c>
    </row>
    <row r="75" spans="1:3" x14ac:dyDescent="0.3">
      <c r="C75" s="82">
        <f>-C74/C73</f>
        <v>5.1371321613850073E-2</v>
      </c>
    </row>
    <row r="77" spans="1:3" x14ac:dyDescent="0.3">
      <c r="B77" s="299" t="s">
        <v>254</v>
      </c>
      <c r="C77" s="400">
        <v>570857346</v>
      </c>
    </row>
    <row r="78" spans="1:3" x14ac:dyDescent="0.3">
      <c r="C78" s="300">
        <f>C70-C77</f>
        <v>-11055938.969999909</v>
      </c>
    </row>
    <row r="79" spans="1:3" x14ac:dyDescent="0.3">
      <c r="C79" s="82">
        <f>-C78/C77</f>
        <v>1.9367253566007207E-2</v>
      </c>
    </row>
    <row r="81" spans="1:3" ht="77.25" customHeight="1" x14ac:dyDescent="0.3">
      <c r="A81" s="490" t="s">
        <v>221</v>
      </c>
      <c r="B81" s="491"/>
      <c r="C81" s="492"/>
    </row>
  </sheetData>
  <autoFilter ref="A1:C1" xr:uid="{5918C03B-95D8-45D5-843A-E5317B803B90}"/>
  <mergeCells count="1">
    <mergeCell ref="A81:C8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05AD-9D62-438F-B389-821DAEEC3257}">
  <sheetPr>
    <pageSetUpPr fitToPage="1"/>
  </sheetPr>
  <dimension ref="A1:F78"/>
  <sheetViews>
    <sheetView zoomScale="140" zoomScaleNormal="140" zoomScalePageLayoutView="55" workbookViewId="0">
      <pane ySplit="2" topLeftCell="A3" activePane="bottomLeft" state="frozen"/>
      <selection pane="bottomLeft" activeCell="K68" sqref="K68"/>
    </sheetView>
  </sheetViews>
  <sheetFormatPr defaultColWidth="2.28515625" defaultRowHeight="13.5" x14ac:dyDescent="0.25"/>
  <cols>
    <col min="1" max="1" width="14" style="45" customWidth="1"/>
    <col min="2" max="2" width="6.28515625" style="45" customWidth="1"/>
    <col min="3" max="3" width="17.42578125" style="45" customWidth="1"/>
    <col min="4" max="4" width="17" style="217" customWidth="1"/>
    <col min="5" max="5" width="19.42578125" style="45" customWidth="1"/>
    <col min="6" max="6" width="10" style="282" customWidth="1"/>
    <col min="7" max="16384" width="2.28515625" style="45"/>
  </cols>
  <sheetData>
    <row r="1" spans="1:6" ht="14.25" hidden="1" thickBot="1" x14ac:dyDescent="0.3">
      <c r="A1" s="301" t="s">
        <v>210</v>
      </c>
      <c r="D1" s="302">
        <f>ROUND((C71*0.1),0)</f>
        <v>53247549</v>
      </c>
      <c r="E1" s="303">
        <v>0.1</v>
      </c>
    </row>
    <row r="2" spans="1:6" s="25" customFormat="1" ht="54.75" thickBot="1" x14ac:dyDescent="0.3">
      <c r="A2" s="16" t="s">
        <v>11</v>
      </c>
      <c r="B2" s="83" t="s">
        <v>12</v>
      </c>
      <c r="C2" s="201" t="s">
        <v>15</v>
      </c>
      <c r="D2" s="304" t="s">
        <v>223</v>
      </c>
      <c r="E2" s="305" t="s">
        <v>227</v>
      </c>
      <c r="F2" s="306" t="s">
        <v>224</v>
      </c>
    </row>
    <row r="3" spans="1:6" s="35" customFormat="1" x14ac:dyDescent="0.25">
      <c r="A3" s="86" t="s">
        <v>18</v>
      </c>
      <c r="B3" s="87">
        <v>1</v>
      </c>
      <c r="C3" s="307">
        <v>565939</v>
      </c>
      <c r="D3" s="308">
        <f t="shared" ref="D3:D65" si="0">-(C3*E$1)</f>
        <v>-56593.9</v>
      </c>
      <c r="E3" s="309">
        <f>C3+D3</f>
        <v>509345.1</v>
      </c>
      <c r="F3" s="310">
        <f>E3/C3-1</f>
        <v>-0.10000000000000009</v>
      </c>
    </row>
    <row r="4" spans="1:6" customFormat="1" ht="13.5" customHeight="1" x14ac:dyDescent="0.25">
      <c r="A4" s="86" t="s">
        <v>19</v>
      </c>
      <c r="B4" s="87">
        <v>1</v>
      </c>
      <c r="C4" s="311">
        <v>346312</v>
      </c>
      <c r="D4" s="312">
        <f t="shared" si="0"/>
        <v>-34631.200000000004</v>
      </c>
      <c r="E4" s="313">
        <f t="shared" ref="E4:E67" si="1">C4+D4</f>
        <v>311680.8</v>
      </c>
      <c r="F4" s="314">
        <f t="shared" ref="F4:F67" si="2">E4/C4-1</f>
        <v>-0.10000000000000009</v>
      </c>
    </row>
    <row r="5" spans="1:6" s="40" customFormat="1" x14ac:dyDescent="0.25">
      <c r="A5" s="86" t="s">
        <v>20</v>
      </c>
      <c r="B5" s="87">
        <v>1</v>
      </c>
      <c r="C5" s="311">
        <v>363332</v>
      </c>
      <c r="D5" s="312">
        <f t="shared" si="0"/>
        <v>-36333.200000000004</v>
      </c>
      <c r="E5" s="313">
        <f t="shared" si="1"/>
        <v>326998.8</v>
      </c>
      <c r="F5" s="314">
        <f t="shared" si="2"/>
        <v>-9.9999999999999978E-2</v>
      </c>
    </row>
    <row r="6" spans="1:6" s="35" customFormat="1" x14ac:dyDescent="0.25">
      <c r="A6" s="86" t="s">
        <v>21</v>
      </c>
      <c r="B6" s="87">
        <v>1</v>
      </c>
      <c r="C6" s="311">
        <v>561694</v>
      </c>
      <c r="D6" s="312">
        <f t="shared" si="0"/>
        <v>-56169.4</v>
      </c>
      <c r="E6" s="313">
        <f t="shared" si="1"/>
        <v>505524.6</v>
      </c>
      <c r="F6" s="314">
        <f t="shared" si="2"/>
        <v>-0.10000000000000009</v>
      </c>
    </row>
    <row r="7" spans="1:6" s="35" customFormat="1" x14ac:dyDescent="0.25">
      <c r="A7" s="86" t="s">
        <v>22</v>
      </c>
      <c r="B7" s="87">
        <v>2</v>
      </c>
      <c r="C7" s="311">
        <v>840473</v>
      </c>
      <c r="D7" s="312">
        <f t="shared" si="0"/>
        <v>-84047.3</v>
      </c>
      <c r="E7" s="313">
        <f t="shared" si="1"/>
        <v>756425.7</v>
      </c>
      <c r="F7" s="314">
        <f t="shared" si="2"/>
        <v>-0.10000000000000009</v>
      </c>
    </row>
    <row r="8" spans="1:6" s="35" customFormat="1" x14ac:dyDescent="0.25">
      <c r="A8" s="91" t="s">
        <v>23</v>
      </c>
      <c r="B8" s="92">
        <v>2</v>
      </c>
      <c r="C8" s="311">
        <v>516189</v>
      </c>
      <c r="D8" s="312">
        <f t="shared" si="0"/>
        <v>-51618.9</v>
      </c>
      <c r="E8" s="313">
        <f t="shared" si="1"/>
        <v>464570.1</v>
      </c>
      <c r="F8" s="314">
        <f t="shared" si="2"/>
        <v>-0.10000000000000009</v>
      </c>
    </row>
    <row r="9" spans="1:6" s="35" customFormat="1" x14ac:dyDescent="0.25">
      <c r="A9" s="86" t="s">
        <v>24</v>
      </c>
      <c r="B9" s="87">
        <v>2</v>
      </c>
      <c r="C9" s="311">
        <v>568423</v>
      </c>
      <c r="D9" s="312">
        <f t="shared" si="0"/>
        <v>-56842.3</v>
      </c>
      <c r="E9" s="313">
        <f t="shared" si="1"/>
        <v>511580.7</v>
      </c>
      <c r="F9" s="314">
        <f t="shared" si="2"/>
        <v>-9.9999999999999978E-2</v>
      </c>
    </row>
    <row r="10" spans="1:6" s="35" customFormat="1" x14ac:dyDescent="0.25">
      <c r="A10" s="86" t="s">
        <v>25</v>
      </c>
      <c r="B10" s="87">
        <v>2</v>
      </c>
      <c r="C10" s="311">
        <v>736345</v>
      </c>
      <c r="D10" s="312">
        <f t="shared" si="0"/>
        <v>-73634.5</v>
      </c>
      <c r="E10" s="313">
        <f t="shared" si="1"/>
        <v>662710.5</v>
      </c>
      <c r="F10" s="314">
        <f t="shared" si="2"/>
        <v>-9.9999999999999978E-2</v>
      </c>
    </row>
    <row r="11" spans="1:6" s="35" customFormat="1" x14ac:dyDescent="0.25">
      <c r="A11" s="86" t="s">
        <v>26</v>
      </c>
      <c r="B11" s="87">
        <v>2</v>
      </c>
      <c r="C11" s="311">
        <v>633503</v>
      </c>
      <c r="D11" s="312">
        <f t="shared" si="0"/>
        <v>-63350.3</v>
      </c>
      <c r="E11" s="313">
        <f t="shared" si="1"/>
        <v>570152.69999999995</v>
      </c>
      <c r="F11" s="314">
        <f t="shared" si="2"/>
        <v>-0.10000000000000009</v>
      </c>
    </row>
    <row r="12" spans="1:6" s="35" customFormat="1" x14ac:dyDescent="0.25">
      <c r="A12" s="86" t="s">
        <v>27</v>
      </c>
      <c r="B12" s="87">
        <v>2</v>
      </c>
      <c r="C12" s="311">
        <v>646188</v>
      </c>
      <c r="D12" s="312">
        <f t="shared" si="0"/>
        <v>-64618.8</v>
      </c>
      <c r="E12" s="313">
        <f t="shared" si="1"/>
        <v>581569.19999999995</v>
      </c>
      <c r="F12" s="314">
        <f t="shared" si="2"/>
        <v>-0.10000000000000009</v>
      </c>
    </row>
    <row r="13" spans="1:6" s="35" customFormat="1" ht="12.75" customHeight="1" x14ac:dyDescent="0.25">
      <c r="A13" s="86" t="s">
        <v>28</v>
      </c>
      <c r="B13" s="87">
        <v>2</v>
      </c>
      <c r="C13" s="311">
        <v>676981</v>
      </c>
      <c r="D13" s="312">
        <f t="shared" si="0"/>
        <v>-67698.100000000006</v>
      </c>
      <c r="E13" s="313">
        <f t="shared" si="1"/>
        <v>609282.9</v>
      </c>
      <c r="F13" s="314">
        <f t="shared" si="2"/>
        <v>-9.9999999999999978E-2</v>
      </c>
    </row>
    <row r="14" spans="1:6" s="35" customFormat="1" x14ac:dyDescent="0.25">
      <c r="A14" s="86" t="s">
        <v>29</v>
      </c>
      <c r="B14" s="87">
        <v>2</v>
      </c>
      <c r="C14" s="311">
        <v>1034691</v>
      </c>
      <c r="D14" s="312">
        <f t="shared" si="0"/>
        <v>-103469.1</v>
      </c>
      <c r="E14" s="313">
        <f t="shared" si="1"/>
        <v>931221.9</v>
      </c>
      <c r="F14" s="314">
        <f t="shared" si="2"/>
        <v>-9.9999999999999978E-2</v>
      </c>
    </row>
    <row r="15" spans="1:6" s="35" customFormat="1" x14ac:dyDescent="0.25">
      <c r="A15" s="86" t="s">
        <v>30</v>
      </c>
      <c r="B15" s="87">
        <v>2</v>
      </c>
      <c r="C15" s="311">
        <v>678285</v>
      </c>
      <c r="D15" s="312">
        <f t="shared" si="0"/>
        <v>-67828.5</v>
      </c>
      <c r="E15" s="313">
        <f t="shared" si="1"/>
        <v>610456.5</v>
      </c>
      <c r="F15" s="314">
        <f t="shared" si="2"/>
        <v>-9.9999999999999978E-2</v>
      </c>
    </row>
    <row r="16" spans="1:6" s="35" customFormat="1" x14ac:dyDescent="0.25">
      <c r="A16" s="86" t="s">
        <v>31</v>
      </c>
      <c r="B16" s="87">
        <v>2</v>
      </c>
      <c r="C16" s="311">
        <v>573155</v>
      </c>
      <c r="D16" s="312">
        <f t="shared" si="0"/>
        <v>-57315.5</v>
      </c>
      <c r="E16" s="313">
        <f t="shared" si="1"/>
        <v>515839.5</v>
      </c>
      <c r="F16" s="314">
        <f t="shared" si="2"/>
        <v>-9.9999999999999978E-2</v>
      </c>
    </row>
    <row r="17" spans="1:6" s="35" customFormat="1" x14ac:dyDescent="0.25">
      <c r="A17" s="86" t="s">
        <v>32</v>
      </c>
      <c r="B17" s="87">
        <v>2</v>
      </c>
      <c r="C17" s="311">
        <v>659085</v>
      </c>
      <c r="D17" s="312">
        <f t="shared" si="0"/>
        <v>-65908.5</v>
      </c>
      <c r="E17" s="313">
        <f t="shared" si="1"/>
        <v>593176.5</v>
      </c>
      <c r="F17" s="314">
        <f t="shared" si="2"/>
        <v>-9.9999999999999978E-2</v>
      </c>
    </row>
    <row r="18" spans="1:6" s="35" customFormat="1" x14ac:dyDescent="0.25">
      <c r="A18" s="86" t="s">
        <v>33</v>
      </c>
      <c r="B18" s="87">
        <v>2</v>
      </c>
      <c r="C18" s="311">
        <v>910424</v>
      </c>
      <c r="D18" s="312">
        <f t="shared" si="0"/>
        <v>-91042.400000000009</v>
      </c>
      <c r="E18" s="313">
        <f t="shared" si="1"/>
        <v>819381.6</v>
      </c>
      <c r="F18" s="314">
        <f t="shared" si="2"/>
        <v>-9.9999999999999978E-2</v>
      </c>
    </row>
    <row r="19" spans="1:6" s="35" customFormat="1" x14ac:dyDescent="0.25">
      <c r="A19" s="86" t="s">
        <v>34</v>
      </c>
      <c r="B19" s="87">
        <v>3</v>
      </c>
      <c r="C19" s="311">
        <v>1029812</v>
      </c>
      <c r="D19" s="312">
        <f t="shared" si="0"/>
        <v>-102981.20000000001</v>
      </c>
      <c r="E19" s="313">
        <f t="shared" si="1"/>
        <v>926830.8</v>
      </c>
      <c r="F19" s="314">
        <f t="shared" si="2"/>
        <v>-9.9999999999999978E-2</v>
      </c>
    </row>
    <row r="20" spans="1:6" s="35" customFormat="1" x14ac:dyDescent="0.25">
      <c r="A20" s="86" t="s">
        <v>35</v>
      </c>
      <c r="B20" s="87">
        <v>3</v>
      </c>
      <c r="C20" s="311">
        <v>954824</v>
      </c>
      <c r="D20" s="312">
        <f t="shared" si="0"/>
        <v>-95482.400000000009</v>
      </c>
      <c r="E20" s="313">
        <f t="shared" si="1"/>
        <v>859341.6</v>
      </c>
      <c r="F20" s="314">
        <f t="shared" si="2"/>
        <v>-9.9999999999999978E-2</v>
      </c>
    </row>
    <row r="21" spans="1:6" s="35" customFormat="1" x14ac:dyDescent="0.25">
      <c r="A21" s="86" t="s">
        <v>36</v>
      </c>
      <c r="B21" s="87">
        <v>3</v>
      </c>
      <c r="C21" s="311">
        <v>1542546</v>
      </c>
      <c r="D21" s="312">
        <f t="shared" si="0"/>
        <v>-154254.6</v>
      </c>
      <c r="E21" s="313">
        <f t="shared" si="1"/>
        <v>1388291.4</v>
      </c>
      <c r="F21" s="314">
        <f t="shared" si="2"/>
        <v>-0.10000000000000009</v>
      </c>
    </row>
    <row r="22" spans="1:6" s="35" customFormat="1" x14ac:dyDescent="0.25">
      <c r="A22" s="86" t="s">
        <v>37</v>
      </c>
      <c r="B22" s="87">
        <v>3</v>
      </c>
      <c r="C22" s="311">
        <v>1457809</v>
      </c>
      <c r="D22" s="312">
        <f t="shared" si="0"/>
        <v>-145780.9</v>
      </c>
      <c r="E22" s="313">
        <f t="shared" si="1"/>
        <v>1312028.1000000001</v>
      </c>
      <c r="F22" s="314">
        <f t="shared" si="2"/>
        <v>-9.9999999999999978E-2</v>
      </c>
    </row>
    <row r="23" spans="1:6" s="35" customFormat="1" x14ac:dyDescent="0.25">
      <c r="A23" s="86" t="s">
        <v>38</v>
      </c>
      <c r="B23" s="87">
        <v>3</v>
      </c>
      <c r="C23" s="311">
        <v>1271930</v>
      </c>
      <c r="D23" s="312">
        <f t="shared" si="0"/>
        <v>-127193</v>
      </c>
      <c r="E23" s="313">
        <f t="shared" si="1"/>
        <v>1144737</v>
      </c>
      <c r="F23" s="314">
        <f t="shared" si="2"/>
        <v>-9.9999999999999978E-2</v>
      </c>
    </row>
    <row r="24" spans="1:6" s="35" customFormat="1" x14ac:dyDescent="0.25">
      <c r="A24" s="86" t="s">
        <v>39</v>
      </c>
      <c r="B24" s="87">
        <v>3</v>
      </c>
      <c r="C24" s="311">
        <v>1339404</v>
      </c>
      <c r="D24" s="312">
        <f t="shared" si="0"/>
        <v>-133940.4</v>
      </c>
      <c r="E24" s="313">
        <f t="shared" si="1"/>
        <v>1205463.6000000001</v>
      </c>
      <c r="F24" s="314">
        <f t="shared" si="2"/>
        <v>-9.9999999999999978E-2</v>
      </c>
    </row>
    <row r="25" spans="1:6" s="35" customFormat="1" x14ac:dyDescent="0.25">
      <c r="A25" s="86" t="s">
        <v>40</v>
      </c>
      <c r="B25" s="87">
        <v>3</v>
      </c>
      <c r="C25" s="311">
        <v>661706</v>
      </c>
      <c r="D25" s="312">
        <f t="shared" si="0"/>
        <v>-66170.600000000006</v>
      </c>
      <c r="E25" s="313">
        <f t="shared" si="1"/>
        <v>595535.4</v>
      </c>
      <c r="F25" s="314">
        <f t="shared" si="2"/>
        <v>-9.9999999999999978E-2</v>
      </c>
    </row>
    <row r="26" spans="1:6" s="35" customFormat="1" x14ac:dyDescent="0.25">
      <c r="A26" s="86" t="s">
        <v>41</v>
      </c>
      <c r="B26" s="87">
        <v>3</v>
      </c>
      <c r="C26" s="311">
        <v>1496990</v>
      </c>
      <c r="D26" s="312">
        <f t="shared" si="0"/>
        <v>-149699</v>
      </c>
      <c r="E26" s="313">
        <f t="shared" si="1"/>
        <v>1347291</v>
      </c>
      <c r="F26" s="314">
        <f t="shared" si="2"/>
        <v>-9.9999999999999978E-2</v>
      </c>
    </row>
    <row r="27" spans="1:6" s="35" customFormat="1" x14ac:dyDescent="0.25">
      <c r="A27" s="86" t="s">
        <v>42</v>
      </c>
      <c r="B27" s="87">
        <v>3</v>
      </c>
      <c r="C27" s="311">
        <v>1361986</v>
      </c>
      <c r="D27" s="312">
        <f t="shared" si="0"/>
        <v>-136198.6</v>
      </c>
      <c r="E27" s="313">
        <f t="shared" si="1"/>
        <v>1225787.3999999999</v>
      </c>
      <c r="F27" s="314">
        <f t="shared" si="2"/>
        <v>-0.10000000000000009</v>
      </c>
    </row>
    <row r="28" spans="1:6" s="35" customFormat="1" x14ac:dyDescent="0.25">
      <c r="A28" s="86" t="s">
        <v>43</v>
      </c>
      <c r="B28" s="87">
        <v>3</v>
      </c>
      <c r="C28" s="311">
        <v>816610</v>
      </c>
      <c r="D28" s="312">
        <f t="shared" si="0"/>
        <v>-81661</v>
      </c>
      <c r="E28" s="313">
        <f t="shared" si="1"/>
        <v>734949</v>
      </c>
      <c r="F28" s="314">
        <f t="shared" si="2"/>
        <v>-9.9999999999999978E-2</v>
      </c>
    </row>
    <row r="29" spans="1:6" s="35" customFormat="1" x14ac:dyDescent="0.25">
      <c r="A29" s="86" t="s">
        <v>44</v>
      </c>
      <c r="B29" s="87">
        <v>4</v>
      </c>
      <c r="C29" s="311">
        <v>3628527</v>
      </c>
      <c r="D29" s="312">
        <f t="shared" si="0"/>
        <v>-362852.7</v>
      </c>
      <c r="E29" s="313">
        <f t="shared" si="1"/>
        <v>3265674.3</v>
      </c>
      <c r="F29" s="314">
        <f t="shared" si="2"/>
        <v>-0.10000000000000009</v>
      </c>
    </row>
    <row r="30" spans="1:6" s="35" customFormat="1" x14ac:dyDescent="0.25">
      <c r="A30" s="86" t="s">
        <v>45</v>
      </c>
      <c r="B30" s="87">
        <v>4</v>
      </c>
      <c r="C30" s="311">
        <v>1879038</v>
      </c>
      <c r="D30" s="312">
        <f t="shared" si="0"/>
        <v>-187903.80000000002</v>
      </c>
      <c r="E30" s="313">
        <f t="shared" si="1"/>
        <v>1691134.2</v>
      </c>
      <c r="F30" s="314">
        <f t="shared" si="2"/>
        <v>-9.9999999999999978E-2</v>
      </c>
    </row>
    <row r="31" spans="1:6" s="35" customFormat="1" x14ac:dyDescent="0.25">
      <c r="A31" s="86" t="s">
        <v>46</v>
      </c>
      <c r="B31" s="87">
        <v>4</v>
      </c>
      <c r="C31" s="311">
        <v>2180671</v>
      </c>
      <c r="D31" s="312">
        <f t="shared" si="0"/>
        <v>-218067.1</v>
      </c>
      <c r="E31" s="313">
        <f t="shared" si="1"/>
        <v>1962603.9</v>
      </c>
      <c r="F31" s="314">
        <f t="shared" si="2"/>
        <v>-0.10000000000000009</v>
      </c>
    </row>
    <row r="32" spans="1:6" s="35" customFormat="1" x14ac:dyDescent="0.25">
      <c r="A32" s="86" t="s">
        <v>47</v>
      </c>
      <c r="B32" s="87">
        <v>4</v>
      </c>
      <c r="C32" s="311">
        <v>2322128</v>
      </c>
      <c r="D32" s="312">
        <f t="shared" si="0"/>
        <v>-232212.80000000002</v>
      </c>
      <c r="E32" s="313">
        <f t="shared" si="1"/>
        <v>2089915.2</v>
      </c>
      <c r="F32" s="314">
        <f t="shared" si="2"/>
        <v>-9.9999999999999978E-2</v>
      </c>
    </row>
    <row r="33" spans="1:6" s="35" customFormat="1" x14ac:dyDescent="0.25">
      <c r="A33" s="86" t="s">
        <v>48</v>
      </c>
      <c r="B33" s="87">
        <v>4</v>
      </c>
      <c r="C33" s="311">
        <v>3355013</v>
      </c>
      <c r="D33" s="312">
        <f t="shared" si="0"/>
        <v>-335501.30000000005</v>
      </c>
      <c r="E33" s="313">
        <f t="shared" si="1"/>
        <v>3019511.7</v>
      </c>
      <c r="F33" s="314">
        <f t="shared" si="2"/>
        <v>-9.9999999999999978E-2</v>
      </c>
    </row>
    <row r="34" spans="1:6" s="35" customFormat="1" x14ac:dyDescent="0.25">
      <c r="A34" s="86" t="s">
        <v>49</v>
      </c>
      <c r="B34" s="87">
        <v>4</v>
      </c>
      <c r="C34" s="311">
        <v>4079800</v>
      </c>
      <c r="D34" s="312">
        <f t="shared" si="0"/>
        <v>-407980</v>
      </c>
      <c r="E34" s="313">
        <f t="shared" si="1"/>
        <v>3671820</v>
      </c>
      <c r="F34" s="314">
        <f t="shared" si="2"/>
        <v>-9.9999999999999978E-2</v>
      </c>
    </row>
    <row r="35" spans="1:6" s="35" customFormat="1" x14ac:dyDescent="0.25">
      <c r="A35" s="86" t="s">
        <v>50</v>
      </c>
      <c r="B35" s="87">
        <v>4</v>
      </c>
      <c r="C35" s="311">
        <v>1935030</v>
      </c>
      <c r="D35" s="312">
        <f t="shared" si="0"/>
        <v>-193503</v>
      </c>
      <c r="E35" s="313">
        <f t="shared" si="1"/>
        <v>1741527</v>
      </c>
      <c r="F35" s="314">
        <f t="shared" si="2"/>
        <v>-9.9999999999999978E-2</v>
      </c>
    </row>
    <row r="36" spans="1:6" s="35" customFormat="1" x14ac:dyDescent="0.25">
      <c r="A36" s="86" t="s">
        <v>51</v>
      </c>
      <c r="B36" s="87">
        <v>4</v>
      </c>
      <c r="C36" s="311">
        <v>2502316</v>
      </c>
      <c r="D36" s="312">
        <f t="shared" si="0"/>
        <v>-250231.6</v>
      </c>
      <c r="E36" s="313">
        <f t="shared" si="1"/>
        <v>2252084.4</v>
      </c>
      <c r="F36" s="314">
        <f t="shared" si="2"/>
        <v>-0.10000000000000009</v>
      </c>
    </row>
    <row r="37" spans="1:6" s="35" customFormat="1" x14ac:dyDescent="0.25">
      <c r="A37" s="86" t="s">
        <v>52</v>
      </c>
      <c r="B37" s="87">
        <v>4</v>
      </c>
      <c r="C37" s="311">
        <v>2418708</v>
      </c>
      <c r="D37" s="312">
        <f t="shared" si="0"/>
        <v>-241870.80000000002</v>
      </c>
      <c r="E37" s="313">
        <f t="shared" si="1"/>
        <v>2176837.2000000002</v>
      </c>
      <c r="F37" s="314">
        <f t="shared" si="2"/>
        <v>-9.9999999999999978E-2</v>
      </c>
    </row>
    <row r="38" spans="1:6" s="35" customFormat="1" x14ac:dyDescent="0.25">
      <c r="A38" s="86" t="s">
        <v>53</v>
      </c>
      <c r="B38" s="87">
        <v>4</v>
      </c>
      <c r="C38" s="311">
        <v>2068328</v>
      </c>
      <c r="D38" s="312">
        <f t="shared" si="0"/>
        <v>-206832.80000000002</v>
      </c>
      <c r="E38" s="313">
        <f t="shared" si="1"/>
        <v>1861495.2</v>
      </c>
      <c r="F38" s="314">
        <f t="shared" si="2"/>
        <v>-9.9999999999999978E-2</v>
      </c>
    </row>
    <row r="39" spans="1:6" s="35" customFormat="1" x14ac:dyDescent="0.25">
      <c r="A39" s="86" t="s">
        <v>54</v>
      </c>
      <c r="B39" s="87">
        <v>5</v>
      </c>
      <c r="C39" s="311">
        <v>6791555</v>
      </c>
      <c r="D39" s="312">
        <f t="shared" si="0"/>
        <v>-679155.5</v>
      </c>
      <c r="E39" s="313">
        <f t="shared" si="1"/>
        <v>6112399.5</v>
      </c>
      <c r="F39" s="314">
        <f t="shared" si="2"/>
        <v>-9.9999999999999978E-2</v>
      </c>
    </row>
    <row r="40" spans="1:6" s="35" customFormat="1" x14ac:dyDescent="0.25">
      <c r="A40" s="86" t="s">
        <v>55</v>
      </c>
      <c r="B40" s="87">
        <v>5</v>
      </c>
      <c r="C40" s="311">
        <v>4823923</v>
      </c>
      <c r="D40" s="312">
        <f t="shared" si="0"/>
        <v>-482392.30000000005</v>
      </c>
      <c r="E40" s="313">
        <f t="shared" si="1"/>
        <v>4341530.7</v>
      </c>
      <c r="F40" s="314">
        <f t="shared" si="2"/>
        <v>-9.9999999999999978E-2</v>
      </c>
    </row>
    <row r="41" spans="1:6" s="35" customFormat="1" x14ac:dyDescent="0.25">
      <c r="A41" s="86" t="s">
        <v>56</v>
      </c>
      <c r="B41" s="87">
        <v>5</v>
      </c>
      <c r="C41" s="311">
        <v>4276406</v>
      </c>
      <c r="D41" s="312">
        <f t="shared" si="0"/>
        <v>-427640.60000000003</v>
      </c>
      <c r="E41" s="313">
        <f t="shared" si="1"/>
        <v>3848765.4</v>
      </c>
      <c r="F41" s="314">
        <f t="shared" si="2"/>
        <v>-9.9999999999999978E-2</v>
      </c>
    </row>
    <row r="42" spans="1:6" s="35" customFormat="1" x14ac:dyDescent="0.25">
      <c r="A42" s="86" t="s">
        <v>57</v>
      </c>
      <c r="B42" s="87">
        <v>5</v>
      </c>
      <c r="C42" s="311">
        <v>4512090</v>
      </c>
      <c r="D42" s="312">
        <f t="shared" si="0"/>
        <v>-451209</v>
      </c>
      <c r="E42" s="313">
        <f t="shared" si="1"/>
        <v>4060881</v>
      </c>
      <c r="F42" s="314">
        <f t="shared" si="2"/>
        <v>-9.9999999999999978E-2</v>
      </c>
    </row>
    <row r="43" spans="1:6" s="35" customFormat="1" x14ac:dyDescent="0.25">
      <c r="A43" s="86" t="s">
        <v>58</v>
      </c>
      <c r="B43" s="87">
        <v>5</v>
      </c>
      <c r="C43" s="311">
        <v>7608908</v>
      </c>
      <c r="D43" s="312">
        <f t="shared" si="0"/>
        <v>-760890.8</v>
      </c>
      <c r="E43" s="313">
        <f t="shared" si="1"/>
        <v>6848017.2000000002</v>
      </c>
      <c r="F43" s="314">
        <f t="shared" si="2"/>
        <v>-9.9999999999999978E-2</v>
      </c>
    </row>
    <row r="44" spans="1:6" s="35" customFormat="1" x14ac:dyDescent="0.25">
      <c r="A44" s="86" t="s">
        <v>59</v>
      </c>
      <c r="B44" s="87">
        <v>5</v>
      </c>
      <c r="C44" s="311">
        <v>4159167</v>
      </c>
      <c r="D44" s="312">
        <f t="shared" si="0"/>
        <v>-415916.7</v>
      </c>
      <c r="E44" s="313">
        <f t="shared" si="1"/>
        <v>3743250.3</v>
      </c>
      <c r="F44" s="314">
        <f t="shared" si="2"/>
        <v>-0.10000000000000009</v>
      </c>
    </row>
    <row r="45" spans="1:6" s="35" customFormat="1" x14ac:dyDescent="0.25">
      <c r="A45" s="86" t="s">
        <v>60</v>
      </c>
      <c r="B45" s="87">
        <v>5</v>
      </c>
      <c r="C45" s="311">
        <v>7509805</v>
      </c>
      <c r="D45" s="312">
        <f t="shared" si="0"/>
        <v>-750980.5</v>
      </c>
      <c r="E45" s="313">
        <f t="shared" si="1"/>
        <v>6758824.5</v>
      </c>
      <c r="F45" s="314">
        <f t="shared" si="2"/>
        <v>-9.9999999999999978E-2</v>
      </c>
    </row>
    <row r="46" spans="1:6" s="35" customFormat="1" x14ac:dyDescent="0.25">
      <c r="A46" s="86" t="s">
        <v>61</v>
      </c>
      <c r="B46" s="87">
        <v>5</v>
      </c>
      <c r="C46" s="311">
        <v>6999941</v>
      </c>
      <c r="D46" s="312">
        <f t="shared" si="0"/>
        <v>-699994.10000000009</v>
      </c>
      <c r="E46" s="313">
        <f t="shared" si="1"/>
        <v>6299946.9000000004</v>
      </c>
      <c r="F46" s="314">
        <f t="shared" si="2"/>
        <v>-9.9999999999999978E-2</v>
      </c>
    </row>
    <row r="47" spans="1:6" s="35" customFormat="1" x14ac:dyDescent="0.25">
      <c r="A47" s="86" t="s">
        <v>62</v>
      </c>
      <c r="B47" s="87">
        <v>5</v>
      </c>
      <c r="C47" s="311">
        <v>7923446</v>
      </c>
      <c r="D47" s="312">
        <f t="shared" si="0"/>
        <v>-792344.60000000009</v>
      </c>
      <c r="E47" s="313">
        <f t="shared" si="1"/>
        <v>7131101.4000000004</v>
      </c>
      <c r="F47" s="314">
        <f t="shared" si="2"/>
        <v>-9.9999999999999978E-2</v>
      </c>
    </row>
    <row r="48" spans="1:6" s="35" customFormat="1" x14ac:dyDescent="0.25">
      <c r="A48" s="86" t="s">
        <v>63</v>
      </c>
      <c r="B48" s="87">
        <v>5</v>
      </c>
      <c r="C48" s="311">
        <v>4198761</v>
      </c>
      <c r="D48" s="312">
        <f t="shared" si="0"/>
        <v>-419876.10000000003</v>
      </c>
      <c r="E48" s="313">
        <f t="shared" si="1"/>
        <v>3778884.9</v>
      </c>
      <c r="F48" s="314">
        <f t="shared" si="2"/>
        <v>-9.9999999999999978E-2</v>
      </c>
    </row>
    <row r="49" spans="1:6" s="35" customFormat="1" x14ac:dyDescent="0.25">
      <c r="A49" s="86" t="s">
        <v>64</v>
      </c>
      <c r="B49" s="87">
        <v>5</v>
      </c>
      <c r="C49" s="311">
        <v>4355551</v>
      </c>
      <c r="D49" s="312">
        <f t="shared" si="0"/>
        <v>-435555.10000000003</v>
      </c>
      <c r="E49" s="313">
        <f t="shared" si="1"/>
        <v>3919995.9</v>
      </c>
      <c r="F49" s="314">
        <f t="shared" si="2"/>
        <v>-9.9999999999999978E-2</v>
      </c>
    </row>
    <row r="50" spans="1:6" s="35" customFormat="1" x14ac:dyDescent="0.25">
      <c r="A50" s="86" t="s">
        <v>65</v>
      </c>
      <c r="B50" s="87">
        <v>5</v>
      </c>
      <c r="C50" s="311">
        <v>4433455</v>
      </c>
      <c r="D50" s="312">
        <f t="shared" si="0"/>
        <v>-443345.5</v>
      </c>
      <c r="E50" s="313">
        <f t="shared" si="1"/>
        <v>3990109.5</v>
      </c>
      <c r="F50" s="314">
        <f t="shared" si="2"/>
        <v>-9.9999999999999978E-2</v>
      </c>
    </row>
    <row r="51" spans="1:6" s="35" customFormat="1" x14ac:dyDescent="0.25">
      <c r="A51" s="86" t="s">
        <v>66</v>
      </c>
      <c r="B51" s="87">
        <v>5</v>
      </c>
      <c r="C51" s="311">
        <v>7932423</v>
      </c>
      <c r="D51" s="312">
        <f t="shared" si="0"/>
        <v>-793242.3</v>
      </c>
      <c r="E51" s="313">
        <f t="shared" si="1"/>
        <v>7139180.7000000002</v>
      </c>
      <c r="F51" s="314">
        <f t="shared" si="2"/>
        <v>-9.9999999999999978E-2</v>
      </c>
    </row>
    <row r="52" spans="1:6" s="35" customFormat="1" x14ac:dyDescent="0.25">
      <c r="A52" s="86" t="s">
        <v>67</v>
      </c>
      <c r="B52" s="87">
        <v>5</v>
      </c>
      <c r="C52" s="311">
        <v>3982626</v>
      </c>
      <c r="D52" s="312">
        <f t="shared" si="0"/>
        <v>-398262.60000000003</v>
      </c>
      <c r="E52" s="313">
        <f t="shared" si="1"/>
        <v>3584363.4</v>
      </c>
      <c r="F52" s="314">
        <f t="shared" si="2"/>
        <v>-9.9999999999999978E-2</v>
      </c>
    </row>
    <row r="53" spans="1:6" s="35" customFormat="1" x14ac:dyDescent="0.25">
      <c r="A53" s="86" t="s">
        <v>68</v>
      </c>
      <c r="B53" s="87">
        <v>6</v>
      </c>
      <c r="C53" s="311">
        <v>13274032</v>
      </c>
      <c r="D53" s="312">
        <f t="shared" si="0"/>
        <v>-1327403.2000000002</v>
      </c>
      <c r="E53" s="313">
        <f t="shared" si="1"/>
        <v>11946628.800000001</v>
      </c>
      <c r="F53" s="314">
        <f t="shared" si="2"/>
        <v>-9.9999999999999978E-2</v>
      </c>
    </row>
    <row r="54" spans="1:6" s="35" customFormat="1" x14ac:dyDescent="0.25">
      <c r="A54" s="86" t="s">
        <v>69</v>
      </c>
      <c r="B54" s="87">
        <v>6</v>
      </c>
      <c r="C54" s="311">
        <v>8076991</v>
      </c>
      <c r="D54" s="312">
        <f t="shared" si="0"/>
        <v>-807699.10000000009</v>
      </c>
      <c r="E54" s="313">
        <f t="shared" si="1"/>
        <v>7269291.9000000004</v>
      </c>
      <c r="F54" s="314">
        <f t="shared" si="2"/>
        <v>-9.9999999999999978E-2</v>
      </c>
    </row>
    <row r="55" spans="1:6" s="35" customFormat="1" x14ac:dyDescent="0.25">
      <c r="A55" s="86" t="s">
        <v>70</v>
      </c>
      <c r="B55" s="87">
        <v>6</v>
      </c>
      <c r="C55" s="311">
        <v>7188994</v>
      </c>
      <c r="D55" s="312">
        <f t="shared" si="0"/>
        <v>-718899.4</v>
      </c>
      <c r="E55" s="313">
        <f t="shared" si="1"/>
        <v>6470094.5999999996</v>
      </c>
      <c r="F55" s="314">
        <f t="shared" si="2"/>
        <v>-0.10000000000000009</v>
      </c>
    </row>
    <row r="56" spans="1:6" s="35" customFormat="1" x14ac:dyDescent="0.25">
      <c r="A56" s="86" t="s">
        <v>71</v>
      </c>
      <c r="B56" s="87">
        <v>6</v>
      </c>
      <c r="C56" s="311">
        <v>9255958</v>
      </c>
      <c r="D56" s="312">
        <f t="shared" si="0"/>
        <v>-925595.8</v>
      </c>
      <c r="E56" s="313">
        <f t="shared" si="1"/>
        <v>8330362.2000000002</v>
      </c>
      <c r="F56" s="314">
        <f t="shared" si="2"/>
        <v>-9.9999999999999978E-2</v>
      </c>
    </row>
    <row r="57" spans="1:6" s="35" customFormat="1" x14ac:dyDescent="0.25">
      <c r="A57" s="86" t="s">
        <v>72</v>
      </c>
      <c r="B57" s="87">
        <v>6</v>
      </c>
      <c r="C57" s="311">
        <v>13494505</v>
      </c>
      <c r="D57" s="312">
        <f t="shared" si="0"/>
        <v>-1349450.5</v>
      </c>
      <c r="E57" s="313">
        <f t="shared" si="1"/>
        <v>12145054.5</v>
      </c>
      <c r="F57" s="314">
        <f t="shared" si="2"/>
        <v>-9.9999999999999978E-2</v>
      </c>
    </row>
    <row r="58" spans="1:6" s="35" customFormat="1" x14ac:dyDescent="0.25">
      <c r="A58" s="86" t="s">
        <v>73</v>
      </c>
      <c r="B58" s="87">
        <v>6</v>
      </c>
      <c r="C58" s="311">
        <v>9701073</v>
      </c>
      <c r="D58" s="312">
        <f t="shared" si="0"/>
        <v>-970107.3</v>
      </c>
      <c r="E58" s="313">
        <f t="shared" si="1"/>
        <v>8730965.6999999993</v>
      </c>
      <c r="F58" s="314">
        <f t="shared" si="2"/>
        <v>-0.10000000000000009</v>
      </c>
    </row>
    <row r="59" spans="1:6" s="35" customFormat="1" x14ac:dyDescent="0.25">
      <c r="A59" s="86" t="s">
        <v>74</v>
      </c>
      <c r="B59" s="87">
        <v>6</v>
      </c>
      <c r="C59" s="311">
        <v>10400514</v>
      </c>
      <c r="D59" s="312">
        <f t="shared" si="0"/>
        <v>-1040051.4</v>
      </c>
      <c r="E59" s="313">
        <f t="shared" si="1"/>
        <v>9360462.5999999996</v>
      </c>
      <c r="F59" s="314">
        <f t="shared" si="2"/>
        <v>-0.10000000000000009</v>
      </c>
    </row>
    <row r="60" spans="1:6" s="35" customFormat="1" x14ac:dyDescent="0.25">
      <c r="A60" s="86" t="s">
        <v>75</v>
      </c>
      <c r="B60" s="87">
        <v>7</v>
      </c>
      <c r="C60" s="311">
        <v>14097366</v>
      </c>
      <c r="D60" s="312">
        <f t="shared" si="0"/>
        <v>-1409736.6</v>
      </c>
      <c r="E60" s="313">
        <f t="shared" si="1"/>
        <v>12687629.4</v>
      </c>
      <c r="F60" s="314">
        <f t="shared" si="2"/>
        <v>-9.9999999999999978E-2</v>
      </c>
    </row>
    <row r="61" spans="1:6" s="35" customFormat="1" x14ac:dyDescent="0.25">
      <c r="A61" s="86" t="s">
        <v>76</v>
      </c>
      <c r="B61" s="87">
        <v>7</v>
      </c>
      <c r="C61" s="311">
        <v>26391476</v>
      </c>
      <c r="D61" s="312">
        <f t="shared" si="0"/>
        <v>-2639147.6</v>
      </c>
      <c r="E61" s="313">
        <f t="shared" si="1"/>
        <v>23752328.399999999</v>
      </c>
      <c r="F61" s="314">
        <f t="shared" si="2"/>
        <v>-0.10000000000000009</v>
      </c>
    </row>
    <row r="62" spans="1:6" s="35" customFormat="1" x14ac:dyDescent="0.25">
      <c r="A62" s="86" t="s">
        <v>77</v>
      </c>
      <c r="B62" s="87">
        <v>7</v>
      </c>
      <c r="C62" s="311">
        <v>15326014</v>
      </c>
      <c r="D62" s="312">
        <f t="shared" si="0"/>
        <v>-1532601.4000000001</v>
      </c>
      <c r="E62" s="313">
        <f t="shared" si="1"/>
        <v>13793412.6</v>
      </c>
      <c r="F62" s="314">
        <f t="shared" si="2"/>
        <v>-9.9999999999999978E-2</v>
      </c>
    </row>
    <row r="63" spans="1:6" s="35" customFormat="1" x14ac:dyDescent="0.25">
      <c r="A63" s="86" t="s">
        <v>78</v>
      </c>
      <c r="B63" s="87">
        <v>7</v>
      </c>
      <c r="C63" s="311">
        <v>14040535</v>
      </c>
      <c r="D63" s="312">
        <f t="shared" si="0"/>
        <v>-1404053.5</v>
      </c>
      <c r="E63" s="313">
        <f t="shared" si="1"/>
        <v>12636481.5</v>
      </c>
      <c r="F63" s="314">
        <f t="shared" si="2"/>
        <v>-9.9999999999999978E-2</v>
      </c>
    </row>
    <row r="64" spans="1:6" s="35" customFormat="1" x14ac:dyDescent="0.25">
      <c r="A64" s="86" t="s">
        <v>79</v>
      </c>
      <c r="B64" s="87">
        <v>8</v>
      </c>
      <c r="C64" s="311">
        <v>45863743</v>
      </c>
      <c r="D64" s="312">
        <f t="shared" si="0"/>
        <v>-4586374.3</v>
      </c>
      <c r="E64" s="313">
        <f t="shared" si="1"/>
        <v>41277368.700000003</v>
      </c>
      <c r="F64" s="314">
        <f t="shared" si="2"/>
        <v>-9.9999999999999978E-2</v>
      </c>
    </row>
    <row r="65" spans="1:6" s="35" customFormat="1" x14ac:dyDescent="0.25">
      <c r="A65" s="86" t="s">
        <v>80</v>
      </c>
      <c r="B65" s="87">
        <v>8</v>
      </c>
      <c r="C65" s="311">
        <v>23769047</v>
      </c>
      <c r="D65" s="312">
        <f t="shared" si="0"/>
        <v>-2376904.7000000002</v>
      </c>
      <c r="E65" s="313">
        <f t="shared" si="1"/>
        <v>21392142.300000001</v>
      </c>
      <c r="F65" s="314">
        <f t="shared" si="2"/>
        <v>-9.9999999999999978E-2</v>
      </c>
    </row>
    <row r="66" spans="1:6" s="35" customFormat="1" x14ac:dyDescent="0.25">
      <c r="A66" s="86" t="s">
        <v>81</v>
      </c>
      <c r="B66" s="87">
        <v>8</v>
      </c>
      <c r="C66" s="311">
        <v>36625590</v>
      </c>
      <c r="D66" s="312">
        <f>-(C66*E$1)</f>
        <v>-3662559</v>
      </c>
      <c r="E66" s="313">
        <f t="shared" si="1"/>
        <v>32963031</v>
      </c>
      <c r="F66" s="314">
        <f t="shared" si="2"/>
        <v>-9.9999999999999978E-2</v>
      </c>
    </row>
    <row r="67" spans="1:6" s="35" customFormat="1" x14ac:dyDescent="0.25">
      <c r="A67" s="86" t="s">
        <v>82</v>
      </c>
      <c r="B67" s="87">
        <v>8</v>
      </c>
      <c r="C67" s="311">
        <v>85979829</v>
      </c>
      <c r="D67" s="312">
        <f>-(C67*E$1)</f>
        <v>-8597982.9000000004</v>
      </c>
      <c r="E67" s="313">
        <f t="shared" si="1"/>
        <v>77381846.099999994</v>
      </c>
      <c r="F67" s="314">
        <f t="shared" si="2"/>
        <v>-0.10000000000000009</v>
      </c>
    </row>
    <row r="68" spans="1:6" x14ac:dyDescent="0.25">
      <c r="A68" s="86" t="s">
        <v>83</v>
      </c>
      <c r="B68" s="87">
        <v>8</v>
      </c>
      <c r="C68" s="311">
        <v>35410487</v>
      </c>
      <c r="D68" s="312">
        <f>-(C68*E$1)</f>
        <v>-3541048.7</v>
      </c>
      <c r="E68" s="313">
        <f>C68+D68</f>
        <v>31869438.300000001</v>
      </c>
      <c r="F68" s="314">
        <f>E68/C68-1</f>
        <v>-9.9999999999999978E-2</v>
      </c>
    </row>
    <row r="69" spans="1:6" ht="14.25" thickBot="1" x14ac:dyDescent="0.3">
      <c r="A69" s="95" t="s">
        <v>84</v>
      </c>
      <c r="B69" s="96">
        <v>8</v>
      </c>
      <c r="C69" s="315">
        <v>35457082</v>
      </c>
      <c r="D69" s="316">
        <f>-(C69*E$1)</f>
        <v>-3545708.2</v>
      </c>
      <c r="E69" s="317">
        <f>C69+D69</f>
        <v>31911373.800000001</v>
      </c>
      <c r="F69" s="318">
        <f>E69/C69-1</f>
        <v>-9.9999999999999978E-2</v>
      </c>
    </row>
    <row r="70" spans="1:6" ht="14.25" thickBot="1" x14ac:dyDescent="0.3">
      <c r="A70" s="55"/>
      <c r="B70" s="56"/>
      <c r="C70" s="57"/>
      <c r="D70" s="319"/>
      <c r="E70" s="59"/>
      <c r="F70" s="320"/>
    </row>
    <row r="71" spans="1:6" s="35" customFormat="1" ht="14.25" thickBot="1" x14ac:dyDescent="0.3">
      <c r="A71" s="531" t="s">
        <v>225</v>
      </c>
      <c r="B71" s="531"/>
      <c r="C71" s="321">
        <f>SUM(C3:C69)</f>
        <v>532475488</v>
      </c>
      <c r="D71" s="322">
        <f>SUM(D3:D69)</f>
        <v>-53247548.800000004</v>
      </c>
      <c r="E71" s="323">
        <f>SUM(E3:E69)</f>
        <v>479227939.20000005</v>
      </c>
      <c r="F71" s="324">
        <f>E71/C71-1</f>
        <v>-9.9999999999999867E-2</v>
      </c>
    </row>
    <row r="72" spans="1:6" x14ac:dyDescent="0.25">
      <c r="C72" s="67"/>
      <c r="E72" s="325"/>
    </row>
    <row r="73" spans="1:6" x14ac:dyDescent="0.25">
      <c r="C73" s="67"/>
      <c r="E73" s="325"/>
    </row>
    <row r="74" spans="1:6" ht="42" customHeight="1" x14ac:dyDescent="0.25">
      <c r="A74" s="532" t="s">
        <v>226</v>
      </c>
      <c r="B74" s="533"/>
      <c r="C74" s="533"/>
      <c r="D74" s="533"/>
      <c r="E74" s="533"/>
      <c r="F74" s="534"/>
    </row>
    <row r="75" spans="1:6" ht="9.75" customHeight="1" x14ac:dyDescent="0.25">
      <c r="C75" s="67"/>
      <c r="F75" s="326"/>
    </row>
    <row r="76" spans="1:6" ht="120" customHeight="1" x14ac:dyDescent="0.25">
      <c r="A76" s="532" t="s">
        <v>251</v>
      </c>
      <c r="B76" s="533"/>
      <c r="C76" s="533"/>
      <c r="D76" s="533"/>
      <c r="E76" s="533"/>
      <c r="F76" s="534"/>
    </row>
    <row r="77" spans="1:6" x14ac:dyDescent="0.25">
      <c r="E77" s="287"/>
    </row>
    <row r="78" spans="1:6" x14ac:dyDescent="0.25">
      <c r="E78" s="287"/>
    </row>
  </sheetData>
  <autoFilter ref="A2:F2" xr:uid="{4BF7E378-CACC-44C3-BA3F-7306E55EE6D4}"/>
  <mergeCells count="3">
    <mergeCell ref="A71:B71"/>
    <mergeCell ref="A74:F74"/>
    <mergeCell ref="A76:F76"/>
  </mergeCells>
  <printOptions horizontalCentered="1"/>
  <pageMargins left="0.2" right="0.2" top="0.5" bottom="0.5" header="0.25" footer="0.25"/>
  <pageSetup scale="84" fitToHeight="0" pageOrder="overThenDown" orientation="landscape" r:id="rId1"/>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B4C52-D0AA-4098-8FF1-5448BBFAA0F8}">
  <sheetPr>
    <pageSetUpPr fitToPage="1"/>
  </sheetPr>
  <dimension ref="A1:D91"/>
  <sheetViews>
    <sheetView zoomScale="130" zoomScaleNormal="130" workbookViewId="0">
      <selection activeCell="C79" sqref="C79"/>
    </sheetView>
  </sheetViews>
  <sheetFormatPr defaultColWidth="9.140625" defaultRowHeight="13.5" outlineLevelRow="2" x14ac:dyDescent="0.25"/>
  <cols>
    <col min="1" max="1" width="13.140625" style="327" customWidth="1"/>
    <col min="2" max="2" width="7.5703125" style="327" customWidth="1"/>
    <col min="3" max="3" width="17.7109375" style="327" customWidth="1"/>
    <col min="4" max="4" width="13.85546875" style="327" customWidth="1"/>
    <col min="5" max="5" width="6.5703125" style="327" customWidth="1"/>
    <col min="6" max="16384" width="9.140625" style="327"/>
  </cols>
  <sheetData>
    <row r="1" spans="1:4" ht="28.5" customHeight="1" thickBot="1" x14ac:dyDescent="0.3">
      <c r="A1" s="540" t="s">
        <v>228</v>
      </c>
      <c r="B1" s="541"/>
      <c r="C1" s="541"/>
      <c r="D1" s="542"/>
    </row>
    <row r="2" spans="1:4" ht="45.75" customHeight="1" thickBot="1" x14ac:dyDescent="0.3">
      <c r="A2" s="328" t="s">
        <v>11</v>
      </c>
      <c r="B2" s="329" t="s">
        <v>229</v>
      </c>
      <c r="C2" s="330" t="s">
        <v>94</v>
      </c>
      <c r="D2" s="331" t="s">
        <v>230</v>
      </c>
    </row>
    <row r="3" spans="1:4" outlineLevel="2" x14ac:dyDescent="0.25">
      <c r="A3" s="332" t="s">
        <v>18</v>
      </c>
      <c r="B3" s="333">
        <v>1</v>
      </c>
      <c r="C3" s="405">
        <v>603165</v>
      </c>
      <c r="D3" s="334">
        <f>C3/$C$7-1</f>
        <v>0.23676302782570713</v>
      </c>
    </row>
    <row r="4" spans="1:4" outlineLevel="2" x14ac:dyDescent="0.25">
      <c r="A4" s="332" t="s">
        <v>19</v>
      </c>
      <c r="B4" s="333">
        <v>1</v>
      </c>
      <c r="C4" s="405">
        <v>367092</v>
      </c>
      <c r="D4" s="335">
        <f>C4/$C$7-1</f>
        <v>-0.24729416758168243</v>
      </c>
    </row>
    <row r="5" spans="1:4" outlineLevel="2" x14ac:dyDescent="0.25">
      <c r="A5" s="332" t="s">
        <v>20</v>
      </c>
      <c r="B5" s="333">
        <v>1</v>
      </c>
      <c r="C5" s="405">
        <v>385133</v>
      </c>
      <c r="D5" s="335">
        <f>C5/$C$7-1</f>
        <v>-0.21030189882437134</v>
      </c>
    </row>
    <row r="6" spans="1:4" ht="14.25" outlineLevel="2" thickBot="1" x14ac:dyDescent="0.3">
      <c r="A6" s="336" t="s">
        <v>21</v>
      </c>
      <c r="B6" s="337">
        <v>1</v>
      </c>
      <c r="C6" s="406">
        <v>595396</v>
      </c>
      <c r="D6" s="338">
        <f>C6/$C$7-1</f>
        <v>0.22083303858034653</v>
      </c>
    </row>
    <row r="7" spans="1:4" ht="15" customHeight="1" outlineLevel="1" thickBot="1" x14ac:dyDescent="0.3">
      <c r="A7" s="535" t="s">
        <v>231</v>
      </c>
      <c r="B7" s="536"/>
      <c r="C7" s="339">
        <f>SUBTOTAL(1,C3:C6)</f>
        <v>487696.5</v>
      </c>
      <c r="D7" s="340"/>
    </row>
    <row r="8" spans="1:4" outlineLevel="2" x14ac:dyDescent="0.25">
      <c r="A8" s="341" t="s">
        <v>22</v>
      </c>
      <c r="B8" s="342">
        <v>2</v>
      </c>
      <c r="C8" s="405">
        <v>895589</v>
      </c>
      <c r="D8" s="343">
        <f>C8/$C$20-1</f>
        <v>0.18892583492831139</v>
      </c>
    </row>
    <row r="9" spans="1:4" outlineLevel="2" x14ac:dyDescent="0.25">
      <c r="A9" s="341" t="s">
        <v>23</v>
      </c>
      <c r="B9" s="342">
        <v>2</v>
      </c>
      <c r="C9" s="405">
        <v>552219</v>
      </c>
      <c r="D9" s="344">
        <f t="shared" ref="D9:D19" si="0">C9/$C$20-1</f>
        <v>-0.26690989322303282</v>
      </c>
    </row>
    <row r="10" spans="1:4" outlineLevel="2" x14ac:dyDescent="0.25">
      <c r="A10" s="332" t="s">
        <v>24</v>
      </c>
      <c r="B10" s="333">
        <v>2</v>
      </c>
      <c r="C10" s="405">
        <v>602528</v>
      </c>
      <c r="D10" s="345">
        <f t="shared" si="0"/>
        <v>-0.20012292975049306</v>
      </c>
    </row>
    <row r="11" spans="1:4" outlineLevel="2" x14ac:dyDescent="0.25">
      <c r="A11" s="332" t="s">
        <v>25</v>
      </c>
      <c r="B11" s="333">
        <v>2</v>
      </c>
      <c r="C11" s="405">
        <v>780526</v>
      </c>
      <c r="D11" s="346">
        <f t="shared" si="0"/>
        <v>3.6175663427370441E-2</v>
      </c>
    </row>
    <row r="12" spans="1:4" outlineLevel="2" x14ac:dyDescent="0.25">
      <c r="A12" s="332" t="s">
        <v>26</v>
      </c>
      <c r="B12" s="333">
        <v>2</v>
      </c>
      <c r="C12" s="405">
        <v>671513</v>
      </c>
      <c r="D12" s="345">
        <f t="shared" si="0"/>
        <v>-0.10854292070334137</v>
      </c>
    </row>
    <row r="13" spans="1:4" outlineLevel="2" x14ac:dyDescent="0.25">
      <c r="A13" s="332" t="s">
        <v>27</v>
      </c>
      <c r="B13" s="333">
        <v>2</v>
      </c>
      <c r="C13" s="405">
        <v>684959</v>
      </c>
      <c r="D13" s="345">
        <f t="shared" si="0"/>
        <v>-9.069288371489459E-2</v>
      </c>
    </row>
    <row r="14" spans="1:4" outlineLevel="2" x14ac:dyDescent="0.25">
      <c r="A14" s="332" t="s">
        <v>28</v>
      </c>
      <c r="B14" s="333">
        <v>2</v>
      </c>
      <c r="C14" s="405">
        <v>725928</v>
      </c>
      <c r="D14" s="345">
        <f t="shared" si="0"/>
        <v>-3.6305098099865818E-2</v>
      </c>
    </row>
    <row r="15" spans="1:4" outlineLevel="2" x14ac:dyDescent="0.25">
      <c r="A15" s="332" t="s">
        <v>29</v>
      </c>
      <c r="B15" s="333">
        <v>2</v>
      </c>
      <c r="C15" s="405">
        <v>1103110</v>
      </c>
      <c r="D15" s="347">
        <f t="shared" si="0"/>
        <v>0.46441724693779141</v>
      </c>
    </row>
    <row r="16" spans="1:4" outlineLevel="2" x14ac:dyDescent="0.25">
      <c r="A16" s="332" t="s">
        <v>30</v>
      </c>
      <c r="B16" s="333">
        <v>2</v>
      </c>
      <c r="C16" s="405">
        <v>724790</v>
      </c>
      <c r="D16" s="345">
        <f t="shared" si="0"/>
        <v>-3.7815833046530467E-2</v>
      </c>
    </row>
    <row r="17" spans="1:4" outlineLevel="2" x14ac:dyDescent="0.25">
      <c r="A17" s="332" t="s">
        <v>31</v>
      </c>
      <c r="B17" s="333">
        <v>2</v>
      </c>
      <c r="C17" s="405">
        <v>612817</v>
      </c>
      <c r="D17" s="345">
        <f t="shared" si="0"/>
        <v>-0.18646392108069321</v>
      </c>
    </row>
    <row r="18" spans="1:4" outlineLevel="2" x14ac:dyDescent="0.25">
      <c r="A18" s="332" t="s">
        <v>32</v>
      </c>
      <c r="B18" s="333">
        <v>2</v>
      </c>
      <c r="C18" s="405">
        <v>720281</v>
      </c>
      <c r="D18" s="345">
        <f t="shared" si="0"/>
        <v>-4.380168882378066E-2</v>
      </c>
    </row>
    <row r="19" spans="1:4" ht="14.25" outlineLevel="1" thickBot="1" x14ac:dyDescent="0.3">
      <c r="A19" s="336" t="s">
        <v>33</v>
      </c>
      <c r="B19" s="337">
        <v>2</v>
      </c>
      <c r="C19" s="406">
        <v>965049</v>
      </c>
      <c r="D19" s="347">
        <f t="shared" si="0"/>
        <v>0.28113642314915888</v>
      </c>
    </row>
    <row r="20" spans="1:4" ht="14.25" outlineLevel="2" thickBot="1" x14ac:dyDescent="0.3">
      <c r="A20" s="535" t="s">
        <v>232</v>
      </c>
      <c r="B20" s="536" t="s">
        <v>233</v>
      </c>
      <c r="C20" s="339">
        <f>SUBTOTAL(1,C8:C19)</f>
        <v>753275.75</v>
      </c>
      <c r="D20" s="340"/>
    </row>
    <row r="21" spans="1:4" outlineLevel="2" x14ac:dyDescent="0.25">
      <c r="A21" s="341" t="s">
        <v>34</v>
      </c>
      <c r="B21" s="342">
        <v>3</v>
      </c>
      <c r="C21" s="405">
        <v>1112750</v>
      </c>
      <c r="D21" s="335">
        <f>C21/$C$31-1</f>
        <v>-0.13393251997578515</v>
      </c>
    </row>
    <row r="22" spans="1:4" ht="15.75" customHeight="1" outlineLevel="2" x14ac:dyDescent="0.25">
      <c r="A22" s="332" t="s">
        <v>35</v>
      </c>
      <c r="B22" s="333">
        <v>3</v>
      </c>
      <c r="C22" s="405">
        <v>1042616</v>
      </c>
      <c r="D22" s="345">
        <f t="shared" ref="D22:D30" si="1">C22/$C$31-1</f>
        <v>-0.18851870433347406</v>
      </c>
    </row>
    <row r="23" spans="1:4" outlineLevel="2" x14ac:dyDescent="0.25">
      <c r="A23" s="332" t="s">
        <v>36</v>
      </c>
      <c r="B23" s="333">
        <v>3</v>
      </c>
      <c r="C23" s="405">
        <v>1642925</v>
      </c>
      <c r="D23" s="348">
        <f t="shared" si="1"/>
        <v>0.27870942675244503</v>
      </c>
    </row>
    <row r="24" spans="1:4" outlineLevel="2" x14ac:dyDescent="0.25">
      <c r="A24" s="332" t="s">
        <v>37</v>
      </c>
      <c r="B24" s="333">
        <v>3</v>
      </c>
      <c r="C24" s="405">
        <v>1563453</v>
      </c>
      <c r="D24" s="348">
        <f t="shared" si="1"/>
        <v>0.21685535820831148</v>
      </c>
    </row>
    <row r="25" spans="1:4" outlineLevel="2" x14ac:dyDescent="0.25">
      <c r="A25" s="332" t="s">
        <v>38</v>
      </c>
      <c r="B25" s="333">
        <v>3</v>
      </c>
      <c r="C25" s="405">
        <v>1361638</v>
      </c>
      <c r="D25" s="345">
        <f t="shared" si="1"/>
        <v>5.9780176468399837E-2</v>
      </c>
    </row>
    <row r="26" spans="1:4" outlineLevel="2" x14ac:dyDescent="0.25">
      <c r="A26" s="332" t="s">
        <v>39</v>
      </c>
      <c r="B26" s="333">
        <v>3</v>
      </c>
      <c r="C26" s="405">
        <v>1452833</v>
      </c>
      <c r="D26" s="348">
        <f t="shared" si="1"/>
        <v>0.13075840503798708</v>
      </c>
    </row>
    <row r="27" spans="1:4" outlineLevel="2" x14ac:dyDescent="0.25">
      <c r="A27" s="332" t="s">
        <v>40</v>
      </c>
      <c r="B27" s="333">
        <v>3</v>
      </c>
      <c r="C27" s="405">
        <v>732696</v>
      </c>
      <c r="D27" s="345">
        <f t="shared" si="1"/>
        <v>-0.42973338275100237</v>
      </c>
    </row>
    <row r="28" spans="1:4" outlineLevel="2" x14ac:dyDescent="0.25">
      <c r="A28" s="332" t="s">
        <v>41</v>
      </c>
      <c r="B28" s="333">
        <v>3</v>
      </c>
      <c r="C28" s="405">
        <v>1601525</v>
      </c>
      <c r="D28" s="348">
        <f t="shared" si="1"/>
        <v>0.24648728011303578</v>
      </c>
    </row>
    <row r="29" spans="1:4" outlineLevel="2" x14ac:dyDescent="0.25">
      <c r="A29" s="332" t="s">
        <v>42</v>
      </c>
      <c r="B29" s="333">
        <v>3</v>
      </c>
      <c r="C29" s="405">
        <v>1453646</v>
      </c>
      <c r="D29" s="348">
        <f t="shared" si="1"/>
        <v>0.13139117327996375</v>
      </c>
    </row>
    <row r="30" spans="1:4" ht="14.25" outlineLevel="2" thickBot="1" x14ac:dyDescent="0.3">
      <c r="A30" s="336" t="s">
        <v>43</v>
      </c>
      <c r="B30" s="337">
        <v>3</v>
      </c>
      <c r="C30" s="406">
        <v>884224</v>
      </c>
      <c r="D30" s="349">
        <f t="shared" si="1"/>
        <v>-0.31179721279988204</v>
      </c>
    </row>
    <row r="31" spans="1:4" ht="15" customHeight="1" outlineLevel="1" thickBot="1" x14ac:dyDescent="0.3">
      <c r="A31" s="535" t="s">
        <v>234</v>
      </c>
      <c r="B31" s="536"/>
      <c r="C31" s="339">
        <f>SUBTOTAL(1,C21:C30)</f>
        <v>1284830.6000000001</v>
      </c>
      <c r="D31" s="340"/>
    </row>
    <row r="32" spans="1:4" outlineLevel="2" x14ac:dyDescent="0.25">
      <c r="A32" s="341" t="s">
        <v>44</v>
      </c>
      <c r="B32" s="342">
        <v>4</v>
      </c>
      <c r="C32" s="405">
        <v>3946441</v>
      </c>
      <c r="D32" s="343">
        <f>C32/$C$42-1</f>
        <v>0.36102156671184971</v>
      </c>
    </row>
    <row r="33" spans="1:4" outlineLevel="2" x14ac:dyDescent="0.25">
      <c r="A33" s="332" t="s">
        <v>45</v>
      </c>
      <c r="B33" s="333">
        <v>4</v>
      </c>
      <c r="C33" s="405">
        <v>2056502</v>
      </c>
      <c r="D33" s="345">
        <f t="shared" ref="D33:D41" si="2">C33/$C$42-1</f>
        <v>-0.29076766281668665</v>
      </c>
    </row>
    <row r="34" spans="1:4" outlineLevel="2" x14ac:dyDescent="0.25">
      <c r="A34" s="332" t="s">
        <v>46</v>
      </c>
      <c r="B34" s="333">
        <v>4</v>
      </c>
      <c r="C34" s="405">
        <v>2438025</v>
      </c>
      <c r="D34" s="345">
        <f t="shared" si="2"/>
        <v>-0.15919062132623862</v>
      </c>
    </row>
    <row r="35" spans="1:4" outlineLevel="2" x14ac:dyDescent="0.25">
      <c r="A35" s="332" t="s">
        <v>47</v>
      </c>
      <c r="B35" s="333">
        <v>4</v>
      </c>
      <c r="C35" s="405">
        <v>2512218</v>
      </c>
      <c r="D35" s="345">
        <f t="shared" si="2"/>
        <v>-0.13360344718653849</v>
      </c>
    </row>
    <row r="36" spans="1:4" outlineLevel="2" x14ac:dyDescent="0.25">
      <c r="A36" s="332" t="s">
        <v>48</v>
      </c>
      <c r="B36" s="333">
        <v>4</v>
      </c>
      <c r="C36" s="405">
        <v>3697444</v>
      </c>
      <c r="D36" s="348">
        <f t="shared" si="2"/>
        <v>0.27514918523026921</v>
      </c>
    </row>
    <row r="37" spans="1:4" outlineLevel="2" x14ac:dyDescent="0.25">
      <c r="A37" s="332" t="s">
        <v>49</v>
      </c>
      <c r="B37" s="333">
        <v>4</v>
      </c>
      <c r="C37" s="405">
        <v>4578779</v>
      </c>
      <c r="D37" s="348">
        <f t="shared" si="2"/>
        <v>0.57909796908336308</v>
      </c>
    </row>
    <row r="38" spans="1:4" outlineLevel="2" x14ac:dyDescent="0.25">
      <c r="A38" s="332" t="s">
        <v>50</v>
      </c>
      <c r="B38" s="333">
        <v>4</v>
      </c>
      <c r="C38" s="405">
        <v>2165560</v>
      </c>
      <c r="D38" s="345">
        <f t="shared" si="2"/>
        <v>-0.2531564860570541</v>
      </c>
    </row>
    <row r="39" spans="1:4" outlineLevel="2" x14ac:dyDescent="0.25">
      <c r="A39" s="332" t="s">
        <v>51</v>
      </c>
      <c r="B39" s="333">
        <v>4</v>
      </c>
      <c r="C39" s="405">
        <v>2686897</v>
      </c>
      <c r="D39" s="345">
        <f t="shared" si="2"/>
        <v>-7.3361348989287034E-2</v>
      </c>
    </row>
    <row r="40" spans="1:4" ht="15.75" customHeight="1" outlineLevel="2" x14ac:dyDescent="0.25">
      <c r="A40" s="332" t="s">
        <v>52</v>
      </c>
      <c r="B40" s="333">
        <v>4</v>
      </c>
      <c r="C40" s="405">
        <v>2643366</v>
      </c>
      <c r="D40" s="345">
        <f t="shared" si="2"/>
        <v>-8.837402238806169E-2</v>
      </c>
    </row>
    <row r="41" spans="1:4" ht="15" customHeight="1" outlineLevel="1" thickBot="1" x14ac:dyDescent="0.3">
      <c r="A41" s="336" t="s">
        <v>53</v>
      </c>
      <c r="B41" s="337">
        <v>4</v>
      </c>
      <c r="C41" s="406">
        <v>2270936</v>
      </c>
      <c r="D41" s="349">
        <f t="shared" si="2"/>
        <v>-0.21681513226161464</v>
      </c>
    </row>
    <row r="42" spans="1:4" ht="15.75" customHeight="1" outlineLevel="2" thickBot="1" x14ac:dyDescent="0.3">
      <c r="A42" s="535" t="s">
        <v>235</v>
      </c>
      <c r="B42" s="536"/>
      <c r="C42" s="339">
        <f>SUBTOTAL(1,C32:C41)</f>
        <v>2899616.8</v>
      </c>
      <c r="D42" s="340"/>
    </row>
    <row r="43" spans="1:4" outlineLevel="2" x14ac:dyDescent="0.25">
      <c r="A43" s="341" t="s">
        <v>54</v>
      </c>
      <c r="B43" s="342">
        <v>5</v>
      </c>
      <c r="C43" s="405">
        <v>7347909</v>
      </c>
      <c r="D43" s="343">
        <f>C43/$C$57-1</f>
        <v>0.16731227343768507</v>
      </c>
    </row>
    <row r="44" spans="1:4" outlineLevel="2" x14ac:dyDescent="0.25">
      <c r="A44" s="341" t="s">
        <v>55</v>
      </c>
      <c r="B44" s="342">
        <v>5</v>
      </c>
      <c r="C44" s="405">
        <v>5495136</v>
      </c>
      <c r="D44" s="335">
        <f t="shared" ref="D44:D56" si="3">C44/$C$57-1</f>
        <v>-0.12702515817639171</v>
      </c>
    </row>
    <row r="45" spans="1:4" outlineLevel="2" x14ac:dyDescent="0.25">
      <c r="A45" s="332" t="s">
        <v>56</v>
      </c>
      <c r="B45" s="333">
        <v>5</v>
      </c>
      <c r="C45" s="405">
        <v>4718017</v>
      </c>
      <c r="D45" s="345">
        <f t="shared" si="3"/>
        <v>-0.25048076256964436</v>
      </c>
    </row>
    <row r="46" spans="1:4" outlineLevel="2" x14ac:dyDescent="0.25">
      <c r="A46" s="332" t="s">
        <v>57</v>
      </c>
      <c r="B46" s="333">
        <v>5</v>
      </c>
      <c r="C46" s="405">
        <v>5010389</v>
      </c>
      <c r="D46" s="345">
        <f t="shared" si="3"/>
        <v>-0.20403361359031935</v>
      </c>
    </row>
    <row r="47" spans="1:4" outlineLevel="2" x14ac:dyDescent="0.25">
      <c r="A47" s="332" t="s">
        <v>58</v>
      </c>
      <c r="B47" s="333">
        <v>5</v>
      </c>
      <c r="C47" s="405">
        <v>8448623</v>
      </c>
      <c r="D47" s="343">
        <f t="shared" si="3"/>
        <v>0.34217521223356417</v>
      </c>
    </row>
    <row r="48" spans="1:4" outlineLevel="2" x14ac:dyDescent="0.25">
      <c r="A48" s="332" t="s">
        <v>59</v>
      </c>
      <c r="B48" s="333">
        <v>5</v>
      </c>
      <c r="C48" s="405">
        <v>4590067</v>
      </c>
      <c r="D48" s="345">
        <f t="shared" si="3"/>
        <v>-0.2708073079019766</v>
      </c>
    </row>
    <row r="49" spans="1:4" outlineLevel="2" x14ac:dyDescent="0.25">
      <c r="A49" s="332" t="s">
        <v>60</v>
      </c>
      <c r="B49" s="333">
        <v>5</v>
      </c>
      <c r="C49" s="405">
        <v>8358682</v>
      </c>
      <c r="D49" s="343">
        <f t="shared" si="3"/>
        <v>0.32788689794098658</v>
      </c>
    </row>
    <row r="50" spans="1:4" outlineLevel="2" x14ac:dyDescent="0.25">
      <c r="A50" s="332" t="s">
        <v>61</v>
      </c>
      <c r="B50" s="333">
        <v>5</v>
      </c>
      <c r="C50" s="405">
        <v>7617446</v>
      </c>
      <c r="D50" s="343">
        <f t="shared" si="3"/>
        <v>0.21013178144269351</v>
      </c>
    </row>
    <row r="51" spans="1:4" ht="15" customHeight="1" outlineLevel="1" x14ac:dyDescent="0.25">
      <c r="A51" s="332" t="s">
        <v>62</v>
      </c>
      <c r="B51" s="333">
        <v>5</v>
      </c>
      <c r="C51" s="405">
        <v>8777172</v>
      </c>
      <c r="D51" s="343">
        <f t="shared" si="3"/>
        <v>0.39436955488610348</v>
      </c>
    </row>
    <row r="52" spans="1:4" outlineLevel="2" x14ac:dyDescent="0.25">
      <c r="A52" s="332" t="s">
        <v>63</v>
      </c>
      <c r="B52" s="333">
        <v>5</v>
      </c>
      <c r="C52" s="405">
        <v>4708689</v>
      </c>
      <c r="D52" s="345">
        <f t="shared" si="3"/>
        <v>-0.25196263841849154</v>
      </c>
    </row>
    <row r="53" spans="1:4" ht="15.75" customHeight="1" outlineLevel="2" x14ac:dyDescent="0.25">
      <c r="A53" s="332" t="s">
        <v>64</v>
      </c>
      <c r="B53" s="333">
        <v>5</v>
      </c>
      <c r="C53" s="405">
        <v>4837069</v>
      </c>
      <c r="D53" s="345">
        <f t="shared" si="3"/>
        <v>-0.23156778191388183</v>
      </c>
    </row>
    <row r="54" spans="1:4" outlineLevel="2" x14ac:dyDescent="0.25">
      <c r="A54" s="332" t="s">
        <v>65</v>
      </c>
      <c r="B54" s="333">
        <v>5</v>
      </c>
      <c r="C54" s="405">
        <v>5061231</v>
      </c>
      <c r="D54" s="345">
        <f t="shared" si="3"/>
        <v>-0.19595669121606041</v>
      </c>
    </row>
    <row r="55" spans="1:4" outlineLevel="2" x14ac:dyDescent="0.25">
      <c r="A55" s="332" t="s">
        <v>66</v>
      </c>
      <c r="B55" s="333">
        <v>5</v>
      </c>
      <c r="C55" s="405">
        <v>8791072</v>
      </c>
      <c r="D55" s="343">
        <f t="shared" si="3"/>
        <v>0.3965777532457706</v>
      </c>
    </row>
    <row r="56" spans="1:4" ht="14.25" outlineLevel="2" thickBot="1" x14ac:dyDescent="0.3">
      <c r="A56" s="336" t="s">
        <v>67</v>
      </c>
      <c r="B56" s="337">
        <v>5</v>
      </c>
      <c r="C56" s="406">
        <v>4364639</v>
      </c>
      <c r="D56" s="349">
        <f t="shared" si="3"/>
        <v>-0.30661951940003818</v>
      </c>
    </row>
    <row r="57" spans="1:4" ht="15.75" customHeight="1" outlineLevel="2" thickBot="1" x14ac:dyDescent="0.3">
      <c r="A57" s="535" t="s">
        <v>236</v>
      </c>
      <c r="B57" s="536"/>
      <c r="C57" s="339">
        <f>SUBTOTAL(1,C43:C56)</f>
        <v>6294724.3571428573</v>
      </c>
      <c r="D57" s="340"/>
    </row>
    <row r="58" spans="1:4" outlineLevel="2" x14ac:dyDescent="0.25">
      <c r="A58" s="332" t="s">
        <v>68</v>
      </c>
      <c r="B58" s="333">
        <v>6</v>
      </c>
      <c r="C58" s="405">
        <v>14559833</v>
      </c>
      <c r="D58" s="348">
        <f>C58/$C$65-1</f>
        <v>0.29267114276940309</v>
      </c>
    </row>
    <row r="59" spans="1:4" outlineLevel="2" x14ac:dyDescent="0.25">
      <c r="A59" s="332" t="s">
        <v>69</v>
      </c>
      <c r="B59" s="333">
        <v>6</v>
      </c>
      <c r="C59" s="405">
        <v>8796535</v>
      </c>
      <c r="D59" s="345">
        <f t="shared" ref="D59:D64" si="4">C59/$C$65-1</f>
        <v>-0.21901391651531643</v>
      </c>
    </row>
    <row r="60" spans="1:4" outlineLevel="2" x14ac:dyDescent="0.25">
      <c r="A60" s="332" t="s">
        <v>70</v>
      </c>
      <c r="B60" s="333">
        <v>6</v>
      </c>
      <c r="C60" s="405">
        <v>8076499</v>
      </c>
      <c r="D60" s="345">
        <f t="shared" si="4"/>
        <v>-0.28294114418029781</v>
      </c>
    </row>
    <row r="61" spans="1:4" outlineLevel="2" x14ac:dyDescent="0.25">
      <c r="A61" s="332" t="s">
        <v>71</v>
      </c>
      <c r="B61" s="333">
        <v>6</v>
      </c>
      <c r="C61" s="405">
        <v>10405025</v>
      </c>
      <c r="D61" s="345">
        <f t="shared" si="4"/>
        <v>-7.6206742392291971E-2</v>
      </c>
    </row>
    <row r="62" spans="1:4" outlineLevel="2" x14ac:dyDescent="0.25">
      <c r="A62" s="332" t="s">
        <v>72</v>
      </c>
      <c r="B62" s="333">
        <v>6</v>
      </c>
      <c r="C62" s="405">
        <v>14643120</v>
      </c>
      <c r="D62" s="348">
        <f t="shared" si="4"/>
        <v>0.30006564389230994</v>
      </c>
    </row>
    <row r="63" spans="1:4" outlineLevel="2" x14ac:dyDescent="0.25">
      <c r="A63" s="332" t="s">
        <v>73</v>
      </c>
      <c r="B63" s="333">
        <v>6</v>
      </c>
      <c r="C63" s="405">
        <v>10746985</v>
      </c>
      <c r="D63" s="346">
        <f t="shared" si="4"/>
        <v>-4.5846378782254282E-2</v>
      </c>
    </row>
    <row r="64" spans="1:4" ht="14.25" outlineLevel="2" thickBot="1" x14ac:dyDescent="0.3">
      <c r="A64" s="336" t="s">
        <v>74</v>
      </c>
      <c r="B64" s="337">
        <v>6</v>
      </c>
      <c r="C64" s="406">
        <v>11615591</v>
      </c>
      <c r="D64" s="350">
        <f t="shared" si="4"/>
        <v>3.127139520844735E-2</v>
      </c>
    </row>
    <row r="65" spans="1:4" ht="15" customHeight="1" outlineLevel="1" thickBot="1" x14ac:dyDescent="0.3">
      <c r="A65" s="535" t="s">
        <v>237</v>
      </c>
      <c r="B65" s="536"/>
      <c r="C65" s="339">
        <f>SUBTOTAL(1,C58:C64)</f>
        <v>11263369.714285715</v>
      </c>
      <c r="D65" s="340"/>
    </row>
    <row r="66" spans="1:4" ht="15.75" customHeight="1" outlineLevel="2" x14ac:dyDescent="0.25">
      <c r="A66" s="332" t="s">
        <v>75</v>
      </c>
      <c r="B66" s="333">
        <v>7</v>
      </c>
      <c r="C66" s="405">
        <v>15972129</v>
      </c>
      <c r="D66" s="345">
        <f>C66/$C$70-1</f>
        <v>-0.17744940021484656</v>
      </c>
    </row>
    <row r="67" spans="1:4" outlineLevel="2" x14ac:dyDescent="0.25">
      <c r="A67" s="332" t="s">
        <v>76</v>
      </c>
      <c r="B67" s="333">
        <v>7</v>
      </c>
      <c r="C67" s="405">
        <v>28705814</v>
      </c>
      <c r="D67" s="348">
        <f>C67/$C$70-1</f>
        <v>0.4783241810168859</v>
      </c>
    </row>
    <row r="68" spans="1:4" outlineLevel="2" x14ac:dyDescent="0.25">
      <c r="A68" s="332" t="s">
        <v>77</v>
      </c>
      <c r="B68" s="333">
        <v>7</v>
      </c>
      <c r="C68" s="405">
        <v>17405041</v>
      </c>
      <c r="D68" s="345">
        <f>C68/$C$70-1</f>
        <v>-0.10365569212249748</v>
      </c>
    </row>
    <row r="69" spans="1:4" ht="14.25" outlineLevel="2" thickBot="1" x14ac:dyDescent="0.3">
      <c r="A69" s="336" t="s">
        <v>78</v>
      </c>
      <c r="B69" s="337">
        <v>7</v>
      </c>
      <c r="C69" s="406">
        <v>15588245</v>
      </c>
      <c r="D69" s="349">
        <f>C69/$C$70-1</f>
        <v>-0.19721908867954185</v>
      </c>
    </row>
    <row r="70" spans="1:4" ht="15.75" customHeight="1" outlineLevel="2" thickBot="1" x14ac:dyDescent="0.3">
      <c r="A70" s="535" t="s">
        <v>238</v>
      </c>
      <c r="B70" s="536"/>
      <c r="C70" s="339">
        <f>SUBTOTAL(1,C66:C69)</f>
        <v>19417807.25</v>
      </c>
      <c r="D70" s="340"/>
    </row>
    <row r="71" spans="1:4" ht="15" customHeight="1" outlineLevel="1" x14ac:dyDescent="0.25">
      <c r="A71" s="341" t="s">
        <v>79</v>
      </c>
      <c r="B71" s="342">
        <v>8</v>
      </c>
      <c r="C71" s="405">
        <v>50387281</v>
      </c>
      <c r="D71" s="335">
        <f>C71/$C$77-1</f>
        <v>3.308745147120451E-2</v>
      </c>
    </row>
    <row r="72" spans="1:4" ht="15.75" customHeight="1" outlineLevel="2" x14ac:dyDescent="0.25">
      <c r="A72" s="341" t="s">
        <v>80</v>
      </c>
      <c r="B72" s="342">
        <v>8</v>
      </c>
      <c r="C72" s="405">
        <v>26596662</v>
      </c>
      <c r="D72" s="344">
        <f t="shared" ref="D72:D76" si="5">C72/$C$77-1</f>
        <v>-0.45469020717309538</v>
      </c>
    </row>
    <row r="73" spans="1:4" outlineLevel="2" x14ac:dyDescent="0.25">
      <c r="A73" s="332" t="s">
        <v>81</v>
      </c>
      <c r="B73" s="333">
        <v>8</v>
      </c>
      <c r="C73" s="405">
        <v>40344622</v>
      </c>
      <c r="D73" s="345">
        <f t="shared" si="5"/>
        <v>-0.17281659388310544</v>
      </c>
    </row>
    <row r="74" spans="1:4" outlineLevel="2" x14ac:dyDescent="0.25">
      <c r="A74" s="332" t="s">
        <v>82</v>
      </c>
      <c r="B74" s="333">
        <v>8</v>
      </c>
      <c r="C74" s="405">
        <v>96669717</v>
      </c>
      <c r="D74" s="348">
        <f t="shared" si="5"/>
        <v>0.98201350793214193</v>
      </c>
    </row>
    <row r="75" spans="1:4" outlineLevel="2" x14ac:dyDescent="0.25">
      <c r="A75" s="332" t="s">
        <v>83</v>
      </c>
      <c r="B75" s="333">
        <v>8</v>
      </c>
      <c r="C75" s="405">
        <v>39622464</v>
      </c>
      <c r="D75" s="345">
        <f t="shared" si="5"/>
        <v>-0.18762295677812935</v>
      </c>
    </row>
    <row r="76" spans="1:4" ht="14.25" outlineLevel="2" thickBot="1" x14ac:dyDescent="0.3">
      <c r="A76" s="351" t="s">
        <v>84</v>
      </c>
      <c r="B76" s="352">
        <v>8</v>
      </c>
      <c r="C76" s="407">
        <v>39020197</v>
      </c>
      <c r="D76" s="353">
        <f t="shared" si="5"/>
        <v>-0.19997120156901627</v>
      </c>
    </row>
    <row r="77" spans="1:4" ht="15" customHeight="1" outlineLevel="1" thickBot="1" x14ac:dyDescent="0.3">
      <c r="A77" s="535" t="s">
        <v>239</v>
      </c>
      <c r="B77" s="536"/>
      <c r="C77" s="339">
        <f>SUBTOTAL(1,C71:C76)</f>
        <v>48773490.5</v>
      </c>
      <c r="D77" s="354"/>
    </row>
    <row r="78" spans="1:4" ht="14.25" thickBot="1" x14ac:dyDescent="0.3">
      <c r="B78" s="355"/>
      <c r="C78" s="356"/>
      <c r="D78" s="357"/>
    </row>
    <row r="79" spans="1:4" ht="14.25" thickBot="1" x14ac:dyDescent="0.3">
      <c r="B79" s="358" t="s">
        <v>240</v>
      </c>
      <c r="C79" s="359">
        <f>SUBTOTAL(9,C3:C76)</f>
        <v>590116470</v>
      </c>
      <c r="D79" s="360">
        <f>COUNTIF(D3:D76,"&gt;.10")</f>
        <v>23</v>
      </c>
    </row>
    <row r="80" spans="1:4" ht="14.25" thickBot="1" x14ac:dyDescent="0.3">
      <c r="D80" s="361"/>
    </row>
    <row r="81" spans="1:4" s="45" customFormat="1" ht="53.25" customHeight="1" thickBot="1" x14ac:dyDescent="0.3">
      <c r="A81" s="537" t="s">
        <v>241</v>
      </c>
      <c r="B81" s="538"/>
      <c r="C81" s="538"/>
      <c r="D81" s="539"/>
    </row>
    <row r="82" spans="1:4" s="45" customFormat="1" x14ac:dyDescent="0.25">
      <c r="D82" s="362"/>
    </row>
    <row r="83" spans="1:4" s="45" customFormat="1" x14ac:dyDescent="0.25"/>
    <row r="84" spans="1:4" s="45" customFormat="1" x14ac:dyDescent="0.25"/>
    <row r="85" spans="1:4" s="45" customFormat="1" x14ac:dyDescent="0.25"/>
    <row r="86" spans="1:4" s="45" customFormat="1" x14ac:dyDescent="0.25"/>
    <row r="87" spans="1:4" s="45" customFormat="1" x14ac:dyDescent="0.25"/>
    <row r="88" spans="1:4" s="45" customFormat="1" x14ac:dyDescent="0.25"/>
    <row r="89" spans="1:4" s="45" customFormat="1" x14ac:dyDescent="0.25"/>
    <row r="90" spans="1:4" s="45" customFormat="1" x14ac:dyDescent="0.25"/>
    <row r="91" spans="1:4" s="45" customFormat="1" x14ac:dyDescent="0.25"/>
  </sheetData>
  <mergeCells count="10">
    <mergeCell ref="A65:B65"/>
    <mergeCell ref="A70:B70"/>
    <mergeCell ref="A77:B77"/>
    <mergeCell ref="A81:D81"/>
    <mergeCell ref="A1:D1"/>
    <mergeCell ref="A7:B7"/>
    <mergeCell ref="A20:B20"/>
    <mergeCell ref="A31:B31"/>
    <mergeCell ref="A42:B42"/>
    <mergeCell ref="A57:B57"/>
  </mergeCells>
  <pageMargins left="0.7" right="0.7" top="0.75" bottom="0.75" header="0.3" footer="0.3"/>
  <pageSetup fitToHeight="0" orientation="portrait" horizontalDpi="1200" verticalDpi="1200"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New Revenue Summary </vt:lpstr>
      <vt:lpstr>Alloc. Summary</vt:lpstr>
      <vt:lpstr>Issue Requests </vt:lpstr>
      <vt:lpstr>BUDGET CALCULATION</vt:lpstr>
      <vt:lpstr>WWM-CMA Alloc. Summary</vt:lpstr>
      <vt:lpstr>FRS Calc.   </vt:lpstr>
      <vt:lpstr>WWM Applied to 100% </vt:lpstr>
      <vt:lpstr>WWM-CMA Applied to 95%-5%</vt:lpstr>
      <vt:lpstr>Unspent Budgeted Funds (24-25)</vt:lpstr>
      <vt:lpstr>Cumulative Excess (24-25) </vt:lpstr>
      <vt:lpstr>WWM </vt:lpstr>
      <vt:lpstr>Revenue Projections </vt:lpstr>
      <vt:lpstr>Reduction Exercise </vt:lpstr>
      <vt:lpstr>Peer Group Comparison </vt:lpstr>
      <vt:lpstr>'BUDGET CALCULATION'!Print_Area</vt:lpstr>
      <vt:lpstr>'Cumulative Excess (24-25) '!Print_Area</vt:lpstr>
      <vt:lpstr>'New Revenue Summary '!Print_Area</vt:lpstr>
      <vt:lpstr>'WWM '!Print_Area</vt:lpstr>
      <vt:lpstr>'BUDGET CALCULATION'!Print_Titles</vt:lpstr>
      <vt:lpstr>'Issue Requests '!Print_Titles</vt:lpstr>
      <vt:lpstr>'Peer Group Comparison '!Print_Titles</vt:lpstr>
      <vt:lpstr>'Reduction Exercise '!Print_Titles</vt:lpstr>
      <vt:lpstr>'Unspent Budgeted Funds (24-25)'!Print_Titles</vt:lpstr>
      <vt:lpstr>'WWM '!Print_Titles</vt:lpstr>
      <vt:lpstr>'WWM Applied to 100% '!Print_Titles</vt:lpstr>
      <vt:lpstr>'WWM-CMA Applied to 95%-5%'!Print_Titles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Griffin Kolchakian</dc:creator>
  <cp:lastModifiedBy>Griffin Kolchakian</cp:lastModifiedBy>
  <cp:lastPrinted>2026-08-06T12:33:40Z</cp:lastPrinted>
  <dcterms:created xsi:type="dcterms:W3CDTF">2025-12-22T20:51:33Z</dcterms:created>
  <dcterms:modified xsi:type="dcterms:W3CDTF">2026-08-24T13:18:29Z</dcterms:modified>
</cp:coreProperties>
</file>