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gkolchakian.FLCCOC\Desktop\"/>
    </mc:Choice>
  </mc:AlternateContent>
  <xr:revisionPtr revIDLastSave="0" documentId="13_ncr:1_{B648B803-BAF0-4FA6-99CC-F46150250AD3}" xr6:coauthVersionLast="47" xr6:coauthVersionMax="47" xr10:uidLastSave="{00000000-0000-0000-0000-000000000000}"/>
  <bookViews>
    <workbookView xWindow="-120" yWindow="-120" windowWidth="29040" windowHeight="15840" tabRatio="807" xr2:uid="{189CF484-AF3D-4009-8FD4-9D842264D52A}"/>
  </bookViews>
  <sheets>
    <sheet name="New Revenue Summary " sheetId="26" r:id="rId1"/>
    <sheet name="Issue Requests " sheetId="27" r:id="rId2"/>
    <sheet name="Jury Shortfall Calc. " sheetId="14" r:id="rId3"/>
    <sheet name="BUDGET CALCULATION" sheetId="28" r:id="rId4"/>
    <sheet name="FRS Calc.   " sheetId="5" r:id="rId5"/>
    <sheet name="New Judges Calc. " sheetId="29" r:id="rId6"/>
    <sheet name="WWM Applied to $519.8m " sheetId="22" r:id="rId7"/>
    <sheet name="Unspent Budgeted Funds (23-24) " sheetId="7" r:id="rId8"/>
    <sheet name="Cumulative Excess (23-24) " sheetId="6" r:id="rId9"/>
    <sheet name="Revenue Projections " sheetId="16" r:id="rId10"/>
    <sheet name="Reduction Exercise " sheetId="23" r:id="rId11"/>
    <sheet name="Peer Group Comparison " sheetId="30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3" hidden="1">'BUDGET CALCULATION'!$A$1:$K$1</definedName>
    <definedName name="_xlnm._FilterDatabase" localSheetId="4" hidden="1">'FRS Calc.   '!$A$1:$E$297</definedName>
    <definedName name="_xlnm._FilterDatabase" localSheetId="1" hidden="1">'Issue Requests '!$A$1:$U$1</definedName>
    <definedName name="_xlnm._FilterDatabase" localSheetId="5" hidden="1">'New Judges Calc. '!$A$4:$S$4</definedName>
    <definedName name="_xlnm._FilterDatabase" localSheetId="10" hidden="1">'Reduction Exercise '!$A$2:$F$2</definedName>
    <definedName name="_xlnm._FilterDatabase" localSheetId="9" hidden="1">'Revenue Projections '!$A$1:$C$1</definedName>
    <definedName name="_xlnm._FilterDatabase" localSheetId="7" hidden="1">'Unspent Budgeted Funds (23-24) '!$A$1:$N$1</definedName>
    <definedName name="_xlnm._FilterDatabase" localSheetId="6" hidden="1">'WWM Applied to $519.8m '!$A$2:$I$2</definedName>
    <definedName name="abc">#REF!</definedName>
    <definedName name="AdjEndorsement" localSheetId="6">#REF!</definedName>
    <definedName name="AdjEndorsement">#REF!</definedName>
    <definedName name="CertLetter">[1]SFY1920_JuryEstimateDetail!$A$4:$A$70</definedName>
    <definedName name="ClerkDetail">[1]SFY1920_JuryEstimateDetail!$F$4:$AK$70</definedName>
    <definedName name="county">'[2]Cross-Walk'!$A$5:$G$71</definedName>
    <definedName name="county1">'[2]Cross-Walk_2_for Adjs'!$A$2:$E$68</definedName>
    <definedName name="dade">'[2]Cross-Walk'!$A$17:$G$17</definedName>
    <definedName name="dade1">'[2]Cross-Walk_2_for Adjs'!$A$14:$E$14</definedName>
    <definedName name="dynamic_c" localSheetId="6">#REF!</definedName>
    <definedName name="dynamic_c">#REF!</definedName>
    <definedName name="InsufficientAmount">[3]Estimate!$F$55</definedName>
    <definedName name="JuryForm">[1]SFY1920_JuryEstimateDetail!$B$4:$B$70</definedName>
    <definedName name="Peer_Group">'[4]Cost per WC'!$A$76:$B$83</definedName>
    <definedName name="_xlnm.Print_Area" localSheetId="3">'BUDGET CALCULATION'!$A$1:$K$75</definedName>
    <definedName name="_xlnm.Print_Area" localSheetId="8">'Cumulative Excess (23-24) '!$A$1:$B$2</definedName>
    <definedName name="_xlnm.Print_Area" localSheetId="2">'Jury Shortfall Calc. '!$A$1:$G$75</definedName>
    <definedName name="_xlnm.Print_Titles" localSheetId="3">'BUDGET CALCULATION'!$A:$B,'BUDGET CALCULATION'!$1:$1</definedName>
    <definedName name="_xlnm.Print_Titles" localSheetId="1">'Issue Requests '!$A:$B,'Issue Requests '!$1:$1</definedName>
    <definedName name="_xlnm.Print_Titles" localSheetId="2">'Jury Shortfall Calc. '!$1:$4</definedName>
    <definedName name="_xlnm.Print_Titles" localSheetId="11">'Peer Group Comparison '!$1:$2</definedName>
    <definedName name="_xlnm.Print_Titles" localSheetId="10">'Reduction Exercise '!$A:$B,'Reduction Exercise '!$2:$2</definedName>
    <definedName name="_xlnm.Print_Titles" localSheetId="7">'Unspent Budgeted Funds (23-24) '!$1:$1</definedName>
    <definedName name="_xlnm.Print_Titles" localSheetId="6">'WWM Applied to $519.8m '!$A:$B,'WWM Applied to $519.8m '!$2:$2</definedName>
    <definedName name="Q1SFY1617" localSheetId="6">#REF!</definedName>
    <definedName name="Q1SFY1617">#REF!</definedName>
    <definedName name="Remove">#REF!</definedName>
    <definedName name="REmove2">#REF!</definedName>
    <definedName name="solver_eng" localSheetId="7" hidden="1">1</definedName>
    <definedName name="solver_neg" localSheetId="7" hidden="1">1</definedName>
    <definedName name="solver_num" localSheetId="7" hidden="1">0</definedName>
    <definedName name="solver_opt" localSheetId="7" hidden="1">'Unspent Budgeted Funds (23-24) '!$K$60</definedName>
    <definedName name="solver_typ" localSheetId="7" hidden="1">1</definedName>
    <definedName name="solver_val" localSheetId="7" hidden="1">0</definedName>
    <definedName name="solver_ver" localSheetId="7" hidden="1">3</definedName>
    <definedName name="UnExpendedAmount">[3]Estimate!$F$52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30" l="1"/>
  <c r="D76" i="30" s="1"/>
  <c r="C70" i="30"/>
  <c r="D69" i="30" s="1"/>
  <c r="D68" i="30"/>
  <c r="D67" i="30"/>
  <c r="D66" i="30"/>
  <c r="C65" i="30"/>
  <c r="D63" i="30" s="1"/>
  <c r="D64" i="30"/>
  <c r="D60" i="30"/>
  <c r="D59" i="30"/>
  <c r="C57" i="30"/>
  <c r="D46" i="30" s="1"/>
  <c r="D55" i="30"/>
  <c r="D54" i="30"/>
  <c r="D53" i="30"/>
  <c r="D52" i="30"/>
  <c r="D51" i="30"/>
  <c r="D50" i="30"/>
  <c r="D49" i="30"/>
  <c r="D48" i="30"/>
  <c r="D47" i="30"/>
  <c r="D45" i="30"/>
  <c r="D44" i="30"/>
  <c r="D43" i="30"/>
  <c r="C42" i="30"/>
  <c r="D40" i="30" s="1"/>
  <c r="D41" i="30"/>
  <c r="D39" i="30"/>
  <c r="D38" i="30"/>
  <c r="D37" i="30"/>
  <c r="D36" i="30"/>
  <c r="D35" i="30"/>
  <c r="D34" i="30"/>
  <c r="D33" i="30"/>
  <c r="D32" i="30"/>
  <c r="C31" i="30"/>
  <c r="D30" i="30" s="1"/>
  <c r="D28" i="30"/>
  <c r="D27" i="30"/>
  <c r="C20" i="30"/>
  <c r="D14" i="30" s="1"/>
  <c r="D19" i="30"/>
  <c r="D17" i="30"/>
  <c r="D16" i="30"/>
  <c r="D15" i="30"/>
  <c r="D13" i="30"/>
  <c r="D12" i="30"/>
  <c r="D11" i="30"/>
  <c r="C7" i="30"/>
  <c r="C79" i="30" s="1"/>
  <c r="M73" i="29"/>
  <c r="I73" i="29"/>
  <c r="H73" i="29"/>
  <c r="F73" i="29"/>
  <c r="E73" i="29"/>
  <c r="D73" i="29"/>
  <c r="C73" i="29"/>
  <c r="C74" i="29" s="1"/>
  <c r="O71" i="29"/>
  <c r="Q71" i="29" s="1"/>
  <c r="N71" i="29"/>
  <c r="J71" i="29"/>
  <c r="G71" i="29"/>
  <c r="K71" i="29" s="1"/>
  <c r="N70" i="29"/>
  <c r="O70" i="29" s="1"/>
  <c r="Q70" i="29" s="1"/>
  <c r="J70" i="29"/>
  <c r="G70" i="29"/>
  <c r="K70" i="29" s="1"/>
  <c r="N69" i="29"/>
  <c r="O69" i="29" s="1"/>
  <c r="Q69" i="29" s="1"/>
  <c r="J69" i="29"/>
  <c r="G69" i="29"/>
  <c r="K69" i="29" s="1"/>
  <c r="N68" i="29"/>
  <c r="O68" i="29" s="1"/>
  <c r="Q68" i="29" s="1"/>
  <c r="K68" i="29"/>
  <c r="J68" i="29"/>
  <c r="G68" i="29"/>
  <c r="N67" i="29"/>
  <c r="O67" i="29" s="1"/>
  <c r="Q67" i="29" s="1"/>
  <c r="J67" i="29"/>
  <c r="K67" i="29" s="1"/>
  <c r="G67" i="29"/>
  <c r="R66" i="29"/>
  <c r="S66" i="29" s="1"/>
  <c r="K66" i="29"/>
  <c r="L66" i="29" s="1"/>
  <c r="N66" i="29" s="1"/>
  <c r="O66" i="29" s="1"/>
  <c r="Q66" i="29" s="1"/>
  <c r="J66" i="29"/>
  <c r="G66" i="29"/>
  <c r="O65" i="29"/>
  <c r="Q65" i="29" s="1"/>
  <c r="N65" i="29"/>
  <c r="J65" i="29"/>
  <c r="G65" i="29"/>
  <c r="K65" i="29" s="1"/>
  <c r="N64" i="29"/>
  <c r="O64" i="29" s="1"/>
  <c r="Q64" i="29" s="1"/>
  <c r="J64" i="29"/>
  <c r="G64" i="29"/>
  <c r="K64" i="29" s="1"/>
  <c r="O63" i="29"/>
  <c r="Q63" i="29" s="1"/>
  <c r="N63" i="29"/>
  <c r="J63" i="29"/>
  <c r="G63" i="29"/>
  <c r="K63" i="29" s="1"/>
  <c r="N62" i="29"/>
  <c r="O62" i="29" s="1"/>
  <c r="Q62" i="29" s="1"/>
  <c r="K62" i="29"/>
  <c r="J62" i="29"/>
  <c r="G62" i="29"/>
  <c r="N61" i="29"/>
  <c r="O61" i="29" s="1"/>
  <c r="Q61" i="29" s="1"/>
  <c r="J61" i="29"/>
  <c r="G61" i="29"/>
  <c r="K61" i="29" s="1"/>
  <c r="N60" i="29"/>
  <c r="O60" i="29" s="1"/>
  <c r="Q60" i="29" s="1"/>
  <c r="J60" i="29"/>
  <c r="G60" i="29"/>
  <c r="K60" i="29" s="1"/>
  <c r="O59" i="29"/>
  <c r="Q59" i="29" s="1"/>
  <c r="N59" i="29"/>
  <c r="J59" i="29"/>
  <c r="K59" i="29" s="1"/>
  <c r="G59" i="29"/>
  <c r="S58" i="29"/>
  <c r="R58" i="29"/>
  <c r="J58" i="29"/>
  <c r="G58" i="29"/>
  <c r="K58" i="29" s="1"/>
  <c r="L58" i="29" s="1"/>
  <c r="N58" i="29" s="1"/>
  <c r="O57" i="29"/>
  <c r="Q57" i="29" s="1"/>
  <c r="N57" i="29"/>
  <c r="J57" i="29"/>
  <c r="K57" i="29" s="1"/>
  <c r="G57" i="29"/>
  <c r="Q56" i="29"/>
  <c r="O56" i="29"/>
  <c r="N56" i="29"/>
  <c r="K56" i="29"/>
  <c r="J56" i="29"/>
  <c r="G56" i="29"/>
  <c r="O55" i="29"/>
  <c r="Q55" i="29" s="1"/>
  <c r="N55" i="29"/>
  <c r="J55" i="29"/>
  <c r="G55" i="29"/>
  <c r="K55" i="29" s="1"/>
  <c r="N54" i="29"/>
  <c r="O54" i="29" s="1"/>
  <c r="Q54" i="29" s="1"/>
  <c r="J54" i="29"/>
  <c r="G54" i="29"/>
  <c r="K54" i="29" s="1"/>
  <c r="O53" i="29"/>
  <c r="Q53" i="29" s="1"/>
  <c r="N53" i="29"/>
  <c r="J53" i="29"/>
  <c r="G53" i="29"/>
  <c r="K53" i="29" s="1"/>
  <c r="R52" i="29"/>
  <c r="S52" i="29" s="1"/>
  <c r="J52" i="29"/>
  <c r="G52" i="29"/>
  <c r="K52" i="29" s="1"/>
  <c r="L52" i="29" s="1"/>
  <c r="N52" i="29" s="1"/>
  <c r="O52" i="29" s="1"/>
  <c r="Q52" i="29" s="1"/>
  <c r="O51" i="29"/>
  <c r="N51" i="29"/>
  <c r="P51" i="29" s="1"/>
  <c r="Q51" i="29" s="1"/>
  <c r="J51" i="29"/>
  <c r="G51" i="29"/>
  <c r="K51" i="29" s="1"/>
  <c r="R50" i="29"/>
  <c r="S50" i="29" s="1"/>
  <c r="J50" i="29"/>
  <c r="G50" i="29"/>
  <c r="K50" i="29" s="1"/>
  <c r="L50" i="29" s="1"/>
  <c r="N50" i="29" s="1"/>
  <c r="O50" i="29" s="1"/>
  <c r="Q50" i="29" s="1"/>
  <c r="S49" i="29"/>
  <c r="R49" i="29"/>
  <c r="J49" i="29"/>
  <c r="G49" i="29"/>
  <c r="K49" i="29" s="1"/>
  <c r="L49" i="29" s="1"/>
  <c r="N49" i="29" s="1"/>
  <c r="O49" i="29" s="1"/>
  <c r="Q49" i="29" s="1"/>
  <c r="O48" i="29"/>
  <c r="Q48" i="29" s="1"/>
  <c r="N48" i="29"/>
  <c r="J48" i="29"/>
  <c r="K48" i="29" s="1"/>
  <c r="G48" i="29"/>
  <c r="S47" i="29"/>
  <c r="R47" i="29"/>
  <c r="J47" i="29"/>
  <c r="G47" i="29"/>
  <c r="K47" i="29" s="1"/>
  <c r="L47" i="29" s="1"/>
  <c r="N47" i="29" s="1"/>
  <c r="R46" i="29"/>
  <c r="S46" i="29" s="1"/>
  <c r="K46" i="29"/>
  <c r="L46" i="29" s="1"/>
  <c r="N46" i="29" s="1"/>
  <c r="O46" i="29" s="1"/>
  <c r="Q46" i="29" s="1"/>
  <c r="J46" i="29"/>
  <c r="G46" i="29"/>
  <c r="Q45" i="29"/>
  <c r="O45" i="29"/>
  <c r="N45" i="29"/>
  <c r="J45" i="29"/>
  <c r="G45" i="29"/>
  <c r="K45" i="29" s="1"/>
  <c r="N44" i="29"/>
  <c r="O44" i="29" s="1"/>
  <c r="Q44" i="29" s="1"/>
  <c r="J44" i="29"/>
  <c r="G44" i="29"/>
  <c r="K44" i="29" s="1"/>
  <c r="R43" i="29"/>
  <c r="S43" i="29" s="1"/>
  <c r="J43" i="29"/>
  <c r="G43" i="29"/>
  <c r="K43" i="29" s="1"/>
  <c r="L43" i="29" s="1"/>
  <c r="N43" i="29" s="1"/>
  <c r="O43" i="29" s="1"/>
  <c r="Q43" i="29" s="1"/>
  <c r="R42" i="29"/>
  <c r="S42" i="29" s="1"/>
  <c r="J42" i="29"/>
  <c r="G42" i="29"/>
  <c r="K42" i="29" s="1"/>
  <c r="L42" i="29" s="1"/>
  <c r="N42" i="29" s="1"/>
  <c r="O42" i="29" s="1"/>
  <c r="Q42" i="29" s="1"/>
  <c r="S41" i="29"/>
  <c r="R41" i="29"/>
  <c r="J41" i="29"/>
  <c r="G41" i="29"/>
  <c r="K41" i="29" s="1"/>
  <c r="L41" i="29" s="1"/>
  <c r="N41" i="29" s="1"/>
  <c r="O41" i="29" s="1"/>
  <c r="Q41" i="29" s="1"/>
  <c r="R40" i="29"/>
  <c r="S40" i="29" s="1"/>
  <c r="K40" i="29"/>
  <c r="L40" i="29" s="1"/>
  <c r="N40" i="29" s="1"/>
  <c r="O40" i="29" s="1"/>
  <c r="Q40" i="29" s="1"/>
  <c r="J40" i="29"/>
  <c r="G40" i="29"/>
  <c r="S39" i="29"/>
  <c r="R39" i="29"/>
  <c r="J39" i="29"/>
  <c r="G39" i="29"/>
  <c r="K39" i="29" s="1"/>
  <c r="L39" i="29" s="1"/>
  <c r="N39" i="29" s="1"/>
  <c r="O39" i="29" s="1"/>
  <c r="Q39" i="29" s="1"/>
  <c r="S38" i="29"/>
  <c r="R38" i="29"/>
  <c r="J38" i="29"/>
  <c r="G38" i="29"/>
  <c r="K38" i="29" s="1"/>
  <c r="L38" i="29" s="1"/>
  <c r="N38" i="29" s="1"/>
  <c r="O38" i="29" s="1"/>
  <c r="Q38" i="29" s="1"/>
  <c r="R37" i="29"/>
  <c r="S37" i="29" s="1"/>
  <c r="K37" i="29"/>
  <c r="L37" i="29" s="1"/>
  <c r="N37" i="29" s="1"/>
  <c r="O37" i="29" s="1"/>
  <c r="Q37" i="29" s="1"/>
  <c r="J37" i="29"/>
  <c r="G37" i="29"/>
  <c r="S36" i="29"/>
  <c r="R36" i="29"/>
  <c r="L36" i="29"/>
  <c r="N36" i="29" s="1"/>
  <c r="O36" i="29" s="1"/>
  <c r="Q36" i="29" s="1"/>
  <c r="K36" i="29"/>
  <c r="J36" i="29"/>
  <c r="G36" i="29"/>
  <c r="S35" i="29"/>
  <c r="R35" i="29"/>
  <c r="J35" i="29"/>
  <c r="G35" i="29"/>
  <c r="K35" i="29" s="1"/>
  <c r="L35" i="29" s="1"/>
  <c r="N35" i="29" s="1"/>
  <c r="O35" i="29" s="1"/>
  <c r="Q35" i="29" s="1"/>
  <c r="S34" i="29"/>
  <c r="R34" i="29"/>
  <c r="J34" i="29"/>
  <c r="G34" i="29"/>
  <c r="K34" i="29" s="1"/>
  <c r="L34" i="29" s="1"/>
  <c r="N34" i="29" s="1"/>
  <c r="O34" i="29" s="1"/>
  <c r="Q34" i="29" s="1"/>
  <c r="N33" i="29"/>
  <c r="O33" i="29" s="1"/>
  <c r="Q33" i="29" s="1"/>
  <c r="J33" i="29"/>
  <c r="G33" i="29"/>
  <c r="K33" i="29" s="1"/>
  <c r="O32" i="29"/>
  <c r="Q32" i="29" s="1"/>
  <c r="N32" i="29"/>
  <c r="J32" i="29"/>
  <c r="G32" i="29"/>
  <c r="K32" i="29" s="1"/>
  <c r="N31" i="29"/>
  <c r="O31" i="29" s="1"/>
  <c r="Q31" i="29" s="1"/>
  <c r="J31" i="29"/>
  <c r="G31" i="29"/>
  <c r="K31" i="29" s="1"/>
  <c r="Q30" i="29"/>
  <c r="O30" i="29"/>
  <c r="N30" i="29"/>
  <c r="J30" i="29"/>
  <c r="G30" i="29"/>
  <c r="K30" i="29" s="1"/>
  <c r="S29" i="29"/>
  <c r="R29" i="29"/>
  <c r="J29" i="29"/>
  <c r="G29" i="29"/>
  <c r="K29" i="29" s="1"/>
  <c r="L29" i="29" s="1"/>
  <c r="N29" i="29" s="1"/>
  <c r="O29" i="29" s="1"/>
  <c r="Q29" i="29" s="1"/>
  <c r="R28" i="29"/>
  <c r="S28" i="29" s="1"/>
  <c r="K28" i="29"/>
  <c r="L28" i="29" s="1"/>
  <c r="N28" i="29" s="1"/>
  <c r="O28" i="29" s="1"/>
  <c r="Q28" i="29" s="1"/>
  <c r="J28" i="29"/>
  <c r="G28" i="29"/>
  <c r="S27" i="29"/>
  <c r="R27" i="29"/>
  <c r="J27" i="29"/>
  <c r="G27" i="29"/>
  <c r="K27" i="29" s="1"/>
  <c r="L27" i="29" s="1"/>
  <c r="N27" i="29" s="1"/>
  <c r="O27" i="29" s="1"/>
  <c r="Q27" i="29" s="1"/>
  <c r="S26" i="29"/>
  <c r="R26" i="29"/>
  <c r="J26" i="29"/>
  <c r="G26" i="29"/>
  <c r="K26" i="29" s="1"/>
  <c r="L26" i="29" s="1"/>
  <c r="N26" i="29" s="1"/>
  <c r="O26" i="29" s="1"/>
  <c r="Q26" i="29" s="1"/>
  <c r="R25" i="29"/>
  <c r="S25" i="29" s="1"/>
  <c r="K25" i="29"/>
  <c r="L25" i="29" s="1"/>
  <c r="N25" i="29" s="1"/>
  <c r="O25" i="29" s="1"/>
  <c r="Q25" i="29" s="1"/>
  <c r="J25" i="29"/>
  <c r="G25" i="29"/>
  <c r="S24" i="29"/>
  <c r="R24" i="29"/>
  <c r="L24" i="29"/>
  <c r="N24" i="29" s="1"/>
  <c r="O24" i="29" s="1"/>
  <c r="Q24" i="29" s="1"/>
  <c r="K24" i="29"/>
  <c r="J24" i="29"/>
  <c r="G24" i="29"/>
  <c r="S23" i="29"/>
  <c r="R23" i="29"/>
  <c r="J23" i="29"/>
  <c r="G23" i="29"/>
  <c r="K23" i="29" s="1"/>
  <c r="L23" i="29" s="1"/>
  <c r="N23" i="29" s="1"/>
  <c r="O23" i="29" s="1"/>
  <c r="Q23" i="29" s="1"/>
  <c r="S22" i="29"/>
  <c r="R22" i="29"/>
  <c r="J22" i="29"/>
  <c r="G22" i="29"/>
  <c r="K22" i="29" s="1"/>
  <c r="L22" i="29" s="1"/>
  <c r="N22" i="29" s="1"/>
  <c r="O22" i="29" s="1"/>
  <c r="Q22" i="29" s="1"/>
  <c r="N21" i="29"/>
  <c r="O21" i="29" s="1"/>
  <c r="Q21" i="29" s="1"/>
  <c r="J21" i="29"/>
  <c r="G21" i="29"/>
  <c r="K21" i="29" s="1"/>
  <c r="O20" i="29"/>
  <c r="Q20" i="29" s="1"/>
  <c r="N20" i="29"/>
  <c r="J20" i="29"/>
  <c r="G20" i="29"/>
  <c r="K20" i="29" s="1"/>
  <c r="N19" i="29"/>
  <c r="O19" i="29" s="1"/>
  <c r="Q19" i="29" s="1"/>
  <c r="J19" i="29"/>
  <c r="G19" i="29"/>
  <c r="K19" i="29" s="1"/>
  <c r="Q18" i="29"/>
  <c r="O18" i="29"/>
  <c r="N18" i="29"/>
  <c r="J18" i="29"/>
  <c r="G18" i="29"/>
  <c r="K18" i="29" s="1"/>
  <c r="N17" i="29"/>
  <c r="O17" i="29" s="1"/>
  <c r="Q17" i="29" s="1"/>
  <c r="K17" i="29"/>
  <c r="J17" i="29"/>
  <c r="G17" i="29"/>
  <c r="N16" i="29"/>
  <c r="O16" i="29" s="1"/>
  <c r="Q16" i="29" s="1"/>
  <c r="J16" i="29"/>
  <c r="K16" i="29" s="1"/>
  <c r="G16" i="29"/>
  <c r="O15" i="29"/>
  <c r="Q15" i="29" s="1"/>
  <c r="N15" i="29"/>
  <c r="K15" i="29"/>
  <c r="J15" i="29"/>
  <c r="G15" i="29"/>
  <c r="Q14" i="29"/>
  <c r="O14" i="29"/>
  <c r="N14" i="29"/>
  <c r="J14" i="29"/>
  <c r="G14" i="29"/>
  <c r="K14" i="29" s="1"/>
  <c r="N13" i="29"/>
  <c r="O13" i="29" s="1"/>
  <c r="Q13" i="29" s="1"/>
  <c r="J13" i="29"/>
  <c r="G13" i="29"/>
  <c r="K13" i="29" s="1"/>
  <c r="R12" i="29"/>
  <c r="S12" i="29" s="1"/>
  <c r="J12" i="29"/>
  <c r="G12" i="29"/>
  <c r="K12" i="29" s="1"/>
  <c r="L12" i="29" s="1"/>
  <c r="N11" i="29"/>
  <c r="O11" i="29" s="1"/>
  <c r="Q11" i="29" s="1"/>
  <c r="K11" i="29"/>
  <c r="J11" i="29"/>
  <c r="G11" i="29"/>
  <c r="N10" i="29"/>
  <c r="O10" i="29" s="1"/>
  <c r="Q10" i="29" s="1"/>
  <c r="J10" i="29"/>
  <c r="G10" i="29"/>
  <c r="K10" i="29" s="1"/>
  <c r="N9" i="29"/>
  <c r="O9" i="29" s="1"/>
  <c r="Q9" i="29" s="1"/>
  <c r="J9" i="29"/>
  <c r="G9" i="29"/>
  <c r="K9" i="29" s="1"/>
  <c r="O8" i="29"/>
  <c r="Q8" i="29" s="1"/>
  <c r="N8" i="29"/>
  <c r="J8" i="29"/>
  <c r="G8" i="29"/>
  <c r="K8" i="29" s="1"/>
  <c r="Q7" i="29"/>
  <c r="O7" i="29"/>
  <c r="N7" i="29"/>
  <c r="K7" i="29"/>
  <c r="J7" i="29"/>
  <c r="G7" i="29"/>
  <c r="O6" i="29"/>
  <c r="Q6" i="29" s="1"/>
  <c r="N6" i="29"/>
  <c r="J6" i="29"/>
  <c r="G6" i="29"/>
  <c r="G73" i="29" s="1"/>
  <c r="N5" i="29"/>
  <c r="O5" i="29" s="1"/>
  <c r="J5" i="29"/>
  <c r="G5" i="29"/>
  <c r="K5" i="29" s="1"/>
  <c r="I74" i="28"/>
  <c r="G70" i="28"/>
  <c r="F70" i="28"/>
  <c r="D70" i="28"/>
  <c r="C70" i="28"/>
  <c r="E68" i="28"/>
  <c r="I68" i="28" s="1"/>
  <c r="J68" i="28" s="1"/>
  <c r="K68" i="28" s="1"/>
  <c r="E67" i="28"/>
  <c r="I67" i="28" s="1"/>
  <c r="J67" i="28" s="1"/>
  <c r="K67" i="28" s="1"/>
  <c r="E66" i="28"/>
  <c r="I66" i="28" s="1"/>
  <c r="J66" i="28" s="1"/>
  <c r="K66" i="28" s="1"/>
  <c r="J65" i="28"/>
  <c r="K65" i="28" s="1"/>
  <c r="I65" i="28"/>
  <c r="E65" i="28"/>
  <c r="H64" i="28"/>
  <c r="E64" i="28"/>
  <c r="E63" i="28"/>
  <c r="I63" i="28" s="1"/>
  <c r="J63" i="28" s="1"/>
  <c r="K63" i="28" s="1"/>
  <c r="E62" i="28"/>
  <c r="I62" i="28" s="1"/>
  <c r="J62" i="28" s="1"/>
  <c r="K62" i="28" s="1"/>
  <c r="E61" i="28"/>
  <c r="I61" i="28" s="1"/>
  <c r="J61" i="28" s="1"/>
  <c r="K61" i="28" s="1"/>
  <c r="E60" i="28"/>
  <c r="I60" i="28" s="1"/>
  <c r="J60" i="28" s="1"/>
  <c r="K60" i="28" s="1"/>
  <c r="E59" i="28"/>
  <c r="I59" i="28" s="1"/>
  <c r="J59" i="28" s="1"/>
  <c r="K59" i="28" s="1"/>
  <c r="E58" i="28"/>
  <c r="I58" i="28" s="1"/>
  <c r="J58" i="28" s="1"/>
  <c r="K58" i="28" s="1"/>
  <c r="E57" i="28"/>
  <c r="I57" i="28" s="1"/>
  <c r="J57" i="28" s="1"/>
  <c r="K57" i="28" s="1"/>
  <c r="E56" i="28"/>
  <c r="I56" i="28" s="1"/>
  <c r="J56" i="28" s="1"/>
  <c r="K56" i="28" s="1"/>
  <c r="E55" i="28"/>
  <c r="I55" i="28" s="1"/>
  <c r="J55" i="28" s="1"/>
  <c r="K55" i="28" s="1"/>
  <c r="E54" i="28"/>
  <c r="I54" i="28" s="1"/>
  <c r="J54" i="28" s="1"/>
  <c r="K54" i="28" s="1"/>
  <c r="E53" i="28"/>
  <c r="I53" i="28" s="1"/>
  <c r="J53" i="28" s="1"/>
  <c r="K53" i="28" s="1"/>
  <c r="E52" i="28"/>
  <c r="I52" i="28" s="1"/>
  <c r="J52" i="28" s="1"/>
  <c r="K52" i="28" s="1"/>
  <c r="I51" i="28"/>
  <c r="J51" i="28" s="1"/>
  <c r="K51" i="28" s="1"/>
  <c r="E51" i="28"/>
  <c r="E50" i="28"/>
  <c r="I50" i="28" s="1"/>
  <c r="J50" i="28" s="1"/>
  <c r="K50" i="28" s="1"/>
  <c r="H49" i="28"/>
  <c r="E49" i="28"/>
  <c r="E48" i="28"/>
  <c r="I48" i="28" s="1"/>
  <c r="J48" i="28" s="1"/>
  <c r="K48" i="28" s="1"/>
  <c r="E47" i="28"/>
  <c r="I47" i="28" s="1"/>
  <c r="J47" i="28" s="1"/>
  <c r="K47" i="28" s="1"/>
  <c r="E46" i="28"/>
  <c r="I46" i="28" s="1"/>
  <c r="J46" i="28" s="1"/>
  <c r="K46" i="28" s="1"/>
  <c r="E45" i="28"/>
  <c r="I45" i="28" s="1"/>
  <c r="J45" i="28" s="1"/>
  <c r="K45" i="28" s="1"/>
  <c r="H44" i="28"/>
  <c r="E44" i="28"/>
  <c r="I44" i="28" s="1"/>
  <c r="J44" i="28" s="1"/>
  <c r="K44" i="28" s="1"/>
  <c r="E43" i="28"/>
  <c r="I43" i="28" s="1"/>
  <c r="J43" i="28" s="1"/>
  <c r="K43" i="28" s="1"/>
  <c r="E42" i="28"/>
  <c r="I42" i="28" s="1"/>
  <c r="J42" i="28" s="1"/>
  <c r="K42" i="28" s="1"/>
  <c r="E41" i="28"/>
  <c r="I41" i="28" s="1"/>
  <c r="J41" i="28" s="1"/>
  <c r="K41" i="28" s="1"/>
  <c r="I40" i="28"/>
  <c r="J40" i="28" s="1"/>
  <c r="K40" i="28" s="1"/>
  <c r="E40" i="28"/>
  <c r="H39" i="28"/>
  <c r="E39" i="28"/>
  <c r="I39" i="28" s="1"/>
  <c r="J39" i="28" s="1"/>
  <c r="K39" i="28" s="1"/>
  <c r="E38" i="28"/>
  <c r="I38" i="28" s="1"/>
  <c r="J38" i="28" s="1"/>
  <c r="K38" i="28" s="1"/>
  <c r="E37" i="28"/>
  <c r="I37" i="28" s="1"/>
  <c r="J37" i="28" s="1"/>
  <c r="K37" i="28" s="1"/>
  <c r="E36" i="28"/>
  <c r="I36" i="28" s="1"/>
  <c r="J36" i="28" s="1"/>
  <c r="K36" i="28" s="1"/>
  <c r="E35" i="28"/>
  <c r="I35" i="28" s="1"/>
  <c r="J35" i="28" s="1"/>
  <c r="K35" i="28" s="1"/>
  <c r="H34" i="28"/>
  <c r="E34" i="28"/>
  <c r="I34" i="28" s="1"/>
  <c r="J34" i="28" s="1"/>
  <c r="K34" i="28" s="1"/>
  <c r="E33" i="28"/>
  <c r="I33" i="28" s="1"/>
  <c r="J33" i="28" s="1"/>
  <c r="K33" i="28" s="1"/>
  <c r="E32" i="28"/>
  <c r="I32" i="28" s="1"/>
  <c r="J32" i="28" s="1"/>
  <c r="K32" i="28" s="1"/>
  <c r="E31" i="28"/>
  <c r="I31" i="28" s="1"/>
  <c r="J31" i="28" s="1"/>
  <c r="K31" i="28" s="1"/>
  <c r="E30" i="28"/>
  <c r="I30" i="28" s="1"/>
  <c r="J30" i="28" s="1"/>
  <c r="K30" i="28" s="1"/>
  <c r="H29" i="28"/>
  <c r="E29" i="28"/>
  <c r="I29" i="28" s="1"/>
  <c r="J29" i="28" s="1"/>
  <c r="K29" i="28" s="1"/>
  <c r="E28" i="28"/>
  <c r="I28" i="28" s="1"/>
  <c r="J28" i="28" s="1"/>
  <c r="K28" i="28" s="1"/>
  <c r="E27" i="28"/>
  <c r="I27" i="28" s="1"/>
  <c r="J27" i="28" s="1"/>
  <c r="K27" i="28" s="1"/>
  <c r="E26" i="28"/>
  <c r="I26" i="28" s="1"/>
  <c r="J26" i="28" s="1"/>
  <c r="K26" i="28" s="1"/>
  <c r="E25" i="28"/>
  <c r="I25" i="28" s="1"/>
  <c r="J25" i="28" s="1"/>
  <c r="K25" i="28" s="1"/>
  <c r="E24" i="28"/>
  <c r="I24" i="28" s="1"/>
  <c r="J24" i="28" s="1"/>
  <c r="K24" i="28" s="1"/>
  <c r="E23" i="28"/>
  <c r="I23" i="28" s="1"/>
  <c r="J23" i="28" s="1"/>
  <c r="K23" i="28" s="1"/>
  <c r="E22" i="28"/>
  <c r="I22" i="28" s="1"/>
  <c r="J22" i="28" s="1"/>
  <c r="K22" i="28" s="1"/>
  <c r="I21" i="28"/>
  <c r="J21" i="28" s="1"/>
  <c r="K21" i="28" s="1"/>
  <c r="E21" i="28"/>
  <c r="E20" i="28"/>
  <c r="I20" i="28" s="1"/>
  <c r="J20" i="28" s="1"/>
  <c r="K20" i="28" s="1"/>
  <c r="E19" i="28"/>
  <c r="I19" i="28" s="1"/>
  <c r="J19" i="28" s="1"/>
  <c r="K19" i="28" s="1"/>
  <c r="E18" i="28"/>
  <c r="I18" i="28" s="1"/>
  <c r="J18" i="28" s="1"/>
  <c r="K18" i="28" s="1"/>
  <c r="E17" i="28"/>
  <c r="I17" i="28" s="1"/>
  <c r="J17" i="28" s="1"/>
  <c r="K17" i="28" s="1"/>
  <c r="E16" i="28"/>
  <c r="I16" i="28" s="1"/>
  <c r="J16" i="28" s="1"/>
  <c r="K16" i="28" s="1"/>
  <c r="E15" i="28"/>
  <c r="I15" i="28" s="1"/>
  <c r="J15" i="28" s="1"/>
  <c r="K15" i="28" s="1"/>
  <c r="E14" i="28"/>
  <c r="I14" i="28" s="1"/>
  <c r="J14" i="28" s="1"/>
  <c r="K14" i="28" s="1"/>
  <c r="I13" i="28"/>
  <c r="J13" i="28" s="1"/>
  <c r="K13" i="28" s="1"/>
  <c r="E13" i="28"/>
  <c r="E12" i="28"/>
  <c r="I12" i="28" s="1"/>
  <c r="J12" i="28" s="1"/>
  <c r="K12" i="28" s="1"/>
  <c r="I11" i="28"/>
  <c r="J11" i="28" s="1"/>
  <c r="K11" i="28" s="1"/>
  <c r="E11" i="28"/>
  <c r="E10" i="28"/>
  <c r="I10" i="28" s="1"/>
  <c r="J10" i="28" s="1"/>
  <c r="K10" i="28" s="1"/>
  <c r="E9" i="28"/>
  <c r="I9" i="28" s="1"/>
  <c r="J9" i="28" s="1"/>
  <c r="K9" i="28" s="1"/>
  <c r="E8" i="28"/>
  <c r="I8" i="28" s="1"/>
  <c r="J8" i="28" s="1"/>
  <c r="K8" i="28" s="1"/>
  <c r="H7" i="28"/>
  <c r="E7" i="28"/>
  <c r="I7" i="28" s="1"/>
  <c r="J7" i="28" s="1"/>
  <c r="K7" i="28" s="1"/>
  <c r="E6" i="28"/>
  <c r="I6" i="28" s="1"/>
  <c r="J6" i="28" s="1"/>
  <c r="K6" i="28" s="1"/>
  <c r="E5" i="28"/>
  <c r="I5" i="28" s="1"/>
  <c r="J5" i="28" s="1"/>
  <c r="K5" i="28" s="1"/>
  <c r="E4" i="28"/>
  <c r="I4" i="28" s="1"/>
  <c r="J4" i="28" s="1"/>
  <c r="K4" i="28" s="1"/>
  <c r="E3" i="28"/>
  <c r="I3" i="28" s="1"/>
  <c r="J3" i="28" s="1"/>
  <c r="K3" i="28" s="1"/>
  <c r="E2" i="28"/>
  <c r="I2" i="28" s="1"/>
  <c r="J2" i="28" s="1"/>
  <c r="S76" i="27"/>
  <c r="P70" i="27"/>
  <c r="N70" i="27"/>
  <c r="M70" i="27"/>
  <c r="L70" i="27"/>
  <c r="K70" i="27"/>
  <c r="I70" i="27"/>
  <c r="G70" i="27"/>
  <c r="K72" i="27" s="1"/>
  <c r="F70" i="27"/>
  <c r="D70" i="27"/>
  <c r="C70" i="27"/>
  <c r="Q68" i="27"/>
  <c r="E68" i="27"/>
  <c r="S68" i="27" s="1"/>
  <c r="S67" i="27"/>
  <c r="T67" i="27" s="1"/>
  <c r="Q67" i="27"/>
  <c r="E67" i="27"/>
  <c r="Q66" i="27"/>
  <c r="J66" i="27"/>
  <c r="E66" i="27"/>
  <c r="S66" i="27" s="1"/>
  <c r="R65" i="27"/>
  <c r="J65" i="27"/>
  <c r="Q65" i="27" s="1"/>
  <c r="E65" i="27"/>
  <c r="S65" i="27" s="1"/>
  <c r="U64" i="27"/>
  <c r="T64" i="27"/>
  <c r="S64" i="27"/>
  <c r="R64" i="27"/>
  <c r="Q64" i="27"/>
  <c r="E64" i="27"/>
  <c r="Q63" i="27"/>
  <c r="E63" i="27"/>
  <c r="S63" i="27" s="1"/>
  <c r="Q62" i="27"/>
  <c r="E62" i="27"/>
  <c r="S62" i="27" s="1"/>
  <c r="Q61" i="27"/>
  <c r="S61" i="27" s="1"/>
  <c r="E61" i="27"/>
  <c r="Q60" i="27"/>
  <c r="E60" i="27"/>
  <c r="S60" i="27" s="1"/>
  <c r="R59" i="27"/>
  <c r="Q59" i="27"/>
  <c r="E59" i="27"/>
  <c r="S59" i="27" s="1"/>
  <c r="Q58" i="27"/>
  <c r="J58" i="27"/>
  <c r="E58" i="27"/>
  <c r="S58" i="27" s="1"/>
  <c r="R57" i="27"/>
  <c r="Q57" i="27"/>
  <c r="K57" i="27"/>
  <c r="E57" i="27"/>
  <c r="S57" i="27" s="1"/>
  <c r="S56" i="27"/>
  <c r="U56" i="27" s="1"/>
  <c r="R56" i="27"/>
  <c r="Q56" i="27"/>
  <c r="E56" i="27"/>
  <c r="Q55" i="27"/>
  <c r="E55" i="27"/>
  <c r="S55" i="27" s="1"/>
  <c r="R54" i="27"/>
  <c r="J54" i="27"/>
  <c r="Q54" i="27" s="1"/>
  <c r="E54" i="27"/>
  <c r="S54" i="27" s="1"/>
  <c r="R53" i="27"/>
  <c r="Q53" i="27"/>
  <c r="S53" i="27" s="1"/>
  <c r="K53" i="27"/>
  <c r="J53" i="27"/>
  <c r="E53" i="27"/>
  <c r="Q52" i="27"/>
  <c r="E52" i="27"/>
  <c r="S52" i="27" s="1"/>
  <c r="J51" i="27"/>
  <c r="Q51" i="27" s="1"/>
  <c r="S51" i="27" s="1"/>
  <c r="H51" i="27"/>
  <c r="E51" i="27"/>
  <c r="Q50" i="27"/>
  <c r="E50" i="27"/>
  <c r="S50" i="27" s="1"/>
  <c r="R49" i="27"/>
  <c r="J49" i="27"/>
  <c r="Q49" i="27" s="1"/>
  <c r="E49" i="27"/>
  <c r="S49" i="27" s="1"/>
  <c r="R48" i="27"/>
  <c r="Q48" i="27"/>
  <c r="S48" i="27" s="1"/>
  <c r="J48" i="27"/>
  <c r="E48" i="27"/>
  <c r="Q47" i="27"/>
  <c r="E47" i="27"/>
  <c r="S47" i="27" s="1"/>
  <c r="R46" i="27"/>
  <c r="Q46" i="27"/>
  <c r="E46" i="27"/>
  <c r="S46" i="27" s="1"/>
  <c r="S45" i="27"/>
  <c r="T45" i="27" s="1"/>
  <c r="Q45" i="27"/>
  <c r="E45" i="27"/>
  <c r="R44" i="27"/>
  <c r="Q44" i="27"/>
  <c r="J44" i="27"/>
  <c r="E44" i="27"/>
  <c r="S44" i="27" s="1"/>
  <c r="S43" i="27"/>
  <c r="U43" i="27" s="1"/>
  <c r="R43" i="27"/>
  <c r="Q43" i="27"/>
  <c r="E43" i="27"/>
  <c r="R42" i="27"/>
  <c r="Q42" i="27"/>
  <c r="E42" i="27"/>
  <c r="S42" i="27" s="1"/>
  <c r="R41" i="27"/>
  <c r="Q41" i="27"/>
  <c r="E41" i="27"/>
  <c r="S41" i="27" s="1"/>
  <c r="Q40" i="27"/>
  <c r="E40" i="27"/>
  <c r="S40" i="27" s="1"/>
  <c r="Q39" i="27"/>
  <c r="E39" i="27"/>
  <c r="S39" i="27" s="1"/>
  <c r="Q38" i="27"/>
  <c r="E38" i="27"/>
  <c r="S38" i="27" s="1"/>
  <c r="S37" i="27"/>
  <c r="U37" i="27" s="1"/>
  <c r="Q37" i="27"/>
  <c r="E37" i="27"/>
  <c r="Q36" i="27"/>
  <c r="E36" i="27"/>
  <c r="S36" i="27" s="1"/>
  <c r="R35" i="27"/>
  <c r="H35" i="27"/>
  <c r="H70" i="27" s="1"/>
  <c r="E35" i="27"/>
  <c r="J34" i="27"/>
  <c r="Q34" i="27" s="1"/>
  <c r="S34" i="27" s="1"/>
  <c r="E34" i="27"/>
  <c r="O33" i="27"/>
  <c r="Q33" i="27" s="1"/>
  <c r="E33" i="27"/>
  <c r="S33" i="27" s="1"/>
  <c r="Q32" i="27"/>
  <c r="E32" i="27"/>
  <c r="S32" i="27" s="1"/>
  <c r="R31" i="27"/>
  <c r="Q31" i="27"/>
  <c r="S31" i="27" s="1"/>
  <c r="E31" i="27"/>
  <c r="R30" i="27"/>
  <c r="Q30" i="27"/>
  <c r="E30" i="27"/>
  <c r="S30" i="27" s="1"/>
  <c r="Q29" i="27"/>
  <c r="E29" i="27"/>
  <c r="S29" i="27" s="1"/>
  <c r="R28" i="27"/>
  <c r="K28" i="27"/>
  <c r="Q28" i="27" s="1"/>
  <c r="S28" i="27" s="1"/>
  <c r="E28" i="27"/>
  <c r="S27" i="27"/>
  <c r="U27" i="27" s="1"/>
  <c r="Q27" i="27"/>
  <c r="E27" i="27"/>
  <c r="S26" i="27"/>
  <c r="U26" i="27" s="1"/>
  <c r="R26" i="27"/>
  <c r="Q26" i="27"/>
  <c r="K26" i="27"/>
  <c r="E26" i="27"/>
  <c r="Q25" i="27"/>
  <c r="E25" i="27"/>
  <c r="S25" i="27" s="1"/>
  <c r="Q24" i="27"/>
  <c r="E24" i="27"/>
  <c r="S24" i="27" s="1"/>
  <c r="S23" i="27"/>
  <c r="T23" i="27" s="1"/>
  <c r="R23" i="27"/>
  <c r="Q23" i="27"/>
  <c r="E23" i="27"/>
  <c r="Q22" i="27"/>
  <c r="E22" i="27"/>
  <c r="S22" i="27" s="1"/>
  <c r="J21" i="27"/>
  <c r="Q21" i="27" s="1"/>
  <c r="E21" i="27"/>
  <c r="S21" i="27" s="1"/>
  <c r="Q20" i="27"/>
  <c r="E20" i="27"/>
  <c r="S20" i="27" s="1"/>
  <c r="Q19" i="27"/>
  <c r="E19" i="27"/>
  <c r="S19" i="27" s="1"/>
  <c r="R18" i="27"/>
  <c r="J18" i="27"/>
  <c r="Q18" i="27" s="1"/>
  <c r="E18" i="27"/>
  <c r="S18" i="27" s="1"/>
  <c r="Q17" i="27"/>
  <c r="E17" i="27"/>
  <c r="S17" i="27" s="1"/>
  <c r="R16" i="27"/>
  <c r="O16" i="27"/>
  <c r="O70" i="27" s="1"/>
  <c r="N16" i="27"/>
  <c r="Q16" i="27" s="1"/>
  <c r="E16" i="27"/>
  <c r="S16" i="27" s="1"/>
  <c r="Q15" i="27"/>
  <c r="S15" i="27" s="1"/>
  <c r="E15" i="27"/>
  <c r="R14" i="27"/>
  <c r="Q14" i="27"/>
  <c r="J14" i="27"/>
  <c r="E14" i="27"/>
  <c r="S14" i="27" s="1"/>
  <c r="Q13" i="27"/>
  <c r="E13" i="27"/>
  <c r="S13" i="27" s="1"/>
  <c r="S12" i="27"/>
  <c r="T12" i="27" s="1"/>
  <c r="Q12" i="27"/>
  <c r="E12" i="27"/>
  <c r="R11" i="27"/>
  <c r="J11" i="27"/>
  <c r="Q11" i="27" s="1"/>
  <c r="E11" i="27"/>
  <c r="S11" i="27" s="1"/>
  <c r="J10" i="27"/>
  <c r="Q10" i="27" s="1"/>
  <c r="E10" i="27"/>
  <c r="S10" i="27" s="1"/>
  <c r="Q9" i="27"/>
  <c r="J9" i="27"/>
  <c r="E9" i="27"/>
  <c r="S9" i="27" s="1"/>
  <c r="Q8" i="27"/>
  <c r="E8" i="27"/>
  <c r="S8" i="27" s="1"/>
  <c r="Q7" i="27"/>
  <c r="E7" i="27"/>
  <c r="S7" i="27" s="1"/>
  <c r="Q6" i="27"/>
  <c r="E6" i="27"/>
  <c r="S6" i="27" s="1"/>
  <c r="Q5" i="27"/>
  <c r="E5" i="27"/>
  <c r="S5" i="27" s="1"/>
  <c r="J4" i="27"/>
  <c r="Q4" i="27" s="1"/>
  <c r="E4" i="27"/>
  <c r="S4" i="27" s="1"/>
  <c r="R3" i="27"/>
  <c r="R70" i="27" s="1"/>
  <c r="Q3" i="27"/>
  <c r="E3" i="27"/>
  <c r="S3" i="27" s="1"/>
  <c r="J2" i="27"/>
  <c r="Q2" i="27" s="1"/>
  <c r="E2" i="27"/>
  <c r="E70" i="27" s="1"/>
  <c r="B7" i="26"/>
  <c r="B17" i="26" s="1"/>
  <c r="B18" i="26" s="1"/>
  <c r="D18" i="30" l="1"/>
  <c r="D5" i="30"/>
  <c r="D21" i="30"/>
  <c r="D3" i="30"/>
  <c r="D6" i="30"/>
  <c r="D22" i="30"/>
  <c r="D23" i="30"/>
  <c r="D71" i="30"/>
  <c r="D4" i="30"/>
  <c r="D8" i="30"/>
  <c r="D24" i="30"/>
  <c r="D56" i="30"/>
  <c r="D72" i="30"/>
  <c r="D9" i="30"/>
  <c r="D25" i="30"/>
  <c r="D73" i="30"/>
  <c r="D10" i="30"/>
  <c r="D26" i="30"/>
  <c r="D58" i="30"/>
  <c r="D74" i="30"/>
  <c r="D75" i="30"/>
  <c r="D29" i="30"/>
  <c r="D61" i="30"/>
  <c r="D62" i="30"/>
  <c r="N12" i="29"/>
  <c r="O12" i="29" s="1"/>
  <c r="Q12" i="29" s="1"/>
  <c r="L73" i="29"/>
  <c r="P58" i="29"/>
  <c r="O58" i="29"/>
  <c r="Q5" i="29"/>
  <c r="S73" i="29"/>
  <c r="P47" i="29"/>
  <c r="O47" i="29"/>
  <c r="O73" i="29" s="1"/>
  <c r="K6" i="29"/>
  <c r="J73" i="29"/>
  <c r="N73" i="29"/>
  <c r="N75" i="29" s="1"/>
  <c r="R73" i="29"/>
  <c r="I64" i="28"/>
  <c r="J64" i="28" s="1"/>
  <c r="K64" i="28" s="1"/>
  <c r="I49" i="28"/>
  <c r="J49" i="28" s="1"/>
  <c r="K49" i="28" s="1"/>
  <c r="E70" i="28"/>
  <c r="J70" i="28"/>
  <c r="K70" i="28" s="1"/>
  <c r="K2" i="28"/>
  <c r="I70" i="28"/>
  <c r="I71" i="28" s="1"/>
  <c r="U16" i="27"/>
  <c r="T16" i="27"/>
  <c r="U52" i="27"/>
  <c r="T52" i="27"/>
  <c r="U62" i="27"/>
  <c r="T62" i="27"/>
  <c r="U4" i="27"/>
  <c r="T4" i="27"/>
  <c r="T24" i="27"/>
  <c r="U24" i="27"/>
  <c r="T18" i="27"/>
  <c r="U18" i="27"/>
  <c r="U30" i="27"/>
  <c r="T30" i="27"/>
  <c r="U58" i="27"/>
  <c r="T58" i="27"/>
  <c r="U57" i="27"/>
  <c r="T57" i="27"/>
  <c r="T6" i="27"/>
  <c r="U6" i="27"/>
  <c r="U25" i="27"/>
  <c r="T25" i="27"/>
  <c r="T53" i="27"/>
  <c r="U53" i="27"/>
  <c r="U10" i="27"/>
  <c r="T10" i="27"/>
  <c r="U17" i="27"/>
  <c r="T17" i="27"/>
  <c r="T48" i="27"/>
  <c r="U48" i="27"/>
  <c r="U46" i="27"/>
  <c r="T46" i="27"/>
  <c r="U7" i="27"/>
  <c r="T7" i="27"/>
  <c r="U54" i="27"/>
  <c r="T54" i="27"/>
  <c r="U59" i="27"/>
  <c r="T59" i="27"/>
  <c r="U51" i="27"/>
  <c r="T51" i="27"/>
  <c r="U11" i="27"/>
  <c r="T11" i="27"/>
  <c r="T29" i="27"/>
  <c r="U29" i="27"/>
  <c r="U14" i="27"/>
  <c r="T14" i="27"/>
  <c r="U31" i="27"/>
  <c r="T31" i="27"/>
  <c r="U38" i="27"/>
  <c r="T38" i="27"/>
  <c r="U44" i="27"/>
  <c r="T44" i="27"/>
  <c r="U49" i="27"/>
  <c r="T49" i="27"/>
  <c r="T65" i="27"/>
  <c r="U65" i="27"/>
  <c r="U3" i="27"/>
  <c r="T3" i="27"/>
  <c r="T13" i="27"/>
  <c r="U13" i="27"/>
  <c r="U8" i="27"/>
  <c r="T8" i="27"/>
  <c r="U20" i="27"/>
  <c r="T20" i="27"/>
  <c r="U42" i="27"/>
  <c r="T42" i="27"/>
  <c r="U32" i="27"/>
  <c r="T32" i="27"/>
  <c r="U39" i="27"/>
  <c r="T39" i="27"/>
  <c r="U55" i="27"/>
  <c r="T55" i="27"/>
  <c r="U60" i="27"/>
  <c r="T60" i="27"/>
  <c r="T41" i="27"/>
  <c r="U41" i="27"/>
  <c r="T34" i="27"/>
  <c r="U34" i="27"/>
  <c r="T28" i="27"/>
  <c r="U28" i="27"/>
  <c r="T68" i="27"/>
  <c r="U68" i="27"/>
  <c r="U47" i="27"/>
  <c r="T47" i="27"/>
  <c r="U5" i="27"/>
  <c r="T5" i="27"/>
  <c r="U9" i="27"/>
  <c r="T9" i="27"/>
  <c r="U21" i="27"/>
  <c r="T21" i="27"/>
  <c r="U50" i="27"/>
  <c r="T50" i="27"/>
  <c r="U66" i="27"/>
  <c r="T66" i="27"/>
  <c r="S35" i="27"/>
  <c r="U36" i="27"/>
  <c r="T36" i="27"/>
  <c r="U33" i="27"/>
  <c r="T33" i="27"/>
  <c r="U40" i="27"/>
  <c r="T40" i="27"/>
  <c r="U63" i="27"/>
  <c r="T63" i="27"/>
  <c r="U19" i="27"/>
  <c r="T19" i="27"/>
  <c r="Q70" i="27"/>
  <c r="Q72" i="27" s="1"/>
  <c r="T15" i="27"/>
  <c r="U15" i="27"/>
  <c r="U22" i="27"/>
  <c r="T22" i="27"/>
  <c r="U61" i="27"/>
  <c r="T61" i="27"/>
  <c r="U45" i="27"/>
  <c r="J70" i="27"/>
  <c r="T37" i="27"/>
  <c r="U23" i="27"/>
  <c r="Q35" i="27"/>
  <c r="U12" i="27"/>
  <c r="T27" i="27"/>
  <c r="T26" i="27"/>
  <c r="T56" i="27"/>
  <c r="S2" i="27"/>
  <c r="T43" i="27"/>
  <c r="U67" i="27"/>
  <c r="B10" i="26"/>
  <c r="B22" i="26" s="1"/>
  <c r="B23" i="26" s="1"/>
  <c r="D79" i="30" l="1"/>
  <c r="Q58" i="29"/>
  <c r="P73" i="29"/>
  <c r="Q47" i="29"/>
  <c r="Q73" i="29" s="1"/>
  <c r="I75" i="28"/>
  <c r="U2" i="27"/>
  <c r="T2" i="27"/>
  <c r="S70" i="27"/>
  <c r="U35" i="27"/>
  <c r="T35" i="27"/>
  <c r="F5" i="22"/>
  <c r="S77" i="27" l="1"/>
  <c r="U70" i="27"/>
  <c r="T70" i="27"/>
  <c r="E69" i="22" l="1"/>
  <c r="E67" i="22"/>
  <c r="E68" i="22"/>
  <c r="E55" i="22"/>
  <c r="E50" i="22"/>
  <c r="E53" i="22"/>
  <c r="E65" i="22"/>
  <c r="E66" i="22"/>
  <c r="E58" i="22"/>
  <c r="E63" i="22"/>
  <c r="E59" i="22"/>
  <c r="E60" i="22"/>
  <c r="E56" i="22"/>
  <c r="E33" i="22"/>
  <c r="E61" i="22"/>
  <c r="E37" i="22"/>
  <c r="E31" i="22"/>
  <c r="E64" i="22"/>
  <c r="E52" i="22"/>
  <c r="E54" i="22"/>
  <c r="E47" i="22"/>
  <c r="E10" i="22"/>
  <c r="E46" i="22"/>
  <c r="E57" i="22"/>
  <c r="E44" i="22"/>
  <c r="E32" i="22"/>
  <c r="E29" i="22"/>
  <c r="E18" i="22"/>
  <c r="E43" i="22"/>
  <c r="E41" i="22"/>
  <c r="E34" i="22"/>
  <c r="E24" i="22"/>
  <c r="E51" i="22"/>
  <c r="E17" i="22"/>
  <c r="E23" i="22"/>
  <c r="E45" i="22"/>
  <c r="E3" i="22"/>
  <c r="E12" i="22"/>
  <c r="E20" i="22"/>
  <c r="E40" i="22"/>
  <c r="E22" i="22"/>
  <c r="E26" i="22"/>
  <c r="E39" i="22"/>
  <c r="E19" i="22"/>
  <c r="E42" i="22"/>
  <c r="E16" i="22"/>
  <c r="E7" i="22"/>
  <c r="E28" i="22"/>
  <c r="E38" i="22"/>
  <c r="E36" i="22"/>
  <c r="E35" i="22"/>
  <c r="E15" i="22"/>
  <c r="E14" i="22"/>
  <c r="E49" i="22"/>
  <c r="E27" i="22"/>
  <c r="E21" i="22"/>
  <c r="E6" i="22"/>
  <c r="E48" i="22"/>
  <c r="E4" i="22"/>
  <c r="E11" i="22"/>
  <c r="E30" i="22"/>
  <c r="E9" i="22"/>
  <c r="E13" i="22"/>
  <c r="E5" i="22"/>
  <c r="E8" i="22"/>
  <c r="E25" i="22"/>
  <c r="E62" i="22"/>
  <c r="D66" i="23" l="1"/>
  <c r="C71" i="23" l="1"/>
  <c r="D69" i="23"/>
  <c r="E69" i="23" s="1"/>
  <c r="F69" i="23" s="1"/>
  <c r="D68" i="23"/>
  <c r="E68" i="23" s="1"/>
  <c r="F68" i="23" s="1"/>
  <c r="D67" i="23"/>
  <c r="E67" i="23" s="1"/>
  <c r="F67" i="23" s="1"/>
  <c r="E66" i="23"/>
  <c r="F66" i="23" s="1"/>
  <c r="D65" i="23"/>
  <c r="E65" i="23" s="1"/>
  <c r="F65" i="23" s="1"/>
  <c r="D64" i="23"/>
  <c r="E64" i="23" s="1"/>
  <c r="F64" i="23" s="1"/>
  <c r="D63" i="23"/>
  <c r="E63" i="23" s="1"/>
  <c r="F63" i="23" s="1"/>
  <c r="D62" i="23"/>
  <c r="E62" i="23" s="1"/>
  <c r="F62" i="23" s="1"/>
  <c r="D61" i="23"/>
  <c r="E61" i="23" s="1"/>
  <c r="F61" i="23" s="1"/>
  <c r="D60" i="23"/>
  <c r="E60" i="23" s="1"/>
  <c r="F60" i="23" s="1"/>
  <c r="D59" i="23"/>
  <c r="E59" i="23" s="1"/>
  <c r="F59" i="23" s="1"/>
  <c r="D58" i="23"/>
  <c r="E58" i="23" s="1"/>
  <c r="F58" i="23" s="1"/>
  <c r="D57" i="23"/>
  <c r="E57" i="23" s="1"/>
  <c r="F57" i="23" s="1"/>
  <c r="D56" i="23"/>
  <c r="E56" i="23" s="1"/>
  <c r="F56" i="23" s="1"/>
  <c r="D55" i="23"/>
  <c r="E55" i="23" s="1"/>
  <c r="F55" i="23" s="1"/>
  <c r="D54" i="23"/>
  <c r="E54" i="23" s="1"/>
  <c r="F54" i="23" s="1"/>
  <c r="D53" i="23"/>
  <c r="E53" i="23" s="1"/>
  <c r="F53" i="23" s="1"/>
  <c r="D52" i="23"/>
  <c r="E52" i="23" s="1"/>
  <c r="F52" i="23" s="1"/>
  <c r="D51" i="23"/>
  <c r="E51" i="23" s="1"/>
  <c r="F51" i="23" s="1"/>
  <c r="D50" i="23"/>
  <c r="E50" i="23" s="1"/>
  <c r="F50" i="23" s="1"/>
  <c r="D49" i="23"/>
  <c r="E49" i="23" s="1"/>
  <c r="F49" i="23" s="1"/>
  <c r="D48" i="23"/>
  <c r="E48" i="23" s="1"/>
  <c r="F48" i="23" s="1"/>
  <c r="D47" i="23"/>
  <c r="E47" i="23" s="1"/>
  <c r="F47" i="23" s="1"/>
  <c r="D46" i="23"/>
  <c r="E46" i="23" s="1"/>
  <c r="F46" i="23" s="1"/>
  <c r="D45" i="23"/>
  <c r="E45" i="23" s="1"/>
  <c r="F45" i="23" s="1"/>
  <c r="D44" i="23"/>
  <c r="E44" i="23" s="1"/>
  <c r="F44" i="23" s="1"/>
  <c r="D43" i="23"/>
  <c r="E43" i="23" s="1"/>
  <c r="F43" i="23" s="1"/>
  <c r="D42" i="23"/>
  <c r="E42" i="23" s="1"/>
  <c r="F42" i="23" s="1"/>
  <c r="D41" i="23"/>
  <c r="E41" i="23" s="1"/>
  <c r="F41" i="23" s="1"/>
  <c r="D40" i="23"/>
  <c r="E40" i="23" s="1"/>
  <c r="F40" i="23" s="1"/>
  <c r="D39" i="23"/>
  <c r="E39" i="23" s="1"/>
  <c r="F39" i="23" s="1"/>
  <c r="D38" i="23"/>
  <c r="E38" i="23" s="1"/>
  <c r="F38" i="23" s="1"/>
  <c r="D37" i="23"/>
  <c r="E37" i="23" s="1"/>
  <c r="F37" i="23" s="1"/>
  <c r="D36" i="23"/>
  <c r="E36" i="23" s="1"/>
  <c r="F36" i="23" s="1"/>
  <c r="D35" i="23"/>
  <c r="E35" i="23" s="1"/>
  <c r="F35" i="23" s="1"/>
  <c r="D34" i="23"/>
  <c r="E34" i="23" s="1"/>
  <c r="F34" i="23" s="1"/>
  <c r="D33" i="23"/>
  <c r="E33" i="23" s="1"/>
  <c r="F33" i="23" s="1"/>
  <c r="D32" i="23"/>
  <c r="E32" i="23" s="1"/>
  <c r="F32" i="23" s="1"/>
  <c r="D31" i="23"/>
  <c r="E31" i="23" s="1"/>
  <c r="F31" i="23" s="1"/>
  <c r="D30" i="23"/>
  <c r="E30" i="23" s="1"/>
  <c r="F30" i="23" s="1"/>
  <c r="D29" i="23"/>
  <c r="E29" i="23" s="1"/>
  <c r="F29" i="23" s="1"/>
  <c r="D28" i="23"/>
  <c r="E28" i="23" s="1"/>
  <c r="F28" i="23" s="1"/>
  <c r="D27" i="23"/>
  <c r="E27" i="23" s="1"/>
  <c r="F27" i="23" s="1"/>
  <c r="D26" i="23"/>
  <c r="E26" i="23" s="1"/>
  <c r="F26" i="23" s="1"/>
  <c r="D25" i="23"/>
  <c r="E25" i="23" s="1"/>
  <c r="F25" i="23" s="1"/>
  <c r="D24" i="23"/>
  <c r="E24" i="23" s="1"/>
  <c r="F24" i="23" s="1"/>
  <c r="D23" i="23"/>
  <c r="E23" i="23" s="1"/>
  <c r="F23" i="23" s="1"/>
  <c r="D22" i="23"/>
  <c r="E22" i="23" s="1"/>
  <c r="F22" i="23" s="1"/>
  <c r="D21" i="23"/>
  <c r="E21" i="23" s="1"/>
  <c r="F21" i="23" s="1"/>
  <c r="D20" i="23"/>
  <c r="E20" i="23" s="1"/>
  <c r="F20" i="23" s="1"/>
  <c r="D19" i="23"/>
  <c r="E19" i="23" s="1"/>
  <c r="F19" i="23" s="1"/>
  <c r="D18" i="23"/>
  <c r="E18" i="23" s="1"/>
  <c r="F18" i="23" s="1"/>
  <c r="D17" i="23"/>
  <c r="E17" i="23" s="1"/>
  <c r="F17" i="23" s="1"/>
  <c r="D16" i="23"/>
  <c r="E16" i="23" s="1"/>
  <c r="F16" i="23" s="1"/>
  <c r="D15" i="23"/>
  <c r="E15" i="23" s="1"/>
  <c r="F15" i="23" s="1"/>
  <c r="D14" i="23"/>
  <c r="E14" i="23" s="1"/>
  <c r="F14" i="23" s="1"/>
  <c r="D13" i="23"/>
  <c r="E13" i="23" s="1"/>
  <c r="F13" i="23" s="1"/>
  <c r="D12" i="23"/>
  <c r="E12" i="23" s="1"/>
  <c r="F12" i="23" s="1"/>
  <c r="D11" i="23"/>
  <c r="E11" i="23" s="1"/>
  <c r="F11" i="23" s="1"/>
  <c r="D10" i="23"/>
  <c r="E10" i="23" s="1"/>
  <c r="F10" i="23" s="1"/>
  <c r="D9" i="23"/>
  <c r="E9" i="23" s="1"/>
  <c r="F9" i="23" s="1"/>
  <c r="D8" i="23"/>
  <c r="E8" i="23" s="1"/>
  <c r="F8" i="23" s="1"/>
  <c r="D7" i="23"/>
  <c r="E7" i="23" s="1"/>
  <c r="F7" i="23" s="1"/>
  <c r="D6" i="23"/>
  <c r="E6" i="23" s="1"/>
  <c r="F6" i="23" s="1"/>
  <c r="D5" i="23"/>
  <c r="E5" i="23" s="1"/>
  <c r="F5" i="23" s="1"/>
  <c r="D4" i="23"/>
  <c r="E4" i="23" s="1"/>
  <c r="F4" i="23" s="1"/>
  <c r="D3" i="23"/>
  <c r="D1" i="23"/>
  <c r="D71" i="22"/>
  <c r="C71" i="22"/>
  <c r="F1" i="22" l="1"/>
  <c r="E71" i="22"/>
  <c r="F53" i="22"/>
  <c r="G53" i="22" s="1"/>
  <c r="F16" i="22"/>
  <c r="H16" i="22" s="1"/>
  <c r="I16" i="22" s="1"/>
  <c r="F33" i="22"/>
  <c r="H33" i="22" s="1"/>
  <c r="I33" i="22" s="1"/>
  <c r="F57" i="22"/>
  <c r="G57" i="22" s="1"/>
  <c r="F12" i="22"/>
  <c r="G12" i="22" s="1"/>
  <c r="F59" i="22"/>
  <c r="H59" i="22" s="1"/>
  <c r="I59" i="22" s="1"/>
  <c r="F30" i="22"/>
  <c r="H30" i="22" s="1"/>
  <c r="I30" i="22" s="1"/>
  <c r="F65" i="22"/>
  <c r="G65" i="22" s="1"/>
  <c r="F7" i="22"/>
  <c r="G7" i="22" s="1"/>
  <c r="F8" i="22"/>
  <c r="H8" i="22" s="1"/>
  <c r="I8" i="22" s="1"/>
  <c r="F68" i="22"/>
  <c r="H68" i="22" s="1"/>
  <c r="I68" i="22" s="1"/>
  <c r="F11" i="22"/>
  <c r="H11" i="22" s="1"/>
  <c r="I11" i="22" s="1"/>
  <c r="F64" i="22"/>
  <c r="H64" i="22" s="1"/>
  <c r="I64" i="22" s="1"/>
  <c r="F43" i="22"/>
  <c r="H43" i="22" s="1"/>
  <c r="I43" i="22" s="1"/>
  <c r="F4" i="22"/>
  <c r="G4" i="22" s="1"/>
  <c r="F49" i="22"/>
  <c r="G49" i="22" s="1"/>
  <c r="F13" i="22"/>
  <c r="H13" i="22" s="1"/>
  <c r="I13" i="22" s="1"/>
  <c r="F36" i="22"/>
  <c r="H36" i="22" s="1"/>
  <c r="I36" i="22" s="1"/>
  <c r="F66" i="22"/>
  <c r="G66" i="22" s="1"/>
  <c r="H5" i="22"/>
  <c r="I5" i="22" s="1"/>
  <c r="F51" i="22"/>
  <c r="H51" i="22" s="1"/>
  <c r="I51" i="22" s="1"/>
  <c r="F44" i="22"/>
  <c r="G44" i="22" s="1"/>
  <c r="F25" i="22"/>
  <c r="G25" i="22" s="1"/>
  <c r="F63" i="22"/>
  <c r="G63" i="22" s="1"/>
  <c r="F35" i="22"/>
  <c r="G35" i="22" s="1"/>
  <c r="F60" i="22"/>
  <c r="G60" i="22" s="1"/>
  <c r="F41" i="22"/>
  <c r="G41" i="22" s="1"/>
  <c r="F58" i="22"/>
  <c r="G58" i="22" s="1"/>
  <c r="F40" i="22"/>
  <c r="G40" i="22" s="1"/>
  <c r="F24" i="22"/>
  <c r="G24" i="22" s="1"/>
  <c r="F28" i="22"/>
  <c r="H28" i="22" s="1"/>
  <c r="I28" i="22" s="1"/>
  <c r="F22" i="22"/>
  <c r="G22" i="22" s="1"/>
  <c r="F34" i="22"/>
  <c r="G34" i="22" s="1"/>
  <c r="F69" i="22"/>
  <c r="G69" i="22" s="1"/>
  <c r="F42" i="22"/>
  <c r="H42" i="22" s="1"/>
  <c r="I42" i="22" s="1"/>
  <c r="F17" i="22"/>
  <c r="G17" i="22" s="1"/>
  <c r="D71" i="23"/>
  <c r="E3" i="23"/>
  <c r="F39" i="22"/>
  <c r="F27" i="22"/>
  <c r="F19" i="22"/>
  <c r="F52" i="22"/>
  <c r="F38" i="22"/>
  <c r="F20" i="22"/>
  <c r="F54" i="22"/>
  <c r="F29" i="22"/>
  <c r="F62" i="22"/>
  <c r="F56" i="22"/>
  <c r="F50" i="22"/>
  <c r="F31" i="22"/>
  <c r="F10" i="22"/>
  <c r="F3" i="22"/>
  <c r="F9" i="22"/>
  <c r="F48" i="22"/>
  <c r="F45" i="22"/>
  <c r="F21" i="22"/>
  <c r="F26" i="22"/>
  <c r="F32" i="22"/>
  <c r="F46" i="22"/>
  <c r="F15" i="22"/>
  <c r="F61" i="22"/>
  <c r="F47" i="22"/>
  <c r="F14" i="22"/>
  <c r="F55" i="22"/>
  <c r="F67" i="22"/>
  <c r="F18" i="22"/>
  <c r="F37" i="22"/>
  <c r="F23" i="22"/>
  <c r="F6" i="22"/>
  <c r="G33" i="22" l="1"/>
  <c r="G59" i="22"/>
  <c r="H12" i="22"/>
  <c r="I12" i="22" s="1"/>
  <c r="H17" i="22"/>
  <c r="I17" i="22" s="1"/>
  <c r="G36" i="22"/>
  <c r="G42" i="22"/>
  <c r="H69" i="22"/>
  <c r="I69" i="22" s="1"/>
  <c r="G16" i="22"/>
  <c r="H44" i="22"/>
  <c r="I44" i="22" s="1"/>
  <c r="G5" i="22"/>
  <c r="G68" i="22"/>
  <c r="H65" i="22"/>
  <c r="I65" i="22" s="1"/>
  <c r="G51" i="22"/>
  <c r="H57" i="22"/>
  <c r="I57" i="22" s="1"/>
  <c r="H53" i="22"/>
  <c r="I53" i="22" s="1"/>
  <c r="H58" i="22"/>
  <c r="I58" i="22" s="1"/>
  <c r="H41" i="22"/>
  <c r="I41" i="22" s="1"/>
  <c r="G28" i="22"/>
  <c r="H22" i="22"/>
  <c r="I22" i="22" s="1"/>
  <c r="H63" i="22"/>
  <c r="I63" i="22" s="1"/>
  <c r="H25" i="22"/>
  <c r="I25" i="22" s="1"/>
  <c r="H49" i="22"/>
  <c r="I49" i="22" s="1"/>
  <c r="G13" i="22"/>
  <c r="H34" i="22"/>
  <c r="I34" i="22" s="1"/>
  <c r="H4" i="22"/>
  <c r="I4" i="22" s="1"/>
  <c r="G64" i="22"/>
  <c r="H7" i="22"/>
  <c r="I7" i="22" s="1"/>
  <c r="H35" i="22"/>
  <c r="I35" i="22" s="1"/>
  <c r="G43" i="22"/>
  <c r="H60" i="22"/>
  <c r="I60" i="22" s="1"/>
  <c r="G8" i="22"/>
  <c r="H40" i="22"/>
  <c r="I40" i="22" s="1"/>
  <c r="G11" i="22"/>
  <c r="H24" i="22"/>
  <c r="I24" i="22" s="1"/>
  <c r="G30" i="22"/>
  <c r="H66" i="22"/>
  <c r="I66" i="22" s="1"/>
  <c r="E71" i="23"/>
  <c r="F71" i="23" s="1"/>
  <c r="F3" i="23"/>
  <c r="H39" i="22"/>
  <c r="I39" i="22" s="1"/>
  <c r="G39" i="22"/>
  <c r="H47" i="22"/>
  <c r="I47" i="22" s="1"/>
  <c r="G47" i="22"/>
  <c r="H3" i="22"/>
  <c r="I3" i="22" s="1"/>
  <c r="G3" i="22"/>
  <c r="H31" i="22"/>
  <c r="I31" i="22" s="1"/>
  <c r="G31" i="22"/>
  <c r="H21" i="22"/>
  <c r="I21" i="22" s="1"/>
  <c r="G21" i="22"/>
  <c r="H62" i="22"/>
  <c r="I62" i="22" s="1"/>
  <c r="G62" i="22"/>
  <c r="H61" i="22"/>
  <c r="I61" i="22" s="1"/>
  <c r="G61" i="22"/>
  <c r="H29" i="22"/>
  <c r="I29" i="22" s="1"/>
  <c r="G29" i="22"/>
  <c r="H27" i="22"/>
  <c r="I27" i="22" s="1"/>
  <c r="G27" i="22"/>
  <c r="H14" i="22"/>
  <c r="I14" i="22" s="1"/>
  <c r="G14" i="22"/>
  <c r="H50" i="22"/>
  <c r="I50" i="22" s="1"/>
  <c r="G50" i="22"/>
  <c r="H45" i="22"/>
  <c r="I45" i="22" s="1"/>
  <c r="G45" i="22"/>
  <c r="H48" i="22"/>
  <c r="G48" i="22"/>
  <c r="F71" i="22"/>
  <c r="H54" i="22"/>
  <c r="I54" i="22" s="1"/>
  <c r="G54" i="22"/>
  <c r="H67" i="22"/>
  <c r="I67" i="22" s="1"/>
  <c r="G67" i="22"/>
  <c r="H55" i="22"/>
  <c r="I55" i="22" s="1"/>
  <c r="G55" i="22"/>
  <c r="H15" i="22"/>
  <c r="I15" i="22" s="1"/>
  <c r="G15" i="22"/>
  <c r="H46" i="22"/>
  <c r="I46" i="22" s="1"/>
  <c r="G46" i="22"/>
  <c r="H32" i="22"/>
  <c r="I32" i="22" s="1"/>
  <c r="G32" i="22"/>
  <c r="H26" i="22"/>
  <c r="I26" i="22" s="1"/>
  <c r="G26" i="22"/>
  <c r="H6" i="22"/>
  <c r="I6" i="22" s="1"/>
  <c r="G6" i="22"/>
  <c r="H23" i="22"/>
  <c r="I23" i="22" s="1"/>
  <c r="G23" i="22"/>
  <c r="H38" i="22"/>
  <c r="I38" i="22" s="1"/>
  <c r="G38" i="22"/>
  <c r="H9" i="22"/>
  <c r="I9" i="22" s="1"/>
  <c r="G9" i="22"/>
  <c r="H10" i="22"/>
  <c r="I10" i="22" s="1"/>
  <c r="G10" i="22"/>
  <c r="H56" i="22"/>
  <c r="I56" i="22" s="1"/>
  <c r="G56" i="22"/>
  <c r="H20" i="22"/>
  <c r="I20" i="22" s="1"/>
  <c r="G20" i="22"/>
  <c r="H37" i="22"/>
  <c r="I37" i="22" s="1"/>
  <c r="G37" i="22"/>
  <c r="H52" i="22"/>
  <c r="I52" i="22" s="1"/>
  <c r="G52" i="22"/>
  <c r="H18" i="22"/>
  <c r="I18" i="22" s="1"/>
  <c r="G18" i="22"/>
  <c r="H19" i="22"/>
  <c r="I19" i="22" s="1"/>
  <c r="G19" i="22"/>
  <c r="I74" i="22" l="1"/>
  <c r="I73" i="22"/>
  <c r="H71" i="22"/>
  <c r="I48" i="22"/>
  <c r="G71" i="22"/>
  <c r="G75" i="14" l="1"/>
  <c r="I65" i="14"/>
  <c r="C70" i="16" l="1"/>
  <c r="E205" i="5" l="1"/>
  <c r="E45" i="5"/>
  <c r="E299" i="5" s="1"/>
  <c r="E305" i="5"/>
  <c r="E304" i="5"/>
  <c r="E303" i="5"/>
  <c r="C307" i="5"/>
  <c r="C302" i="5" l="1"/>
  <c r="C305" i="5" l="1"/>
  <c r="C304" i="5"/>
  <c r="C303" i="5"/>
  <c r="E32" i="5" l="1"/>
  <c r="E269" i="5"/>
  <c r="E98" i="5"/>
  <c r="C205" i="5" l="1"/>
  <c r="E204" i="5"/>
  <c r="C45" i="5"/>
  <c r="E44" i="5"/>
  <c r="C134" i="5" l="1"/>
  <c r="C139" i="5"/>
  <c r="C16" i="5"/>
  <c r="C20" i="5"/>
  <c r="E141" i="5" l="1"/>
  <c r="E73" i="14" l="1"/>
  <c r="D73" i="14"/>
  <c r="C73" i="14"/>
  <c r="B73" i="14"/>
  <c r="G71" i="14"/>
  <c r="I71" i="14" s="1"/>
  <c r="G70" i="14"/>
  <c r="I70" i="14" s="1"/>
  <c r="G69" i="14"/>
  <c r="I69" i="14" s="1"/>
  <c r="G68" i="14"/>
  <c r="I68" i="14" s="1"/>
  <c r="G67" i="14"/>
  <c r="I67" i="14" s="1"/>
  <c r="G66" i="14"/>
  <c r="I66" i="14" s="1"/>
  <c r="G65" i="14"/>
  <c r="G64" i="14"/>
  <c r="I64" i="14" s="1"/>
  <c r="G63" i="14"/>
  <c r="I63" i="14" s="1"/>
  <c r="G62" i="14"/>
  <c r="I62" i="14" s="1"/>
  <c r="G61" i="14"/>
  <c r="I61" i="14" s="1"/>
  <c r="G60" i="14"/>
  <c r="I60" i="14" s="1"/>
  <c r="G59" i="14"/>
  <c r="I59" i="14" s="1"/>
  <c r="G58" i="14"/>
  <c r="I58" i="14" s="1"/>
  <c r="G57" i="14"/>
  <c r="I57" i="14" s="1"/>
  <c r="G56" i="14"/>
  <c r="I56" i="14" s="1"/>
  <c r="G55" i="14"/>
  <c r="I55" i="14" s="1"/>
  <c r="G54" i="14"/>
  <c r="I54" i="14" s="1"/>
  <c r="G53" i="14"/>
  <c r="I53" i="14" s="1"/>
  <c r="G52" i="14"/>
  <c r="I52" i="14" s="1"/>
  <c r="G51" i="14"/>
  <c r="I51" i="14" s="1"/>
  <c r="G50" i="14"/>
  <c r="I50" i="14" s="1"/>
  <c r="G49" i="14"/>
  <c r="I49" i="14" s="1"/>
  <c r="G48" i="14"/>
  <c r="I48" i="14" s="1"/>
  <c r="G47" i="14"/>
  <c r="I47" i="14" s="1"/>
  <c r="G46" i="14"/>
  <c r="I46" i="14" s="1"/>
  <c r="G45" i="14"/>
  <c r="I45" i="14" s="1"/>
  <c r="G44" i="14"/>
  <c r="I44" i="14" s="1"/>
  <c r="G43" i="14"/>
  <c r="I43" i="14" s="1"/>
  <c r="G42" i="14"/>
  <c r="I42" i="14" s="1"/>
  <c r="G41" i="14"/>
  <c r="I41" i="14" s="1"/>
  <c r="G40" i="14"/>
  <c r="I40" i="14" s="1"/>
  <c r="G39" i="14"/>
  <c r="I39" i="14" s="1"/>
  <c r="G38" i="14"/>
  <c r="I38" i="14" s="1"/>
  <c r="G37" i="14"/>
  <c r="I37" i="14" s="1"/>
  <c r="G36" i="14"/>
  <c r="I36" i="14" s="1"/>
  <c r="G35" i="14"/>
  <c r="I35" i="14" s="1"/>
  <c r="G34" i="14"/>
  <c r="I34" i="14" s="1"/>
  <c r="G33" i="14"/>
  <c r="I33" i="14" s="1"/>
  <c r="G32" i="14"/>
  <c r="I32" i="14" s="1"/>
  <c r="G31" i="14"/>
  <c r="I31" i="14" s="1"/>
  <c r="G30" i="14"/>
  <c r="I30" i="14" s="1"/>
  <c r="G29" i="14"/>
  <c r="I29" i="14" s="1"/>
  <c r="G28" i="14"/>
  <c r="I28" i="14" s="1"/>
  <c r="G27" i="14"/>
  <c r="I27" i="14" s="1"/>
  <c r="G26" i="14"/>
  <c r="I26" i="14" s="1"/>
  <c r="G25" i="14"/>
  <c r="I25" i="14" s="1"/>
  <c r="G24" i="14"/>
  <c r="I24" i="14" s="1"/>
  <c r="G23" i="14"/>
  <c r="I23" i="14" s="1"/>
  <c r="G22" i="14"/>
  <c r="I22" i="14" s="1"/>
  <c r="G21" i="14"/>
  <c r="I21" i="14" s="1"/>
  <c r="G20" i="14"/>
  <c r="I20" i="14" s="1"/>
  <c r="G19" i="14"/>
  <c r="I19" i="14" s="1"/>
  <c r="G18" i="14"/>
  <c r="I18" i="14" s="1"/>
  <c r="G17" i="14"/>
  <c r="I17" i="14" s="1"/>
  <c r="G16" i="14"/>
  <c r="I16" i="14" s="1"/>
  <c r="G15" i="14"/>
  <c r="I15" i="14" s="1"/>
  <c r="G14" i="14"/>
  <c r="I14" i="14" s="1"/>
  <c r="G13" i="14"/>
  <c r="I13" i="14" s="1"/>
  <c r="G12" i="14"/>
  <c r="I12" i="14" s="1"/>
  <c r="G11" i="14"/>
  <c r="I11" i="14" s="1"/>
  <c r="G10" i="14"/>
  <c r="I10" i="14" s="1"/>
  <c r="G9" i="14"/>
  <c r="I9" i="14" s="1"/>
  <c r="G8" i="14"/>
  <c r="I8" i="14" s="1"/>
  <c r="G7" i="14"/>
  <c r="I7" i="14" s="1"/>
  <c r="G6" i="14"/>
  <c r="I6" i="14" s="1"/>
  <c r="G5" i="14"/>
  <c r="I5" i="14" s="1"/>
  <c r="G73" i="14" l="1"/>
  <c r="I73" i="14"/>
  <c r="J73" i="14" l="1"/>
  <c r="J27" i="14" s="1"/>
  <c r="J69" i="14"/>
  <c r="J10" i="14"/>
  <c r="J58" i="14"/>
  <c r="J16" i="14"/>
  <c r="J59" i="14"/>
  <c r="J15" i="14"/>
  <c r="J6" i="14"/>
  <c r="J40" i="14"/>
  <c r="J14" i="14"/>
  <c r="J41" i="14"/>
  <c r="J67" i="14"/>
  <c r="J12" i="14"/>
  <c r="J29" i="14"/>
  <c r="J68" i="14"/>
  <c r="J11" i="14"/>
  <c r="J52" i="14"/>
  <c r="J8" i="14"/>
  <c r="J49" i="14"/>
  <c r="J17" i="14"/>
  <c r="J44" i="14"/>
  <c r="J28" i="14"/>
  <c r="J70" i="14"/>
  <c r="J55" i="14"/>
  <c r="J13" i="14"/>
  <c r="J54" i="14"/>
  <c r="J53" i="14"/>
  <c r="J39" i="14"/>
  <c r="J51" i="14"/>
  <c r="J9" i="14"/>
  <c r="J7" i="14" l="1"/>
  <c r="J50" i="14"/>
  <c r="J46" i="14"/>
  <c r="J34" i="14"/>
  <c r="J64" i="14"/>
  <c r="J20" i="14"/>
  <c r="J19" i="14"/>
  <c r="J66" i="14"/>
  <c r="J37" i="14"/>
  <c r="J21" i="14"/>
  <c r="J35" i="14"/>
  <c r="J22" i="14"/>
  <c r="J60" i="14"/>
  <c r="J38" i="14"/>
  <c r="J24" i="14"/>
  <c r="J62" i="14"/>
  <c r="J43" i="14"/>
  <c r="J65" i="14"/>
  <c r="J5" i="14"/>
  <c r="J45" i="14"/>
  <c r="J18" i="14"/>
  <c r="J32" i="14"/>
  <c r="J36" i="14"/>
  <c r="J63" i="14"/>
  <c r="J25" i="14"/>
  <c r="J56" i="14"/>
  <c r="J33" i="14"/>
  <c r="J26" i="14"/>
  <c r="J47" i="14"/>
  <c r="J71" i="14"/>
  <c r="J42" i="14"/>
  <c r="J57" i="14"/>
  <c r="J61" i="14"/>
  <c r="J48" i="14"/>
  <c r="J31" i="14"/>
  <c r="J23" i="14"/>
  <c r="J30" i="14"/>
  <c r="J70" i="7" l="1"/>
  <c r="I70" i="7"/>
  <c r="G70" i="7"/>
  <c r="F70" i="7"/>
  <c r="E70" i="7"/>
  <c r="C70" i="7"/>
  <c r="B70" i="7"/>
  <c r="K68" i="7"/>
  <c r="H68" i="7"/>
  <c r="M68" i="7" s="1"/>
  <c r="N68" i="7" s="1"/>
  <c r="D68" i="7"/>
  <c r="L68" i="7" s="1"/>
  <c r="K67" i="7"/>
  <c r="M67" i="7" s="1"/>
  <c r="N67" i="7" s="1"/>
  <c r="H67" i="7"/>
  <c r="D67" i="7"/>
  <c r="L67" i="7" s="1"/>
  <c r="L66" i="7"/>
  <c r="K66" i="7"/>
  <c r="H66" i="7"/>
  <c r="D66" i="7"/>
  <c r="K65" i="7"/>
  <c r="H65" i="7"/>
  <c r="D65" i="7"/>
  <c r="L65" i="7" s="1"/>
  <c r="L64" i="7"/>
  <c r="K64" i="7"/>
  <c r="H64" i="7"/>
  <c r="M64" i="7" s="1"/>
  <c r="N64" i="7" s="1"/>
  <c r="D64" i="7"/>
  <c r="K63" i="7"/>
  <c r="H63" i="7"/>
  <c r="M63" i="7" s="1"/>
  <c r="N63" i="7" s="1"/>
  <c r="D63" i="7"/>
  <c r="L63" i="7" s="1"/>
  <c r="K62" i="7"/>
  <c r="H62" i="7"/>
  <c r="D62" i="7"/>
  <c r="L62" i="7" s="1"/>
  <c r="K61" i="7"/>
  <c r="H61" i="7"/>
  <c r="M61" i="7" s="1"/>
  <c r="N61" i="7" s="1"/>
  <c r="D61" i="7"/>
  <c r="L61" i="7" s="1"/>
  <c r="K60" i="7"/>
  <c r="H60" i="7"/>
  <c r="D60" i="7"/>
  <c r="L60" i="7" s="1"/>
  <c r="K59" i="7"/>
  <c r="H59" i="7"/>
  <c r="D59" i="7"/>
  <c r="L59" i="7" s="1"/>
  <c r="L58" i="7"/>
  <c r="K58" i="7"/>
  <c r="H58" i="7"/>
  <c r="M58" i="7" s="1"/>
  <c r="N58" i="7" s="1"/>
  <c r="D58" i="7"/>
  <c r="K57" i="7"/>
  <c r="H57" i="7"/>
  <c r="D57" i="7"/>
  <c r="L57" i="7" s="1"/>
  <c r="M56" i="7"/>
  <c r="N56" i="7" s="1"/>
  <c r="K56" i="7"/>
  <c r="H56" i="7"/>
  <c r="D56" i="7"/>
  <c r="L56" i="7" s="1"/>
  <c r="K55" i="7"/>
  <c r="H55" i="7"/>
  <c r="M55" i="7" s="1"/>
  <c r="N55" i="7" s="1"/>
  <c r="D55" i="7"/>
  <c r="L55" i="7" s="1"/>
  <c r="K54" i="7"/>
  <c r="H54" i="7"/>
  <c r="M54" i="7" s="1"/>
  <c r="N54" i="7" s="1"/>
  <c r="D54" i="7"/>
  <c r="L54" i="7" s="1"/>
  <c r="L53" i="7"/>
  <c r="K53" i="7"/>
  <c r="H53" i="7"/>
  <c r="D53" i="7"/>
  <c r="K52" i="7"/>
  <c r="H52" i="7"/>
  <c r="M52" i="7" s="1"/>
  <c r="N52" i="7" s="1"/>
  <c r="D52" i="7"/>
  <c r="L52" i="7" s="1"/>
  <c r="L51" i="7"/>
  <c r="K51" i="7"/>
  <c r="H51" i="7"/>
  <c r="M51" i="7" s="1"/>
  <c r="N51" i="7" s="1"/>
  <c r="D51" i="7"/>
  <c r="K50" i="7"/>
  <c r="H50" i="7"/>
  <c r="M50" i="7" s="1"/>
  <c r="N50" i="7" s="1"/>
  <c r="D50" i="7"/>
  <c r="L50" i="7" s="1"/>
  <c r="K49" i="7"/>
  <c r="H49" i="7"/>
  <c r="M49" i="7" s="1"/>
  <c r="N49" i="7" s="1"/>
  <c r="D49" i="7"/>
  <c r="L49" i="7" s="1"/>
  <c r="K48" i="7"/>
  <c r="H48" i="7"/>
  <c r="M48" i="7" s="1"/>
  <c r="N48" i="7" s="1"/>
  <c r="D48" i="7"/>
  <c r="L48" i="7" s="1"/>
  <c r="K47" i="7"/>
  <c r="H47" i="7"/>
  <c r="D47" i="7"/>
  <c r="L47" i="7" s="1"/>
  <c r="K46" i="7"/>
  <c r="H46" i="7"/>
  <c r="M46" i="7" s="1"/>
  <c r="N46" i="7" s="1"/>
  <c r="D46" i="7"/>
  <c r="L46" i="7" s="1"/>
  <c r="K45" i="7"/>
  <c r="H45" i="7"/>
  <c r="D45" i="7"/>
  <c r="L45" i="7" s="1"/>
  <c r="K44" i="7"/>
  <c r="H44" i="7"/>
  <c r="D44" i="7"/>
  <c r="L44" i="7" s="1"/>
  <c r="K43" i="7"/>
  <c r="H43" i="7"/>
  <c r="D43" i="7"/>
  <c r="L43" i="7" s="1"/>
  <c r="K42" i="7"/>
  <c r="H42" i="7"/>
  <c r="D42" i="7"/>
  <c r="L42" i="7" s="1"/>
  <c r="K41" i="7"/>
  <c r="H41" i="7"/>
  <c r="M41" i="7" s="1"/>
  <c r="N41" i="7" s="1"/>
  <c r="D41" i="7"/>
  <c r="L41" i="7" s="1"/>
  <c r="L40" i="7"/>
  <c r="K40" i="7"/>
  <c r="H40" i="7"/>
  <c r="M40" i="7" s="1"/>
  <c r="N40" i="7" s="1"/>
  <c r="D40" i="7"/>
  <c r="K39" i="7"/>
  <c r="H39" i="7"/>
  <c r="M39" i="7" s="1"/>
  <c r="N39" i="7" s="1"/>
  <c r="D39" i="7"/>
  <c r="L39" i="7" s="1"/>
  <c r="K38" i="7"/>
  <c r="H38" i="7"/>
  <c r="D38" i="7"/>
  <c r="L38" i="7" s="1"/>
  <c r="K37" i="7"/>
  <c r="H37" i="7"/>
  <c r="D37" i="7"/>
  <c r="L37" i="7" s="1"/>
  <c r="K36" i="7"/>
  <c r="H36" i="7"/>
  <c r="D36" i="7"/>
  <c r="L36" i="7" s="1"/>
  <c r="L35" i="7"/>
  <c r="K35" i="7"/>
  <c r="H35" i="7"/>
  <c r="D35" i="7"/>
  <c r="L34" i="7"/>
  <c r="K34" i="7"/>
  <c r="H34" i="7"/>
  <c r="M34" i="7" s="1"/>
  <c r="N34" i="7" s="1"/>
  <c r="D34" i="7"/>
  <c r="K33" i="7"/>
  <c r="H33" i="7"/>
  <c r="D33" i="7"/>
  <c r="L33" i="7" s="1"/>
  <c r="K32" i="7"/>
  <c r="H32" i="7"/>
  <c r="M32" i="7" s="1"/>
  <c r="N32" i="7" s="1"/>
  <c r="D32" i="7"/>
  <c r="L32" i="7" s="1"/>
  <c r="K31" i="7"/>
  <c r="H31" i="7"/>
  <c r="D31" i="7"/>
  <c r="L31" i="7" s="1"/>
  <c r="K30" i="7"/>
  <c r="H30" i="7"/>
  <c r="M30" i="7" s="1"/>
  <c r="N30" i="7" s="1"/>
  <c r="D30" i="7"/>
  <c r="L30" i="7" s="1"/>
  <c r="L29" i="7"/>
  <c r="K29" i="7"/>
  <c r="H29" i="7"/>
  <c r="M29" i="7" s="1"/>
  <c r="N29" i="7" s="1"/>
  <c r="D29" i="7"/>
  <c r="K28" i="7"/>
  <c r="H28" i="7"/>
  <c r="D28" i="7"/>
  <c r="L28" i="7" s="1"/>
  <c r="K27" i="7"/>
  <c r="H27" i="7"/>
  <c r="M27" i="7" s="1"/>
  <c r="N27" i="7" s="1"/>
  <c r="D27" i="7"/>
  <c r="L27" i="7" s="1"/>
  <c r="K26" i="7"/>
  <c r="H26" i="7"/>
  <c r="M26" i="7" s="1"/>
  <c r="N26" i="7" s="1"/>
  <c r="D26" i="7"/>
  <c r="L26" i="7" s="1"/>
  <c r="K25" i="7"/>
  <c r="H25" i="7"/>
  <c r="M25" i="7" s="1"/>
  <c r="N25" i="7" s="1"/>
  <c r="D25" i="7"/>
  <c r="L25" i="7" s="1"/>
  <c r="M24" i="7"/>
  <c r="N24" i="7" s="1"/>
  <c r="K24" i="7"/>
  <c r="H24" i="7"/>
  <c r="D24" i="7"/>
  <c r="L24" i="7" s="1"/>
  <c r="K23" i="7"/>
  <c r="H23" i="7"/>
  <c r="D23" i="7"/>
  <c r="L23" i="7" s="1"/>
  <c r="K22" i="7"/>
  <c r="H22" i="7"/>
  <c r="D22" i="7"/>
  <c r="L22" i="7" s="1"/>
  <c r="K21" i="7"/>
  <c r="H21" i="7"/>
  <c r="D21" i="7"/>
  <c r="L21" i="7" s="1"/>
  <c r="K20" i="7"/>
  <c r="H20" i="7"/>
  <c r="M20" i="7" s="1"/>
  <c r="N20" i="7" s="1"/>
  <c r="D20" i="7"/>
  <c r="L20" i="7" s="1"/>
  <c r="K19" i="7"/>
  <c r="H19" i="7"/>
  <c r="M19" i="7" s="1"/>
  <c r="N19" i="7" s="1"/>
  <c r="D19" i="7"/>
  <c r="L19" i="7" s="1"/>
  <c r="K18" i="7"/>
  <c r="H18" i="7"/>
  <c r="M18" i="7" s="1"/>
  <c r="N18" i="7" s="1"/>
  <c r="D18" i="7"/>
  <c r="L18" i="7" s="1"/>
  <c r="K17" i="7"/>
  <c r="H17" i="7"/>
  <c r="M17" i="7" s="1"/>
  <c r="N17" i="7" s="1"/>
  <c r="D17" i="7"/>
  <c r="L17" i="7" s="1"/>
  <c r="L16" i="7"/>
  <c r="K16" i="7"/>
  <c r="H16" i="7"/>
  <c r="M16" i="7" s="1"/>
  <c r="N16" i="7" s="1"/>
  <c r="D16" i="7"/>
  <c r="K15" i="7"/>
  <c r="H15" i="7"/>
  <c r="D15" i="7"/>
  <c r="L15" i="7" s="1"/>
  <c r="K14" i="7"/>
  <c r="H14" i="7"/>
  <c r="D14" i="7"/>
  <c r="L14" i="7" s="1"/>
  <c r="L13" i="7"/>
  <c r="K13" i="7"/>
  <c r="H13" i="7"/>
  <c r="D13" i="7"/>
  <c r="K12" i="7"/>
  <c r="H12" i="7"/>
  <c r="D12" i="7"/>
  <c r="L12" i="7" s="1"/>
  <c r="K11" i="7"/>
  <c r="H11" i="7"/>
  <c r="D11" i="7"/>
  <c r="L11" i="7" s="1"/>
  <c r="K10" i="7"/>
  <c r="H10" i="7"/>
  <c r="M10" i="7" s="1"/>
  <c r="N10" i="7" s="1"/>
  <c r="D10" i="7"/>
  <c r="L10" i="7" s="1"/>
  <c r="K9" i="7"/>
  <c r="H9" i="7"/>
  <c r="M9" i="7" s="1"/>
  <c r="N9" i="7" s="1"/>
  <c r="D9" i="7"/>
  <c r="L9" i="7" s="1"/>
  <c r="K8" i="7"/>
  <c r="H8" i="7"/>
  <c r="M8" i="7" s="1"/>
  <c r="N8" i="7" s="1"/>
  <c r="D8" i="7"/>
  <c r="L8" i="7" s="1"/>
  <c r="K7" i="7"/>
  <c r="H7" i="7"/>
  <c r="M7" i="7" s="1"/>
  <c r="N7" i="7" s="1"/>
  <c r="D7" i="7"/>
  <c r="L7" i="7" s="1"/>
  <c r="K6" i="7"/>
  <c r="H6" i="7"/>
  <c r="D6" i="7"/>
  <c r="L6" i="7" s="1"/>
  <c r="K5" i="7"/>
  <c r="H5" i="7"/>
  <c r="M5" i="7" s="1"/>
  <c r="N5" i="7" s="1"/>
  <c r="D5" i="7"/>
  <c r="L5" i="7" s="1"/>
  <c r="K4" i="7"/>
  <c r="H4" i="7"/>
  <c r="D4" i="7"/>
  <c r="L4" i="7" s="1"/>
  <c r="L3" i="7"/>
  <c r="K3" i="7"/>
  <c r="H3" i="7"/>
  <c r="M3" i="7" s="1"/>
  <c r="N3" i="7" s="1"/>
  <c r="D3" i="7"/>
  <c r="L2" i="7"/>
  <c r="K2" i="7"/>
  <c r="H2" i="7"/>
  <c r="M2" i="7" s="1"/>
  <c r="D2" i="7"/>
  <c r="M22" i="7" l="1"/>
  <c r="N22" i="7" s="1"/>
  <c r="M31" i="7"/>
  <c r="N31" i="7" s="1"/>
  <c r="M44" i="7"/>
  <c r="N44" i="7" s="1"/>
  <c r="M53" i="7"/>
  <c r="N53" i="7" s="1"/>
  <c r="M62" i="7"/>
  <c r="N62" i="7" s="1"/>
  <c r="M14" i="7"/>
  <c r="N14" i="7" s="1"/>
  <c r="M23" i="7"/>
  <c r="N23" i="7" s="1"/>
  <c r="M36" i="7"/>
  <c r="N36" i="7" s="1"/>
  <c r="M45" i="7"/>
  <c r="N45" i="7" s="1"/>
  <c r="D70" i="7"/>
  <c r="M6" i="7"/>
  <c r="N6" i="7" s="1"/>
  <c r="M15" i="7"/>
  <c r="N15" i="7" s="1"/>
  <c r="M28" i="7"/>
  <c r="N28" i="7" s="1"/>
  <c r="M37" i="7"/>
  <c r="N37" i="7" s="1"/>
  <c r="M59" i="7"/>
  <c r="N59" i="7" s="1"/>
  <c r="M11" i="7"/>
  <c r="N11" i="7" s="1"/>
  <c r="M33" i="7"/>
  <c r="N33" i="7" s="1"/>
  <c r="M42" i="7"/>
  <c r="N42" i="7" s="1"/>
  <c r="M38" i="7"/>
  <c r="N38" i="7" s="1"/>
  <c r="M47" i="7"/>
  <c r="N47" i="7" s="1"/>
  <c r="M60" i="7"/>
  <c r="N60" i="7" s="1"/>
  <c r="K70" i="7"/>
  <c r="M12" i="7"/>
  <c r="N12" i="7" s="1"/>
  <c r="M21" i="7"/>
  <c r="N21" i="7" s="1"/>
  <c r="M43" i="7"/>
  <c r="N43" i="7" s="1"/>
  <c r="M65" i="7"/>
  <c r="N65" i="7" s="1"/>
  <c r="M4" i="7"/>
  <c r="N4" i="7" s="1"/>
  <c r="M13" i="7"/>
  <c r="N13" i="7" s="1"/>
  <c r="M35" i="7"/>
  <c r="N35" i="7" s="1"/>
  <c r="M57" i="7"/>
  <c r="N57" i="7" s="1"/>
  <c r="M66" i="7"/>
  <c r="N66" i="7" s="1"/>
  <c r="M70" i="7"/>
  <c r="N2" i="7"/>
  <c r="L70" i="7"/>
  <c r="H70" i="7"/>
  <c r="B5" i="6" l="1"/>
  <c r="B6" i="6" s="1"/>
  <c r="B7" i="6" l="1"/>
  <c r="B8" i="6" s="1"/>
  <c r="C297" i="5" l="1"/>
  <c r="E296" i="5"/>
  <c r="E295" i="5"/>
  <c r="E294" i="5"/>
  <c r="E293" i="5"/>
  <c r="C292" i="5"/>
  <c r="E291" i="5"/>
  <c r="E290" i="5"/>
  <c r="E289" i="5"/>
  <c r="C288" i="5"/>
  <c r="E287" i="5"/>
  <c r="E286" i="5"/>
  <c r="E285" i="5"/>
  <c r="C284" i="5"/>
  <c r="E283" i="5"/>
  <c r="E282" i="5"/>
  <c r="E281" i="5"/>
  <c r="E280" i="5"/>
  <c r="C279" i="5"/>
  <c r="E278" i="5"/>
  <c r="E277" i="5"/>
  <c r="C276" i="5"/>
  <c r="E275" i="5"/>
  <c r="E274" i="5"/>
  <c r="E273" i="5"/>
  <c r="E272" i="5"/>
  <c r="C271" i="5"/>
  <c r="E270" i="5"/>
  <c r="E268" i="5"/>
  <c r="E267" i="5"/>
  <c r="C266" i="5"/>
  <c r="E265" i="5"/>
  <c r="E264" i="5"/>
  <c r="C263" i="5"/>
  <c r="E262" i="5"/>
  <c r="E261" i="5"/>
  <c r="E260" i="5"/>
  <c r="C259" i="5"/>
  <c r="E258" i="5"/>
  <c r="E257" i="5"/>
  <c r="E256" i="5"/>
  <c r="C255" i="5"/>
  <c r="E254" i="5"/>
  <c r="E253" i="5"/>
  <c r="E252" i="5"/>
  <c r="E251" i="5"/>
  <c r="C250" i="5"/>
  <c r="E249" i="5"/>
  <c r="E248" i="5"/>
  <c r="E247" i="5"/>
  <c r="C246" i="5"/>
  <c r="E245" i="5"/>
  <c r="E244" i="5"/>
  <c r="E243" i="5"/>
  <c r="E242" i="5"/>
  <c r="C241" i="5"/>
  <c r="E240" i="5"/>
  <c r="E239" i="5"/>
  <c r="E238" i="5"/>
  <c r="E237" i="5"/>
  <c r="C236" i="5"/>
  <c r="E235" i="5"/>
  <c r="E234" i="5"/>
  <c r="E233" i="5"/>
  <c r="C232" i="5"/>
  <c r="E231" i="5"/>
  <c r="E230" i="5"/>
  <c r="E229" i="5"/>
  <c r="C228" i="5"/>
  <c r="E227" i="5"/>
  <c r="E226" i="5"/>
  <c r="E225" i="5"/>
  <c r="E224" i="5"/>
  <c r="C223" i="5"/>
  <c r="E222" i="5"/>
  <c r="E221" i="5"/>
  <c r="E220" i="5"/>
  <c r="E219" i="5"/>
  <c r="C218" i="5"/>
  <c r="E217" i="5"/>
  <c r="E216" i="5"/>
  <c r="E215" i="5"/>
  <c r="E214" i="5"/>
  <c r="C213" i="5"/>
  <c r="E212" i="5"/>
  <c r="E211" i="5"/>
  <c r="E210" i="5"/>
  <c r="E209" i="5"/>
  <c r="C208" i="5"/>
  <c r="E207" i="5"/>
  <c r="E206" i="5"/>
  <c r="E203" i="5"/>
  <c r="E202" i="5"/>
  <c r="E201" i="5"/>
  <c r="C200" i="5"/>
  <c r="E199" i="5"/>
  <c r="E198" i="5"/>
  <c r="E197" i="5"/>
  <c r="E196" i="5"/>
  <c r="C195" i="5"/>
  <c r="E194" i="5"/>
  <c r="E193" i="5"/>
  <c r="E192" i="5"/>
  <c r="E191" i="5"/>
  <c r="C190" i="5"/>
  <c r="E189" i="5"/>
  <c r="E188" i="5"/>
  <c r="E187" i="5"/>
  <c r="E186" i="5"/>
  <c r="C185" i="5"/>
  <c r="E184" i="5"/>
  <c r="E183" i="5"/>
  <c r="E182" i="5"/>
  <c r="C181" i="5"/>
  <c r="E180" i="5"/>
  <c r="E179" i="5"/>
  <c r="E178" i="5"/>
  <c r="C177" i="5"/>
  <c r="E176" i="5"/>
  <c r="E175" i="5"/>
  <c r="E174" i="5"/>
  <c r="E173" i="5"/>
  <c r="C172" i="5"/>
  <c r="E171" i="5"/>
  <c r="E170" i="5"/>
  <c r="C169" i="5"/>
  <c r="E168" i="5"/>
  <c r="E167" i="5"/>
  <c r="E166" i="5"/>
  <c r="C165" i="5"/>
  <c r="E164" i="5"/>
  <c r="E163" i="5"/>
  <c r="E162" i="5"/>
  <c r="C161" i="5"/>
  <c r="E160" i="5"/>
  <c r="E159" i="5"/>
  <c r="E158" i="5"/>
  <c r="E157" i="5"/>
  <c r="C156" i="5"/>
  <c r="E155" i="5"/>
  <c r="E154" i="5"/>
  <c r="E153" i="5"/>
  <c r="E152" i="5"/>
  <c r="C151" i="5"/>
  <c r="E150" i="5"/>
  <c r="E149" i="5"/>
  <c r="E148" i="5"/>
  <c r="E147" i="5"/>
  <c r="C146" i="5"/>
  <c r="E145" i="5"/>
  <c r="E144" i="5"/>
  <c r="C143" i="5"/>
  <c r="E142" i="5"/>
  <c r="E140" i="5"/>
  <c r="E138" i="5"/>
  <c r="E137" i="5"/>
  <c r="E136" i="5"/>
  <c r="E135" i="5"/>
  <c r="E133" i="5"/>
  <c r="E132" i="5"/>
  <c r="E131" i="5"/>
  <c r="E130" i="5"/>
  <c r="C129" i="5"/>
  <c r="E128" i="5"/>
  <c r="E127" i="5"/>
  <c r="E126" i="5"/>
  <c r="C125" i="5"/>
  <c r="E124" i="5"/>
  <c r="E123" i="5"/>
  <c r="E122" i="5"/>
  <c r="E121" i="5"/>
  <c r="C120" i="5"/>
  <c r="E119" i="5"/>
  <c r="E118" i="5"/>
  <c r="E117" i="5"/>
  <c r="E116" i="5"/>
  <c r="C115" i="5"/>
  <c r="E114" i="5"/>
  <c r="E113" i="5"/>
  <c r="E112" i="5"/>
  <c r="C111" i="5"/>
  <c r="E110" i="5"/>
  <c r="E109" i="5"/>
  <c r="E108" i="5"/>
  <c r="C107" i="5"/>
  <c r="E106" i="5"/>
  <c r="E105" i="5"/>
  <c r="E104" i="5"/>
  <c r="C103" i="5"/>
  <c r="E102" i="5"/>
  <c r="E101" i="5"/>
  <c r="E100" i="5"/>
  <c r="C99" i="5"/>
  <c r="E97" i="5"/>
  <c r="E96" i="5"/>
  <c r="C95" i="5"/>
  <c r="E94" i="5"/>
  <c r="E93" i="5"/>
  <c r="E92" i="5"/>
  <c r="C91" i="5"/>
  <c r="E90" i="5"/>
  <c r="E89" i="5"/>
  <c r="E88" i="5"/>
  <c r="C87" i="5"/>
  <c r="E86" i="5"/>
  <c r="E85" i="5"/>
  <c r="E84" i="5"/>
  <c r="C83" i="5"/>
  <c r="E82" i="5"/>
  <c r="E81" i="5"/>
  <c r="E80" i="5"/>
  <c r="E79" i="5"/>
  <c r="C78" i="5"/>
  <c r="E77" i="5"/>
  <c r="E76" i="5"/>
  <c r="E75" i="5"/>
  <c r="C74" i="5"/>
  <c r="E73" i="5"/>
  <c r="E72" i="5"/>
  <c r="E71" i="5"/>
  <c r="E70" i="5"/>
  <c r="C69" i="5"/>
  <c r="E68" i="5"/>
  <c r="E67" i="5"/>
  <c r="C66" i="5"/>
  <c r="E65" i="5"/>
  <c r="E64" i="5"/>
  <c r="C63" i="5"/>
  <c r="E62" i="5"/>
  <c r="E61" i="5"/>
  <c r="E60" i="5"/>
  <c r="C59" i="5"/>
  <c r="E58" i="5"/>
  <c r="E57" i="5"/>
  <c r="E56" i="5"/>
  <c r="C55" i="5"/>
  <c r="E54" i="5"/>
  <c r="E53" i="5"/>
  <c r="E52" i="5"/>
  <c r="E51" i="5"/>
  <c r="C50" i="5"/>
  <c r="E49" i="5"/>
  <c r="E48" i="5"/>
  <c r="E47" i="5"/>
  <c r="E46" i="5"/>
  <c r="E43" i="5"/>
  <c r="E42" i="5"/>
  <c r="E41" i="5"/>
  <c r="C40" i="5"/>
  <c r="E39" i="5"/>
  <c r="E38" i="5"/>
  <c r="E37" i="5"/>
  <c r="E36" i="5"/>
  <c r="C35" i="5"/>
  <c r="E34" i="5"/>
  <c r="E33" i="5"/>
  <c r="E31" i="5"/>
  <c r="C30" i="5"/>
  <c r="E29" i="5"/>
  <c r="E28" i="5"/>
  <c r="E27" i="5"/>
  <c r="E26" i="5"/>
  <c r="C25" i="5"/>
  <c r="E24" i="5"/>
  <c r="E23" i="5"/>
  <c r="E22" i="5"/>
  <c r="E21" i="5"/>
  <c r="E19" i="5"/>
  <c r="E18" i="5"/>
  <c r="E17" i="5"/>
  <c r="E15" i="5"/>
  <c r="E14" i="5"/>
  <c r="E13" i="5"/>
  <c r="E12" i="5"/>
  <c r="C11" i="5"/>
  <c r="E10" i="5"/>
  <c r="E9" i="5"/>
  <c r="E8" i="5"/>
  <c r="E7" i="5"/>
  <c r="C6" i="5"/>
  <c r="E5" i="5"/>
  <c r="E4" i="5"/>
  <c r="E3" i="5"/>
  <c r="E2" i="5"/>
  <c r="E302" i="5" l="1"/>
  <c r="E99" i="5"/>
  <c r="E83" i="5"/>
  <c r="E115" i="5"/>
  <c r="E232" i="5"/>
  <c r="E69" i="5"/>
  <c r="E165" i="5"/>
  <c r="E6" i="5"/>
  <c r="E213" i="5"/>
  <c r="E172" i="5"/>
  <c r="E297" i="5"/>
  <c r="E129" i="5"/>
  <c r="E279" i="5"/>
  <c r="E91" i="5"/>
  <c r="E107" i="5"/>
  <c r="E78" i="5"/>
  <c r="E250" i="5"/>
  <c r="E134" i="5"/>
  <c r="E59" i="5"/>
  <c r="E50" i="5"/>
  <c r="E20" i="5"/>
  <c r="E139" i="5"/>
  <c r="E63" i="5"/>
  <c r="E125" i="5"/>
  <c r="E190" i="5"/>
  <c r="E255" i="5"/>
  <c r="E95" i="5"/>
  <c r="E111" i="5"/>
  <c r="E181" i="5"/>
  <c r="E151" i="5"/>
  <c r="E246" i="5"/>
  <c r="E87" i="5"/>
  <c r="E218" i="5"/>
  <c r="E185" i="5"/>
  <c r="E236" i="5"/>
  <c r="E266" i="5"/>
  <c r="E284" i="5"/>
  <c r="C299" i="5"/>
  <c r="E195" i="5"/>
  <c r="E241" i="5"/>
  <c r="E208" i="5"/>
  <c r="E177" i="5"/>
  <c r="E35" i="5"/>
  <c r="E228" i="5"/>
  <c r="E288" i="5"/>
  <c r="E276" i="5"/>
  <c r="E292" i="5"/>
  <c r="E156" i="5"/>
  <c r="E263" i="5"/>
  <c r="E161" i="5"/>
  <c r="E223" i="5"/>
  <c r="E55" i="5"/>
  <c r="E146" i="5"/>
  <c r="E25" i="5"/>
  <c r="E40" i="5"/>
  <c r="E169" i="5"/>
  <c r="E66" i="5"/>
  <c r="E271" i="5"/>
  <c r="E16" i="5"/>
  <c r="E120" i="5"/>
  <c r="E11" i="5"/>
  <c r="E74" i="5"/>
  <c r="E103" i="5"/>
  <c r="E200" i="5"/>
  <c r="E30" i="5"/>
  <c r="E259" i="5"/>
  <c r="E143" i="5"/>
  <c r="C306" i="5"/>
  <c r="E306" i="5" l="1"/>
  <c r="E307" i="5" s="1"/>
</calcChain>
</file>

<file path=xl/sharedStrings.xml><?xml version="1.0" encoding="utf-8"?>
<sst xmlns="http://schemas.openxmlformats.org/spreadsheetml/2006/main" count="1300" uniqueCount="286">
  <si>
    <r>
      <t xml:space="preserve">Statutorily Required Amount to Reserve </t>
    </r>
    <r>
      <rPr>
        <sz val="14"/>
        <color theme="1"/>
        <rFont val="Franklin Gothic Book"/>
        <family val="2"/>
      </rPr>
      <t>(10%)</t>
    </r>
  </si>
  <si>
    <r>
      <t xml:space="preserve">Jury Management Funding </t>
    </r>
    <r>
      <rPr>
        <sz val="14"/>
        <color theme="1"/>
        <rFont val="Franklin Gothic Book"/>
        <family val="2"/>
      </rPr>
      <t>(State GR)</t>
    </r>
  </si>
  <si>
    <t>County</t>
  </si>
  <si>
    <t>Peer
Group</t>
  </si>
  <si>
    <t>Weighted Workload Measure 
(CFY 2023-24)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</si>
  <si>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</si>
  <si>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</si>
  <si>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</si>
  <si>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</si>
  <si>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</si>
  <si>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</si>
  <si>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</si>
  <si>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</si>
  <si>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</si>
  <si>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</si>
  <si>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</si>
  <si>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</si>
  <si>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</si>
  <si>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</si>
  <si>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</si>
  <si>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</si>
  <si>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</si>
  <si>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</si>
  <si>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</si>
  <si>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</si>
  <si>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</si>
  <si>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</si>
  <si>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</si>
  <si>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</si>
  <si>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</si>
  <si>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</si>
  <si>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</si>
  <si>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</si>
  <si>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</si>
  <si>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</si>
  <si>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</si>
  <si>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</si>
  <si>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</si>
  <si>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</si>
  <si>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</si>
  <si>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</si>
  <si>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</si>
  <si>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</si>
  <si>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</si>
  <si>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</si>
  <si>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</si>
  <si>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</si>
  <si>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</si>
  <si>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</si>
  <si>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</si>
  <si>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</si>
  <si>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</si>
  <si>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</si>
  <si>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</si>
  <si>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</si>
  <si>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</si>
  <si>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</si>
  <si>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</si>
  <si>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</si>
  <si>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</si>
  <si>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</si>
  <si>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</si>
  <si>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</si>
  <si>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</si>
  <si>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</si>
  <si>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</si>
  <si>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</si>
  <si>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</si>
  <si>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</si>
  <si>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</si>
  <si>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</si>
  <si>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</si>
  <si>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 TOTAL</t>
  </si>
  <si>
    <t>weighted cases</t>
  </si>
  <si>
    <t>FRS 
Increase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</si>
  <si>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Additional FRS 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</si>
  <si>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Additional Health Insurance 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</si>
  <si>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Pay &amp; Benefits/ COLA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</si>
  <si>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Pay &amp; Benefits: New FTE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</si>
  <si>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Compliance Issues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</si>
  <si>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Cost
Shifts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</si>
  <si>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IT Funded from CCOC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</si>
  <si>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Other</t>
    </r>
  </si>
  <si>
    <r>
      <rPr>
        <b/>
        <sz val="10"/>
        <color rgb="FFFF0000"/>
        <rFont val="Franklin Gothic Book"/>
        <family val="2"/>
      </rPr>
      <t>DEDUCT</t>
    </r>
    <r>
      <rPr>
        <b/>
        <sz val="10"/>
        <color theme="1"/>
        <rFont val="Franklin Gothic Book"/>
        <family val="2"/>
      </rPr>
      <t xml:space="preserve">
Budget Reduction Issues</t>
    </r>
  </si>
  <si>
    <t>TOTAL 
Funding 
Issues
Requested</t>
  </si>
  <si>
    <t>TOTAL 
FTE Requested</t>
  </si>
  <si>
    <t>Increase Over Base Budget</t>
  </si>
  <si>
    <t>Increase Over Current Year Budget</t>
  </si>
  <si>
    <t xml:space="preserve">Total New FTE:  </t>
  </si>
  <si>
    <t xml:space="preserve">Jury Reimbursement Funding:   </t>
  </si>
  <si>
    <t>CFY 2024-25 Revenue-Limited Budget</t>
  </si>
  <si>
    <t>CFY 2025-26 Base Budget</t>
  </si>
  <si>
    <t>CFY 2025-26 Total Requested Budget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</si>
  <si>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color theme="1"/>
        <rFont val="Franklin Gothic Book"/>
        <family val="2"/>
      </rPr>
      <t xml:space="preserve">
Weighted Workload Measure Allocation</t>
    </r>
  </si>
  <si>
    <t xml:space="preserve">TOTAL COURT-RELATED BUDGET:  </t>
  </si>
  <si>
    <t>FRS Type</t>
  </si>
  <si>
    <t>Salary Allocation Court Amount</t>
  </si>
  <si>
    <t>FRS Increase %</t>
  </si>
  <si>
    <t>Reg EE</t>
  </si>
  <si>
    <t>SMS</t>
  </si>
  <si>
    <t>DROP</t>
  </si>
  <si>
    <t>Clerk</t>
  </si>
  <si>
    <t>Alachua Total</t>
  </si>
  <si>
    <t>Baker Total</t>
  </si>
  <si>
    <t>Bay Total</t>
  </si>
  <si>
    <t>Bradford Total</t>
  </si>
  <si>
    <t>Brevard Total</t>
  </si>
  <si>
    <t>Broward Total</t>
  </si>
  <si>
    <t>Calhoun Total</t>
  </si>
  <si>
    <t>Charlotte Total</t>
  </si>
  <si>
    <t>Citrus Total</t>
  </si>
  <si>
    <t>Clay Total</t>
  </si>
  <si>
    <t>Collier Total</t>
  </si>
  <si>
    <t>Columbia Total</t>
  </si>
  <si>
    <t>DeSoto Total</t>
  </si>
  <si>
    <t>Dixie Total</t>
  </si>
  <si>
    <t>Duval Total</t>
  </si>
  <si>
    <t>Escambia Total</t>
  </si>
  <si>
    <t>Flagler Total</t>
  </si>
  <si>
    <t>Franklin Total</t>
  </si>
  <si>
    <t>Gadsden Total</t>
  </si>
  <si>
    <t>Gilchrist Total</t>
  </si>
  <si>
    <t>Glades Total</t>
  </si>
  <si>
    <t>Gulf Total</t>
  </si>
  <si>
    <t>Hamilton Total</t>
  </si>
  <si>
    <t>Hardee Total</t>
  </si>
  <si>
    <t>Hendry Total</t>
  </si>
  <si>
    <t>Hernando Total</t>
  </si>
  <si>
    <t>Highlands Total</t>
  </si>
  <si>
    <t>Hillsborough Total</t>
  </si>
  <si>
    <t>Holmes Total</t>
  </si>
  <si>
    <t>Indian River Total</t>
  </si>
  <si>
    <t>Jackson Total</t>
  </si>
  <si>
    <t>Jefferson Total</t>
  </si>
  <si>
    <t>Lafayette Total</t>
  </si>
  <si>
    <t>Lake Total</t>
  </si>
  <si>
    <t>Lee Total</t>
  </si>
  <si>
    <t>Leon Total</t>
  </si>
  <si>
    <t>Levy Total</t>
  </si>
  <si>
    <t>Liberty Total</t>
  </si>
  <si>
    <t>Madison Total</t>
  </si>
  <si>
    <t>Manatee Total</t>
  </si>
  <si>
    <t>Marion Total</t>
  </si>
  <si>
    <t>Martin Total</t>
  </si>
  <si>
    <t>Miami-Dade Total</t>
  </si>
  <si>
    <t>Monroe Total</t>
  </si>
  <si>
    <t>Nassau Total</t>
  </si>
  <si>
    <t>Okaloosa Total</t>
  </si>
  <si>
    <t>Okeechobee Total</t>
  </si>
  <si>
    <t>Orange Total</t>
  </si>
  <si>
    <t>Osceola Total</t>
  </si>
  <si>
    <t>Palm Beach Total</t>
  </si>
  <si>
    <t>Pasco Total</t>
  </si>
  <si>
    <t>Pinellas Total</t>
  </si>
  <si>
    <t>Polk Total</t>
  </si>
  <si>
    <t>Putnam Total</t>
  </si>
  <si>
    <t>Saint Johns Total</t>
  </si>
  <si>
    <t>Saint Lucie Total</t>
  </si>
  <si>
    <t>Santa Rosa Total</t>
  </si>
  <si>
    <t>Sarasota Total</t>
  </si>
  <si>
    <t>Seminole Total</t>
  </si>
  <si>
    <t>Sumter Total</t>
  </si>
  <si>
    <t>Suwannee Total</t>
  </si>
  <si>
    <t>Taylor Total</t>
  </si>
  <si>
    <t>Union Total</t>
  </si>
  <si>
    <t>Volusia Total</t>
  </si>
  <si>
    <t>Wakulla Total</t>
  </si>
  <si>
    <t>Walton Total</t>
  </si>
  <si>
    <t>Washington Total</t>
  </si>
  <si>
    <t>Grand Total</t>
  </si>
  <si>
    <r>
      <t xml:space="preserve">Unspent Budgeted Funds </t>
    </r>
    <r>
      <rPr>
        <sz val="14"/>
        <color theme="1"/>
        <rFont val="Franklin Gothic Book"/>
        <family val="2"/>
      </rPr>
      <t>(CFY 2023-24)</t>
    </r>
  </si>
  <si>
    <t>Excess Revenue Collected Above the REC Estimate</t>
  </si>
  <si>
    <t>Clerks' Share of the Cumulative Excess (50%)</t>
  </si>
  <si>
    <t>Statutorily Required Amount to Reserve (10%)</t>
  </si>
  <si>
    <t>Cumulative Excess Calculation Summary (CFY 2023-24)</t>
  </si>
  <si>
    <r>
      <t xml:space="preserve">Actual Revenues Collected (Settle-Up Calculation) </t>
    </r>
    <r>
      <rPr>
        <sz val="14"/>
        <rFont val="Franklin Gothic Book"/>
        <family val="2"/>
      </rPr>
      <t xml:space="preserve">(CFY 2023-24) </t>
    </r>
  </si>
  <si>
    <r>
      <t xml:space="preserve">REC Revenue Estimate </t>
    </r>
    <r>
      <rPr>
        <sz val="14"/>
        <rFont val="Franklin Gothic Book"/>
        <family val="2"/>
      </rPr>
      <t xml:space="preserve">(Used to Build CFY 2023-24 Budget)  </t>
    </r>
    <r>
      <rPr>
        <u/>
        <sz val="14"/>
        <rFont val="Franklin Gothic Book"/>
        <family val="2"/>
      </rPr>
      <t>[July 2023</t>
    </r>
    <r>
      <rPr>
        <sz val="14"/>
        <rFont val="Franklin Gothic Book"/>
        <family val="2"/>
      </rPr>
      <t>]</t>
    </r>
  </si>
  <si>
    <t>CFY 2023-24 Cumulative Excess</t>
  </si>
  <si>
    <t>Original Budget Authority 
(Adopted by Exec. Council 9/5/23)</t>
  </si>
  <si>
    <t>Additional "Glitch" Fix Allocation (Back of the Bill - Sec. 131 of GAA)  
(Adopted by Exec. Council 5/9/24)</t>
  </si>
  <si>
    <t xml:space="preserve">Final Budget Authority </t>
  </si>
  <si>
    <t>CCOC Revenues
(Sep 23-Aug 24)
(EC Report)</t>
  </si>
  <si>
    <t>Funds Received from Trust Fund
(Sep 23-Aug 24)
(EC Report)</t>
  </si>
  <si>
    <t>Additional Revenues from Trust Fund
(EC Report)</t>
  </si>
  <si>
    <t>Total Revenues + Funds from Trust Fund</t>
  </si>
  <si>
    <t>Excess Revenue Sent to Trust Fund 
(Oct 23-Sep 24)
(DOR Report)</t>
  </si>
  <si>
    <t>CCOC Expenditures
(Oct 23-Sep 24)
(EC Report)</t>
  </si>
  <si>
    <t>Excess Revenue Sent to the TF + CCOC Expenditures</t>
  </si>
  <si>
    <t>Unspent 
Budgeted 
Funds</t>
  </si>
  <si>
    <t>CFY 2023-24
Settle-Up
Calculation</t>
  </si>
  <si>
    <t>Due To
(Due From) TF</t>
  </si>
  <si>
    <t>Statewide</t>
  </si>
  <si>
    <t>CFY 2025-26
Base Budget</t>
  </si>
  <si>
    <t>New Revenue Summary</t>
  </si>
  <si>
    <t>Year-over-Year Revenue-Limited Budget Increase</t>
  </si>
  <si>
    <t>Year-over-Year Total Court-Side Budget Authority Increase</t>
  </si>
  <si>
    <r>
      <t xml:space="preserve">REC Revenue Estimate </t>
    </r>
    <r>
      <rPr>
        <sz val="14"/>
        <color theme="1"/>
        <rFont val="Franklin Gothic Book"/>
        <family val="2"/>
      </rPr>
      <t xml:space="preserve">(CFY 2025-26)  </t>
    </r>
    <r>
      <rPr>
        <u/>
        <sz val="14"/>
        <color theme="1"/>
        <rFont val="Franklin Gothic Book"/>
        <family val="2"/>
      </rPr>
      <t>[July 2025</t>
    </r>
    <r>
      <rPr>
        <sz val="14"/>
        <color theme="1"/>
        <rFont val="Franklin Gothic Book"/>
        <family val="2"/>
      </rPr>
      <t>]</t>
    </r>
  </si>
  <si>
    <r>
      <t>Cumulative Excess - Clerks' Share of 50%</t>
    </r>
    <r>
      <rPr>
        <sz val="14"/>
        <color theme="1"/>
        <rFont val="Franklin Gothic Book"/>
        <family val="2"/>
      </rPr>
      <t xml:space="preserve"> (CFY 2023-24)  </t>
    </r>
  </si>
  <si>
    <t>CFY 2025-26 Total Court-Side Budget Authority</t>
  </si>
  <si>
    <r>
      <t xml:space="preserve">Prior Year Revenue-Limited Budget </t>
    </r>
    <r>
      <rPr>
        <sz val="14"/>
        <color theme="1"/>
        <rFont val="Franklin Gothic Book"/>
        <family val="2"/>
      </rPr>
      <t>(CFY 2024-25)</t>
    </r>
  </si>
  <si>
    <r>
      <t xml:space="preserve">Prior Year Total Court-Side Budget Authority </t>
    </r>
    <r>
      <rPr>
        <sz val="14"/>
        <color theme="1"/>
        <rFont val="Franklin Gothic Book"/>
        <family val="2"/>
      </rPr>
      <t>(CFY 2024-25)</t>
    </r>
  </si>
  <si>
    <t>Jury Reimbursement Summary</t>
  </si>
  <si>
    <t>October 1, 2021 to December 31, 2021</t>
  </si>
  <si>
    <t>January 1, 2022 to March 31, 2022</t>
  </si>
  <si>
    <t>April 1, 2022 to June 30, 2022</t>
  </si>
  <si>
    <t>St. Johns</t>
  </si>
  <si>
    <t>St. Lucie</t>
  </si>
  <si>
    <t>Total</t>
  </si>
  <si>
    <t xml:space="preserve">Total Requests + FRS Increase:  </t>
  </si>
  <si>
    <t>Non-FRS (Inv. Plan &amp; Pension)</t>
  </si>
  <si>
    <t>2025 
FRS Increase</t>
  </si>
  <si>
    <t>Total Quarter 1 Costs
(July-Sept. '24)</t>
  </si>
  <si>
    <t>Total Quarter 2 Costs
(Oct.-Dec. '24)</t>
  </si>
  <si>
    <t>Total Quarter 3 Costs
(Jan.-Mar. '25)</t>
  </si>
  <si>
    <t>Total Quarter 4 Costs
(Apr.-June '25)</t>
  </si>
  <si>
    <t>SFY 2024-25 
TOTAL</t>
  </si>
  <si>
    <t>2025-26
Projected 
Shortfall</t>
  </si>
  <si>
    <t>2025-26 Projections</t>
  </si>
  <si>
    <t>Clerks' New Judges Funding Calculation</t>
  </si>
  <si>
    <r>
      <t xml:space="preserve">SRS Data - Court Filings </t>
    </r>
    <r>
      <rPr>
        <b/>
        <sz val="9"/>
        <color theme="1"/>
        <rFont val="Franklin Gothic Book"/>
        <family val="2"/>
      </rPr>
      <t>(excluding Civil Traffic) (Oct.-Sept.)</t>
    </r>
  </si>
  <si>
    <t>Circuit</t>
  </si>
  <si>
    <t>Number of Judges
(Current)</t>
  </si>
  <si>
    <t>2021-22 Filings</t>
  </si>
  <si>
    <t>2022-23 Filings</t>
  </si>
  <si>
    <t>2023-24 Filings</t>
  </si>
  <si>
    <t>3-Year 
Avg. Filings</t>
  </si>
  <si>
    <t>Avg. Caseload per Judge</t>
  </si>
  <si>
    <t>Formula Calculated FTE</t>
  </si>
  <si>
    <t>Additional Admin. 
FTE</t>
  </si>
  <si>
    <t>TOTAL 
FTE
NEEDED</t>
  </si>
  <si>
    <t>Calculated Cost ($78,222 
per FTE)</t>
  </si>
  <si>
    <t>CAD Amount ($1,976 per FTE)</t>
  </si>
  <si>
    <t>TOTAL 
COST</t>
  </si>
  <si>
    <t>avg.:</t>
  </si>
  <si>
    <t>Avg Case processing time</t>
  </si>
  <si>
    <t>Annual Avail. Work Hours</t>
  </si>
  <si>
    <t>New County Judges</t>
  </si>
  <si>
    <t>New Circuit Judges</t>
  </si>
  <si>
    <t>TOTAL Judges</t>
  </si>
  <si>
    <t>APPROVED NEW JUDGES (2025)</t>
  </si>
  <si>
    <t>APPROVED FORMULA CALCULATION</t>
  </si>
  <si>
    <t>1 FTE PER JUDGE</t>
  </si>
  <si>
    <t>FTE Needed</t>
  </si>
  <si>
    <r>
      <t xml:space="preserve">Jury Shortfall Projection </t>
    </r>
    <r>
      <rPr>
        <b/>
        <sz val="9"/>
        <color theme="1"/>
        <rFont val="Franklin Gothic Book"/>
        <family val="2"/>
      </rPr>
      <t>(Calculated Using Prior-Year Actuals)</t>
    </r>
  </si>
  <si>
    <r>
      <t xml:space="preserve">New Judges Calculation </t>
    </r>
    <r>
      <rPr>
        <b/>
        <sz val="9"/>
        <color theme="1"/>
        <rFont val="Franklin Gothic Book"/>
        <family val="2"/>
      </rPr>
      <t>(Using Approved Formula)</t>
    </r>
  </si>
  <si>
    <t>SFY 2024-25 
TOTAL + 3% Increase</t>
  </si>
  <si>
    <t>Peer Group</t>
  </si>
  <si>
    <t>TOTAL:</t>
  </si>
  <si>
    <t xml:space="preserve">3% Increase:  </t>
  </si>
  <si>
    <t xml:space="preserve">TOTAL REQUESTED COURT-RELATED BUDGET:  </t>
  </si>
  <si>
    <t>PROJECTED 
REVENUE
(CFY 2025-26)</t>
  </si>
  <si>
    <t>Cost per Weighted Case</t>
  </si>
  <si>
    <t>Calculation Line</t>
  </si>
  <si>
    <t>Percentage of Total Budget</t>
  </si>
  <si>
    <t>Difference</t>
  </si>
  <si>
    <t>Increase/ Decrease Percentage</t>
  </si>
  <si>
    <t>TOTAL</t>
  </si>
  <si>
    <r>
      <rPr>
        <b/>
        <sz val="10"/>
        <color rgb="FFFF0000"/>
        <rFont val="Franklin Gothic Book"/>
        <family val="2"/>
      </rPr>
      <t>DEDUCT</t>
    </r>
    <r>
      <rPr>
        <b/>
        <sz val="10"/>
        <color theme="1"/>
        <rFont val="Franklin Gothic Book"/>
        <family val="2"/>
      </rPr>
      <t xml:space="preserve">
Reduction Exercise 
(10%)</t>
    </r>
  </si>
  <si>
    <t>Percent Decrease</t>
  </si>
  <si>
    <t xml:space="preserve">STATEWIDE TOTAL: </t>
  </si>
  <si>
    <t>s. 28.35(2)(f)3., F.S. -- requires the CCOC to 'identify potential targeted budget reductions in the percentage amount provided in Schedule VIII-B of the state’s previous year’s legislative budget instructions, as referenced in s. 216.023(3), or an equivalent schedule or instruction as may be adopted by the Legislature.</t>
  </si>
  <si>
    <t>CFY 2025-26 Statutorily- Required Reduction Exercise</t>
  </si>
  <si>
    <r>
      <rPr>
        <b/>
        <sz val="8"/>
        <color theme="1"/>
        <rFont val="Franklin Gothic Book"/>
        <family val="2"/>
      </rPr>
      <t>Schedule VIIIB-2: Priority Listing of Agency Budget Issues for Possible Reduction in the Event of Revenue Shortfalls for Legislative Budget Request Year</t>
    </r>
    <r>
      <rPr>
        <sz val="8"/>
        <color theme="1"/>
        <rFont val="Franklin Gothic Book"/>
        <family val="2"/>
      </rPr>
      <t xml:space="preserve">
The purpose of the Schedule VIIIB-2 is to identify recurring budget reductions that can be made in Fiscal Year 2025-26 in the event that budget reductions are necessary. Agencies are required to submit a Schedule VIIIB-2 that contains reduction issues for Fiscal Year 2025-26, totaling at least 10 percent of their 2024-25 recurring general revenue funds and at least 10 percent of their 2024-25 recurring state trust funds, for consideration in developing the 2025-26 budget.
Page 99 of FY 25-26 LBR Instructions  [http://floridafiscalportal.state.fl.us/Document.aspx?ID=27757&amp;DocType=PDF]</t>
    </r>
  </si>
  <si>
    <t>WWM Applied to 100% of the $519.8m</t>
  </si>
  <si>
    <t>(2.7% - 55.6%)</t>
  </si>
  <si>
    <r>
      <rPr>
        <b/>
        <sz val="10"/>
        <color rgb="FF00B050"/>
        <rFont val="Franklin Gothic Book"/>
        <family val="2"/>
      </rPr>
      <t>ADD</t>
    </r>
    <r>
      <rPr>
        <b/>
        <sz val="10"/>
        <rFont val="Franklin Gothic Book"/>
        <family val="2"/>
      </rPr>
      <t xml:space="preserve">
New Judges Approved in 2025
</t>
    </r>
    <r>
      <rPr>
        <b/>
        <sz val="9"/>
        <rFont val="Franklin Gothic Book"/>
        <family val="2"/>
      </rPr>
      <t>(1 FTE per Judge)</t>
    </r>
  </si>
  <si>
    <r>
      <rPr>
        <b/>
        <sz val="10"/>
        <color rgb="FF00B050"/>
        <rFont val="Franklin Gothic Book"/>
        <family val="2"/>
      </rPr>
      <t>ADD</t>
    </r>
    <r>
      <rPr>
        <b/>
        <sz val="10"/>
        <rFont val="Franklin Gothic Book"/>
        <family val="2"/>
      </rPr>
      <t xml:space="preserve">
FRS 
Increase</t>
    </r>
  </si>
  <si>
    <t>CFY 2025-26 Revenue-Limited Budget</t>
  </si>
  <si>
    <t>Year-over-year Increase</t>
  </si>
  <si>
    <t>(0.7% - 7.2%)</t>
  </si>
  <si>
    <t>Budget Comparison to the Peer Group Average</t>
  </si>
  <si>
    <t>Peer Groups</t>
  </si>
  <si>
    <t>Percent Above/
Below PG Avg.</t>
  </si>
  <si>
    <t>Peer Group 1 Average</t>
  </si>
  <si>
    <t>Peer Group 2 Average</t>
  </si>
  <si>
    <t>2 Average</t>
  </si>
  <si>
    <t>Peer Group 3 Average</t>
  </si>
  <si>
    <t>Peer Group 4 Average</t>
  </si>
  <si>
    <t>Peer Group 5 Average</t>
  </si>
  <si>
    <t>Peer Group 6 Average</t>
  </si>
  <si>
    <t>Peer Group 7 Average</t>
  </si>
  <si>
    <t>Peer Group 8 Average</t>
  </si>
  <si>
    <t xml:space="preserve">Statewide Total  </t>
  </si>
  <si>
    <t>s. 28.35(2)(f)9., F.S., requires CCOC to identify the budget of any clerk which exceeds the average budget of similarly situated clerks by more than 10%.</t>
  </si>
  <si>
    <t xml:space="preserve">Calculation above Base:  </t>
  </si>
  <si>
    <t xml:space="preserve">Calculation below Base: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</si>
</sst>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&quot;$&quot;#,##0"/>
    <numFmt numFmtId="169" formatCode="_(* #,##0.000_);_(* \(#,##0.000\);_(* &quot;-&quot;??_);_(@_)"/>
    <numFmt numFmtId="170" formatCode="[$-409]mmmm\ d\,\ yyyy;@"/>
    <numFmt numFmtId="171" formatCode="0.0"/>
    <numFmt numFmtId="172" formatCode="_(* #,##0.0000_);_(* \(#,##0.0000\);_(* &quot;-&quot;??_);_(@_)"/>
    <numFmt numFmtId="173" formatCode="_(&quot;$&quot;* #,##0.00_);_(&quot;$&quot;* \(#,##0.00\);_(&quot;$&quot;* &quot;-&quot;_);_(@_)"/>
  </numFmts>
  <fonts count="57" x14ac:knownFonts="1">
    <font>
      <sz val="11"/>
      <color theme="1"/>
      <name val="Aptos Narrow"/>
      <family val="2"/>
      <scheme val="minor"/>
    </font>
    <font>
      <sz val="10"/>
      <color theme="1"/>
      <name val="Franklin Gothic Book"/>
      <family val="2"/>
    </font>
    <font>
      <b/>
      <sz val="16"/>
      <color theme="1"/>
      <name val="Franklin Gothic Book"/>
      <family val="2"/>
    </font>
    <font>
      <sz val="16"/>
      <color theme="1"/>
      <name val="Franklin Gothic Book"/>
      <family val="2"/>
    </font>
    <font>
      <sz val="14"/>
      <color theme="1"/>
      <name val="Franklin Gothic Book"/>
      <family val="2"/>
    </font>
    <font>
      <sz val="16"/>
      <color rgb="FFC00000"/>
      <name val="Franklin Gothic Book"/>
      <family val="2"/>
    </font>
    <font>
      <sz val="16"/>
      <color rgb="FFFF0000"/>
      <name val="Franklin Gothic Book"/>
      <family val="2"/>
    </font>
    <font>
      <i/>
      <sz val="16"/>
      <color rgb="FF0070C0"/>
      <name val="Franklin Gothic Book"/>
      <family val="2"/>
    </font>
    <font>
      <i/>
      <sz val="16"/>
      <color theme="1"/>
      <name val="Franklin Gothic Book"/>
      <family val="2"/>
    </font>
    <font>
      <i/>
      <sz val="12"/>
      <color theme="1"/>
      <name val="Franklin Gothic Book"/>
      <family val="2"/>
    </font>
    <font>
      <sz val="11"/>
      <color theme="1"/>
      <name val="Aptos Narrow"/>
      <family val="2"/>
      <scheme val="minor"/>
    </font>
    <font>
      <b/>
      <sz val="10"/>
      <color theme="1"/>
      <name val="Franklin Gothic Book"/>
      <family val="2"/>
    </font>
    <font>
      <b/>
      <sz val="9"/>
      <color theme="0"/>
      <name val="Franklin Gothic Book"/>
      <family val="2"/>
    </font>
    <font>
      <b/>
      <sz val="9"/>
      <color theme="1"/>
      <name val="Franklin Gothic Book"/>
      <family val="2"/>
    </font>
    <font>
      <sz val="12"/>
      <color theme="1"/>
      <name val="Franklin Gothic Book"/>
      <family val="2"/>
    </font>
    <font>
      <sz val="9"/>
      <name val="Franklin Gothic Book"/>
      <family val="2"/>
    </font>
    <font>
      <sz val="9"/>
      <color rgb="FFFF0000"/>
      <name val="Franklin Gothic Book"/>
      <family val="2"/>
    </font>
    <font>
      <b/>
      <sz val="9"/>
      <name val="Franklin Gothic Book"/>
      <family val="2"/>
    </font>
    <font>
      <i/>
      <sz val="8"/>
      <color theme="1"/>
      <name val="Franklin Gothic Book"/>
      <family val="2"/>
    </font>
    <font>
      <b/>
      <sz val="10"/>
      <name val="Franklin Gothic Book"/>
      <family val="2"/>
    </font>
    <font>
      <b/>
      <sz val="10"/>
      <color theme="0"/>
      <name val="Franklin Gothic Book"/>
      <family val="2"/>
    </font>
    <font>
      <b/>
      <sz val="10"/>
      <color rgb="FF00B050"/>
      <name val="Franklin Gothic Book"/>
      <family val="2"/>
    </font>
    <font>
      <b/>
      <sz val="10"/>
      <color rgb="FFFF0000"/>
      <name val="Franklin Gothic Book"/>
      <family val="2"/>
    </font>
    <font>
      <sz val="8.5"/>
      <color theme="1"/>
      <name val="Franklin Gothic Book"/>
      <family val="2"/>
    </font>
    <font>
      <sz val="9"/>
      <color theme="1"/>
      <name val="Franklin Gothic Book"/>
      <family val="2"/>
    </font>
    <font>
      <sz val="10"/>
      <color rgb="FFFF0000"/>
      <name val="Franklin Gothic Book"/>
      <family val="2"/>
    </font>
    <font>
      <i/>
      <sz val="9"/>
      <color theme="1"/>
      <name val="Franklin Gothic Book"/>
      <family val="2"/>
    </font>
    <font>
      <b/>
      <sz val="11"/>
      <color theme="1"/>
      <name val="Aptos Narrow"/>
      <family val="2"/>
      <scheme val="minor"/>
    </font>
    <font>
      <i/>
      <sz val="10"/>
      <color theme="1"/>
      <name val="Franklin Gothic Book"/>
      <family val="2"/>
    </font>
    <font>
      <sz val="9"/>
      <color rgb="FFC00000"/>
      <name val="Franklin Gothic Book"/>
      <family val="2"/>
    </font>
    <font>
      <b/>
      <i/>
      <sz val="10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name val="Franklin Gothic Book"/>
      <family val="2"/>
    </font>
    <font>
      <i/>
      <sz val="11"/>
      <color theme="1"/>
      <name val="Franklin Gothic Book"/>
      <family val="2"/>
    </font>
    <font>
      <i/>
      <sz val="11"/>
      <color theme="1"/>
      <name val="Aptos Narrow"/>
      <family val="2"/>
      <scheme val="minor"/>
    </font>
    <font>
      <b/>
      <sz val="16"/>
      <name val="Franklin Gothic Book"/>
      <family val="2"/>
    </font>
    <font>
      <sz val="16"/>
      <name val="Franklin Gothic Book"/>
      <family val="2"/>
    </font>
    <font>
      <sz val="14"/>
      <name val="Franklin Gothic Book"/>
      <family val="2"/>
    </font>
    <font>
      <u/>
      <sz val="14"/>
      <name val="Franklin Gothic Book"/>
      <family val="2"/>
    </font>
    <font>
      <i/>
      <sz val="16"/>
      <name val="Franklin Gothic Book"/>
      <family val="2"/>
    </font>
    <font>
      <b/>
      <sz val="16"/>
      <color theme="4" tint="-0.249977111117893"/>
      <name val="Franklin Gothic Book"/>
      <family val="2"/>
    </font>
    <font>
      <b/>
      <sz val="11"/>
      <name val="Franklin Gothic Book"/>
      <family val="2"/>
    </font>
    <font>
      <b/>
      <sz val="11"/>
      <color theme="0"/>
      <name val="Franklin Gothic Book"/>
      <family val="2"/>
    </font>
    <font>
      <b/>
      <i/>
      <sz val="11"/>
      <color theme="1"/>
      <name val="Franklin Gothic Book"/>
      <family val="2"/>
    </font>
    <font>
      <sz val="8"/>
      <color theme="1"/>
      <name val="Franklin Gothic Book"/>
      <family val="2"/>
    </font>
    <font>
      <u/>
      <sz val="14"/>
      <color theme="1"/>
      <name val="Franklin Gothic Book"/>
      <family val="2"/>
    </font>
    <font>
      <b/>
      <sz val="12"/>
      <color theme="1"/>
      <name val="Franklin Gothic Book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0"/>
      <color theme="10"/>
      <name val="Franklin Gothic Book"/>
      <family val="2"/>
    </font>
    <font>
      <sz val="10"/>
      <name val="Arial"/>
      <family val="2"/>
    </font>
    <font>
      <b/>
      <i/>
      <sz val="10"/>
      <name val="Franklin Gothic Book"/>
      <family val="2"/>
    </font>
    <font>
      <i/>
      <sz val="11"/>
      <color theme="0"/>
      <name val="Franklin Gothic Book"/>
      <family val="2"/>
    </font>
    <font>
      <b/>
      <sz val="10"/>
      <color rgb="FFC00000"/>
      <name val="Franklin Gothic Book"/>
      <family val="2"/>
    </font>
    <font>
      <b/>
      <sz val="9"/>
      <color rgb="FFC00000"/>
      <name val="Franklin Gothic Book"/>
      <family val="2"/>
    </font>
    <font>
      <b/>
      <sz val="8"/>
      <color theme="1"/>
      <name val="Franklin Gothic Book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FB53B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2D73"/>
        <bgColor indexed="64"/>
      </patternFill>
    </fill>
    <fill>
      <patternFill patternType="solid">
        <fgColor rgb="FFAF162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00995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49" fillId="18" borderId="51">
      <alignment horizontal="center" vertical="center"/>
      <protection locked="0"/>
    </xf>
    <xf numFmtId="0" fontId="50" fillId="0" borderId="0" applyNumberForma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51" fillId="0" borderId="0"/>
    <xf numFmtId="0" fontId="10" fillId="0" borderId="0"/>
    <xf numFmtId="0" fontId="51" fillId="0" borderId="0"/>
    <xf numFmtId="43" fontId="1" fillId="0" borderId="0" applyFont="0" applyFill="0" applyBorder="0" applyAlignment="0" applyProtection="0"/>
    <xf numFmtId="0" fontId="10" fillId="0" borderId="0"/>
    <xf numFmtId="0" fontId="48" fillId="0" borderId="0" applyNumberFormat="0" applyFill="0" applyBorder="0" applyAlignment="0" applyProtection="0"/>
    <xf numFmtId="0" fontId="14" fillId="0" borderId="0"/>
  </cellStyleXfs>
  <cellXfs count="523">
    <xf numFmtId="0" fontId="0" fillId="0" borderId="0" xfId="0"/>
    <xf numFmtId="0" fontId="3" fillId="0" borderId="0" xfId="1" applyFont="1"/>
    <xf numFmtId="164" fontId="3" fillId="0" borderId="0" xfId="2" applyNumberFormat="1" applyFont="1" applyFill="1"/>
    <xf numFmtId="164" fontId="5" fillId="0" borderId="0" xfId="2" applyNumberFormat="1" applyFont="1" applyFill="1"/>
    <xf numFmtId="164" fontId="7" fillId="0" borderId="0" xfId="2" applyNumberFormat="1" applyFont="1"/>
    <xf numFmtId="164" fontId="2" fillId="0" borderId="0" xfId="2" applyNumberFormat="1" applyFont="1" applyFill="1" applyBorder="1"/>
    <xf numFmtId="164" fontId="3" fillId="0" borderId="0" xfId="2" applyNumberFormat="1" applyFont="1" applyFill="1" applyBorder="1"/>
    <xf numFmtId="0" fontId="2" fillId="0" borderId="0" xfId="1" applyFont="1"/>
    <xf numFmtId="0" fontId="8" fillId="0" borderId="0" xfId="1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top"/>
    </xf>
    <xf numFmtId="165" fontId="15" fillId="3" borderId="6" xfId="6" applyNumberFormat="1" applyFont="1" applyFill="1" applyBorder="1" applyAlignment="1">
      <alignment vertical="top"/>
    </xf>
    <xf numFmtId="42" fontId="1" fillId="0" borderId="0" xfId="4" applyNumberFormat="1" applyFont="1"/>
    <xf numFmtId="42" fontId="1" fillId="0" borderId="0" xfId="4" applyNumberFormat="1" applyFont="1" applyFill="1"/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165" fontId="15" fillId="3" borderId="9" xfId="6" applyNumberFormat="1" applyFont="1" applyFill="1" applyBorder="1" applyAlignment="1">
      <alignment vertical="top"/>
    </xf>
    <xf numFmtId="0" fontId="1" fillId="0" borderId="0" xfId="0" applyFont="1"/>
    <xf numFmtId="0" fontId="1" fillId="0" borderId="10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165" fontId="15" fillId="3" borderId="11" xfId="6" applyNumberFormat="1" applyFont="1" applyFill="1" applyBorder="1" applyAlignment="1">
      <alignment vertical="top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164" fontId="16" fillId="0" borderId="12" xfId="4" applyNumberFormat="1" applyFont="1" applyFill="1" applyBorder="1"/>
    <xf numFmtId="165" fontId="17" fillId="3" borderId="3" xfId="5" applyNumberFormat="1" applyFont="1" applyFill="1" applyBorder="1" applyAlignment="1">
      <alignment vertical="top"/>
    </xf>
    <xf numFmtId="0" fontId="18" fillId="3" borderId="0" xfId="0" applyFont="1" applyFill="1" applyAlignment="1">
      <alignment horizontal="center"/>
    </xf>
    <xf numFmtId="10" fontId="1" fillId="0" borderId="0" xfId="5" applyNumberFormat="1" applyFont="1"/>
    <xf numFmtId="0" fontId="19" fillId="0" borderId="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0" fontId="11" fillId="0" borderId="2" xfId="5" applyNumberFormat="1" applyFont="1" applyFill="1" applyBorder="1" applyAlignment="1">
      <alignment horizontal="center" vertical="center" wrapText="1"/>
    </xf>
    <xf numFmtId="10" fontId="13" fillId="0" borderId="2" xfId="5" applyNumberFormat="1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164" fontId="1" fillId="0" borderId="16" xfId="4" applyNumberFormat="1" applyFont="1" applyFill="1" applyBorder="1" applyAlignment="1">
      <alignment horizontal="right" vertical="center"/>
    </xf>
    <xf numFmtId="164" fontId="11" fillId="0" borderId="8" xfId="4" applyNumberFormat="1" applyFont="1" applyBorder="1" applyAlignment="1">
      <alignment horizontal="right" vertical="center"/>
    </xf>
    <xf numFmtId="164" fontId="1" fillId="0" borderId="18" xfId="4" applyNumberFormat="1" applyFont="1" applyFill="1" applyBorder="1" applyAlignment="1">
      <alignment vertical="top"/>
    </xf>
    <xf numFmtId="164" fontId="11" fillId="0" borderId="5" xfId="4" applyNumberFormat="1" applyFont="1" applyBorder="1" applyAlignment="1">
      <alignment horizontal="right" vertical="center"/>
    </xf>
    <xf numFmtId="10" fontId="24" fillId="0" borderId="8" xfId="5" applyNumberFormat="1" applyFont="1" applyFill="1" applyBorder="1" applyAlignment="1">
      <alignment horizontal="center" vertical="center"/>
    </xf>
    <xf numFmtId="164" fontId="11" fillId="0" borderId="5" xfId="4" applyNumberFormat="1" applyFont="1" applyFill="1" applyBorder="1" applyAlignment="1">
      <alignment horizontal="right" vertical="center"/>
    </xf>
    <xf numFmtId="164" fontId="1" fillId="0" borderId="20" xfId="4" applyNumberFormat="1" applyFont="1" applyFill="1" applyBorder="1" applyAlignment="1">
      <alignment horizontal="right" vertical="center"/>
    </xf>
    <xf numFmtId="164" fontId="1" fillId="0" borderId="23" xfId="4" applyNumberFormat="1" applyFont="1" applyFill="1" applyBorder="1" applyAlignment="1">
      <alignment vertical="top"/>
    </xf>
    <xf numFmtId="164" fontId="1" fillId="0" borderId="24" xfId="4" applyNumberFormat="1" applyFont="1" applyFill="1" applyBorder="1" applyAlignment="1">
      <alignment horizontal="right" vertical="center"/>
    </xf>
    <xf numFmtId="164" fontId="11" fillId="0" borderId="27" xfId="4" applyNumberFormat="1" applyFont="1" applyBorder="1" applyAlignment="1">
      <alignment horizontal="right" vertical="center"/>
    </xf>
    <xf numFmtId="164" fontId="1" fillId="0" borderId="28" xfId="4" applyNumberFormat="1" applyFont="1" applyFill="1" applyBorder="1" applyAlignment="1">
      <alignment vertical="top"/>
    </xf>
    <xf numFmtId="164" fontId="11" fillId="0" borderId="10" xfId="4" applyNumberFormat="1" applyFont="1" applyBorder="1" applyAlignment="1">
      <alignment horizontal="right" vertical="center"/>
    </xf>
    <xf numFmtId="164" fontId="11" fillId="0" borderId="12" xfId="4" applyNumberFormat="1" applyFont="1" applyBorder="1"/>
    <xf numFmtId="164" fontId="25" fillId="0" borderId="12" xfId="4" applyNumberFormat="1" applyFont="1" applyBorder="1"/>
    <xf numFmtId="164" fontId="11" fillId="0" borderId="12" xfId="4" applyNumberFormat="1" applyFont="1" applyBorder="1" applyAlignment="1">
      <alignment horizontal="center" vertical="center"/>
    </xf>
    <xf numFmtId="43" fontId="11" fillId="0" borderId="12" xfId="3" applyFont="1" applyBorder="1" applyAlignment="1">
      <alignment horizontal="center" vertical="center"/>
    </xf>
    <xf numFmtId="6" fontId="1" fillId="0" borderId="12" xfId="4" applyNumberFormat="1" applyFont="1" applyBorder="1" applyAlignment="1">
      <alignment horizontal="center" vertical="center"/>
    </xf>
    <xf numFmtId="164" fontId="19" fillId="0" borderId="2" xfId="4" applyNumberFormat="1" applyFont="1" applyFill="1" applyBorder="1" applyAlignment="1">
      <alignment vertical="top" wrapText="1"/>
    </xf>
    <xf numFmtId="164" fontId="20" fillId="4" borderId="2" xfId="4" applyNumberFormat="1" applyFont="1" applyFill="1" applyBorder="1" applyAlignment="1">
      <alignment vertical="top" wrapText="1"/>
    </xf>
    <xf numFmtId="164" fontId="11" fillId="0" borderId="3" xfId="4" applyNumberFormat="1" applyFont="1" applyBorder="1" applyAlignment="1">
      <alignment vertical="top"/>
    </xf>
    <xf numFmtId="43" fontId="11" fillId="0" borderId="2" xfId="3" applyFont="1" applyBorder="1" applyAlignment="1">
      <alignment vertical="top"/>
    </xf>
    <xf numFmtId="164" fontId="19" fillId="5" borderId="2" xfId="4" applyNumberFormat="1" applyFont="1" applyFill="1" applyBorder="1" applyAlignment="1">
      <alignment vertical="top" wrapText="1"/>
    </xf>
    <xf numFmtId="10" fontId="17" fillId="5" borderId="3" xfId="5" applyNumberFormat="1" applyFont="1" applyFill="1" applyBorder="1" applyAlignment="1">
      <alignment horizontal="center" vertical="top" wrapText="1"/>
    </xf>
    <xf numFmtId="6" fontId="1" fillId="0" borderId="0" xfId="0" applyNumberFormat="1" applyFont="1"/>
    <xf numFmtId="6" fontId="11" fillId="0" borderId="0" xfId="0" applyNumberFormat="1" applyFont="1" applyAlignment="1">
      <alignment horizontal="center" vertical="center"/>
    </xf>
    <xf numFmtId="10" fontId="17" fillId="0" borderId="0" xfId="5" applyNumberFormat="1" applyFont="1" applyAlignment="1">
      <alignment horizontal="center" vertical="center"/>
    </xf>
    <xf numFmtId="164" fontId="24" fillId="0" borderId="0" xfId="0" applyNumberFormat="1" applyFont="1"/>
    <xf numFmtId="8" fontId="24" fillId="0" borderId="0" xfId="0" applyNumberFormat="1" applyFont="1"/>
    <xf numFmtId="8" fontId="24" fillId="0" borderId="0" xfId="0" applyNumberFormat="1" applyFont="1" applyAlignment="1">
      <alignment horizontal="right"/>
    </xf>
    <xf numFmtId="164" fontId="13" fillId="0" borderId="3" xfId="4" applyNumberFormat="1" applyFont="1" applyFill="1" applyBorder="1" applyAlignment="1">
      <alignment horizontal="center" vertical="center"/>
    </xf>
    <xf numFmtId="43" fontId="13" fillId="0" borderId="0" xfId="3" applyFont="1" applyAlignment="1">
      <alignment horizontal="center" vertical="center"/>
    </xf>
    <xf numFmtId="166" fontId="11" fillId="0" borderId="0" xfId="3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10" fontId="15" fillId="0" borderId="0" xfId="5" applyNumberFormat="1" applyFont="1" applyFill="1" applyAlignment="1">
      <alignment horizontal="center" vertical="center"/>
    </xf>
    <xf numFmtId="43" fontId="1" fillId="0" borderId="0" xfId="3" applyFont="1"/>
    <xf numFmtId="164" fontId="0" fillId="0" borderId="0" xfId="0" applyNumberFormat="1"/>
    <xf numFmtId="10" fontId="17" fillId="0" borderId="0" xfId="5" applyNumberFormat="1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167" fontId="1" fillId="0" borderId="0" xfId="5" applyNumberFormat="1" applyFont="1"/>
    <xf numFmtId="0" fontId="1" fillId="0" borderId="29" xfId="0" applyFont="1" applyBorder="1"/>
    <xf numFmtId="0" fontId="1" fillId="0" borderId="14" xfId="0" applyFont="1" applyBorder="1"/>
    <xf numFmtId="6" fontId="11" fillId="0" borderId="30" xfId="0" applyNumberFormat="1" applyFont="1" applyBorder="1" applyAlignment="1">
      <alignment horizontal="right" vertical="center"/>
    </xf>
    <xf numFmtId="164" fontId="11" fillId="0" borderId="3" xfId="4" applyNumberFormat="1" applyFont="1" applyBorder="1" applyAlignment="1">
      <alignment horizontal="center" vertical="center"/>
    </xf>
    <xf numFmtId="166" fontId="26" fillId="0" borderId="0" xfId="3" applyNumberFormat="1" applyFont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164" fontId="13" fillId="6" borderId="3" xfId="4" applyNumberFormat="1" applyFont="1" applyFill="1" applyBorder="1" applyAlignment="1">
      <alignment vertical="top"/>
    </xf>
    <xf numFmtId="0" fontId="20" fillId="4" borderId="3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164" fontId="1" fillId="0" borderId="12" xfId="4" applyNumberFormat="1" applyFont="1" applyBorder="1"/>
    <xf numFmtId="164" fontId="1" fillId="0" borderId="12" xfId="4" applyNumberFormat="1" applyFont="1" applyFill="1" applyBorder="1"/>
    <xf numFmtId="164" fontId="11" fillId="0" borderId="3" xfId="4" applyNumberFormat="1" applyFont="1" applyFill="1" applyBorder="1" applyAlignment="1">
      <alignment vertical="top"/>
    </xf>
    <xf numFmtId="168" fontId="1" fillId="0" borderId="0" xfId="0" applyNumberFormat="1" applyFont="1"/>
    <xf numFmtId="0" fontId="26" fillId="0" borderId="0" xfId="0" applyFont="1" applyAlignment="1">
      <alignment horizontal="center"/>
    </xf>
    <xf numFmtId="166" fontId="26" fillId="0" borderId="0" xfId="3" applyNumberFormat="1" applyFont="1" applyAlignment="1">
      <alignment horizontal="center"/>
    </xf>
    <xf numFmtId="164" fontId="28" fillId="0" borderId="0" xfId="0" applyNumberFormat="1" applyFont="1"/>
    <xf numFmtId="164" fontId="26" fillId="0" borderId="0" xfId="0" applyNumberFormat="1" applyFont="1"/>
    <xf numFmtId="0" fontId="24" fillId="0" borderId="0" xfId="0" applyFont="1" applyAlignment="1">
      <alignment horizontal="right"/>
    </xf>
    <xf numFmtId="164" fontId="1" fillId="0" borderId="0" xfId="4" applyNumberFormat="1" applyFont="1" applyAlignment="1">
      <alignment horizontal="right" vertical="center"/>
    </xf>
    <xf numFmtId="0" fontId="31" fillId="0" borderId="6" xfId="0" applyFont="1" applyBorder="1" applyAlignment="1">
      <alignment horizontal="center"/>
    </xf>
    <xf numFmtId="43" fontId="31" fillId="0" borderId="6" xfId="3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32" fillId="0" borderId="0" xfId="0" applyFont="1"/>
    <xf numFmtId="43" fontId="32" fillId="0" borderId="0" xfId="3" applyFont="1" applyFill="1"/>
    <xf numFmtId="43" fontId="32" fillId="0" borderId="0" xfId="0" applyNumberFormat="1" applyFont="1"/>
    <xf numFmtId="0" fontId="31" fillId="0" borderId="0" xfId="0" applyFont="1"/>
    <xf numFmtId="43" fontId="31" fillId="0" borderId="0" xfId="3" applyFont="1" applyFill="1"/>
    <xf numFmtId="43" fontId="31" fillId="0" borderId="0" xfId="0" applyNumberFormat="1" applyFont="1"/>
    <xf numFmtId="0" fontId="27" fillId="0" borderId="0" xfId="0" applyFont="1"/>
    <xf numFmtId="43" fontId="32" fillId="7" borderId="0" xfId="3" applyFont="1" applyFill="1"/>
    <xf numFmtId="2" fontId="31" fillId="0" borderId="0" xfId="3" applyNumberFormat="1" applyFont="1" applyFill="1"/>
    <xf numFmtId="4" fontId="32" fillId="0" borderId="0" xfId="0" applyNumberFormat="1" applyFont="1"/>
    <xf numFmtId="0" fontId="32" fillId="0" borderId="36" xfId="0" applyFont="1" applyBorder="1"/>
    <xf numFmtId="43" fontId="32" fillId="0" borderId="35" xfId="3" applyFont="1" applyFill="1" applyBorder="1"/>
    <xf numFmtId="0" fontId="32" fillId="0" borderId="38" xfId="0" applyFont="1" applyBorder="1"/>
    <xf numFmtId="43" fontId="32" fillId="0" borderId="0" xfId="3" applyFont="1" applyFill="1" applyBorder="1"/>
    <xf numFmtId="0" fontId="32" fillId="0" borderId="24" xfId="0" applyFont="1" applyBorder="1"/>
    <xf numFmtId="43" fontId="31" fillId="0" borderId="12" xfId="3" applyFont="1" applyFill="1" applyBorder="1"/>
    <xf numFmtId="43" fontId="31" fillId="0" borderId="42" xfId="3" applyFont="1" applyFill="1" applyBorder="1"/>
    <xf numFmtId="0" fontId="34" fillId="0" borderId="0" xfId="0" applyFont="1"/>
    <xf numFmtId="43" fontId="34" fillId="0" borderId="0" xfId="3" applyFont="1"/>
    <xf numFmtId="169" fontId="34" fillId="0" borderId="0" xfId="3" applyNumberFormat="1" applyFont="1"/>
    <xf numFmtId="0" fontId="35" fillId="0" borderId="0" xfId="0" applyFont="1"/>
    <xf numFmtId="43" fontId="0" fillId="0" borderId="0" xfId="3" applyFont="1"/>
    <xf numFmtId="164" fontId="1" fillId="0" borderId="32" xfId="4" applyNumberFormat="1" applyFont="1" applyFill="1" applyBorder="1" applyAlignment="1">
      <alignment horizontal="right" vertical="center"/>
    </xf>
    <xf numFmtId="0" fontId="3" fillId="3" borderId="0" xfId="1" applyFont="1" applyFill="1"/>
    <xf numFmtId="164" fontId="3" fillId="3" borderId="0" xfId="2" applyNumberFormat="1" applyFont="1" applyFill="1"/>
    <xf numFmtId="164" fontId="37" fillId="0" borderId="0" xfId="2" applyNumberFormat="1" applyFont="1" applyFill="1"/>
    <xf numFmtId="164" fontId="37" fillId="0" borderId="40" xfId="2" applyNumberFormat="1" applyFont="1" applyFill="1" applyBorder="1"/>
    <xf numFmtId="164" fontId="40" fillId="0" borderId="0" xfId="2" applyNumberFormat="1" applyFont="1" applyFill="1"/>
    <xf numFmtId="164" fontId="5" fillId="0" borderId="40" xfId="2" applyNumberFormat="1" applyFont="1" applyFill="1" applyBorder="1"/>
    <xf numFmtId="0" fontId="41" fillId="2" borderId="0" xfId="1" applyFont="1" applyFill="1"/>
    <xf numFmtId="164" fontId="41" fillId="2" borderId="0" xfId="2" applyNumberFormat="1" applyFont="1" applyFill="1"/>
    <xf numFmtId="0" fontId="37" fillId="0" borderId="0" xfId="1" applyFont="1"/>
    <xf numFmtId="0" fontId="31" fillId="0" borderId="29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44" fontId="43" fillId="11" borderId="4" xfId="4" applyFont="1" applyFill="1" applyBorder="1" applyAlignment="1">
      <alignment horizontal="center" vertical="center" wrapText="1"/>
    </xf>
    <xf numFmtId="0" fontId="43" fillId="11" borderId="4" xfId="0" applyFont="1" applyFill="1" applyBorder="1" applyAlignment="1">
      <alignment horizontal="center" vertical="center" wrapText="1"/>
    </xf>
    <xf numFmtId="44" fontId="43" fillId="12" borderId="4" xfId="4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2" fillId="0" borderId="16" xfId="0" applyFont="1" applyBorder="1" applyAlignment="1">
      <alignment horizontal="left" vertical="center"/>
    </xf>
    <xf numFmtId="44" fontId="32" fillId="0" borderId="9" xfId="4" applyFont="1" applyFill="1" applyBorder="1" applyAlignment="1">
      <alignment vertical="top"/>
    </xf>
    <xf numFmtId="44" fontId="32" fillId="0" borderId="9" xfId="4" applyFont="1" applyFill="1" applyBorder="1" applyAlignment="1">
      <alignment vertical="center"/>
    </xf>
    <xf numFmtId="44" fontId="32" fillId="0" borderId="18" xfId="4" applyFont="1" applyFill="1" applyBorder="1" applyAlignment="1">
      <alignment vertical="center"/>
    </xf>
    <xf numFmtId="44" fontId="32" fillId="0" borderId="6" xfId="4" applyFont="1" applyFill="1" applyBorder="1" applyAlignment="1">
      <alignment vertical="center"/>
    </xf>
    <xf numFmtId="0" fontId="32" fillId="0" borderId="19" xfId="0" applyFont="1" applyBorder="1" applyAlignment="1">
      <alignment vertical="center"/>
    </xf>
    <xf numFmtId="0" fontId="32" fillId="0" borderId="0" xfId="0" applyFont="1" applyAlignment="1">
      <alignment vertical="top"/>
    </xf>
    <xf numFmtId="0" fontId="32" fillId="0" borderId="20" xfId="0" applyFont="1" applyBorder="1" applyAlignment="1">
      <alignment horizontal="left" vertical="center"/>
    </xf>
    <xf numFmtId="44" fontId="32" fillId="0" borderId="6" xfId="4" applyFont="1" applyFill="1" applyBorder="1" applyAlignment="1">
      <alignment vertical="top"/>
    </xf>
    <xf numFmtId="44" fontId="32" fillId="0" borderId="23" xfId="4" applyFont="1" applyFill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0" borderId="20" xfId="7" applyFont="1" applyFill="1" applyBorder="1" applyAlignment="1">
      <alignment horizontal="left" vertical="center"/>
    </xf>
    <xf numFmtId="44" fontId="32" fillId="0" borderId="6" xfId="7" applyNumberFormat="1" applyFont="1" applyFill="1" applyBorder="1" applyAlignment="1">
      <alignment vertical="top"/>
    </xf>
    <xf numFmtId="44" fontId="32" fillId="0" borderId="6" xfId="7" applyNumberFormat="1" applyFont="1" applyFill="1" applyBorder="1" applyAlignment="1">
      <alignment vertical="center"/>
    </xf>
    <xf numFmtId="44" fontId="32" fillId="0" borderId="23" xfId="7" applyNumberFormat="1" applyFont="1" applyFill="1" applyBorder="1" applyAlignment="1">
      <alignment vertical="center"/>
    </xf>
    <xf numFmtId="0" fontId="32" fillId="0" borderId="22" xfId="7" applyFont="1" applyFill="1" applyBorder="1" applyAlignment="1">
      <alignment vertical="center"/>
    </xf>
    <xf numFmtId="0" fontId="33" fillId="0" borderId="20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top"/>
    </xf>
    <xf numFmtId="0" fontId="32" fillId="0" borderId="43" xfId="7" applyFont="1" applyFill="1" applyBorder="1" applyAlignment="1">
      <alignment horizontal="left" vertical="center"/>
    </xf>
    <xf numFmtId="44" fontId="32" fillId="0" borderId="11" xfId="7" applyNumberFormat="1" applyFont="1" applyFill="1" applyBorder="1" applyAlignment="1">
      <alignment vertical="top"/>
    </xf>
    <xf numFmtId="44" fontId="32" fillId="0" borderId="44" xfId="7" applyNumberFormat="1" applyFont="1" applyFill="1" applyBorder="1" applyAlignment="1">
      <alignment vertical="center"/>
    </xf>
    <xf numFmtId="44" fontId="32" fillId="0" borderId="11" xfId="7" applyNumberFormat="1" applyFont="1" applyFill="1" applyBorder="1" applyAlignment="1">
      <alignment vertical="center"/>
    </xf>
    <xf numFmtId="0" fontId="32" fillId="0" borderId="45" xfId="7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44" fontId="32" fillId="0" borderId="0" xfId="4" applyFont="1" applyFill="1" applyBorder="1" applyAlignment="1">
      <alignment vertical="center"/>
    </xf>
    <xf numFmtId="0" fontId="32" fillId="0" borderId="0" xfId="0" applyFont="1" applyAlignment="1">
      <alignment vertical="center"/>
    </xf>
    <xf numFmtId="43" fontId="44" fillId="0" borderId="0" xfId="0" applyNumberFormat="1" applyFont="1" applyAlignment="1">
      <alignment vertical="top"/>
    </xf>
    <xf numFmtId="0" fontId="31" fillId="0" borderId="2" xfId="0" applyFont="1" applyBorder="1" applyAlignment="1">
      <alignment vertical="top"/>
    </xf>
    <xf numFmtId="44" fontId="31" fillId="0" borderId="3" xfId="4" applyFont="1" applyBorder="1" applyAlignment="1">
      <alignment vertical="top"/>
    </xf>
    <xf numFmtId="44" fontId="43" fillId="11" borderId="29" xfId="4" applyFont="1" applyFill="1" applyBorder="1" applyAlignment="1">
      <alignment horizontal="center" vertical="center" wrapText="1"/>
    </xf>
    <xf numFmtId="44" fontId="43" fillId="11" borderId="13" xfId="4" applyFont="1" applyFill="1" applyBorder="1" applyAlignment="1">
      <alignment horizontal="center" vertical="center" wrapText="1"/>
    </xf>
    <xf numFmtId="44" fontId="43" fillId="12" borderId="29" xfId="4" applyFont="1" applyFill="1" applyBorder="1" applyAlignment="1">
      <alignment horizontal="center" vertical="center" wrapText="1"/>
    </xf>
    <xf numFmtId="44" fontId="43" fillId="12" borderId="13" xfId="4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44" fontId="32" fillId="0" borderId="0" xfId="0" applyNumberFormat="1" applyFont="1" applyAlignment="1">
      <alignment vertical="top"/>
    </xf>
    <xf numFmtId="44" fontId="32" fillId="0" borderId="0" xfId="4" applyFont="1" applyAlignment="1">
      <alignment vertical="top"/>
    </xf>
    <xf numFmtId="0" fontId="32" fillId="0" borderId="0" xfId="0" applyFont="1" applyAlignment="1">
      <alignment horizontal="center" vertical="top"/>
    </xf>
    <xf numFmtId="49" fontId="32" fillId="0" borderId="0" xfId="0" applyNumberFormat="1" applyFont="1" applyAlignment="1">
      <alignment vertical="top"/>
    </xf>
    <xf numFmtId="44" fontId="32" fillId="0" borderId="0" xfId="4" applyFont="1" applyAlignment="1">
      <alignment horizontal="center" vertical="top"/>
    </xf>
    <xf numFmtId="44" fontId="31" fillId="13" borderId="4" xfId="8" applyNumberFormat="1" applyFont="1" applyFill="1" applyBorder="1" applyAlignment="1">
      <alignment horizontal="center" vertical="center" wrapText="1"/>
    </xf>
    <xf numFmtId="44" fontId="31" fillId="13" borderId="3" xfId="8" applyNumberFormat="1" applyFont="1" applyFill="1" applyBorder="1" applyAlignment="1">
      <alignment horizontal="center" vertical="center" wrapText="1"/>
    </xf>
    <xf numFmtId="164" fontId="1" fillId="0" borderId="17" xfId="4" applyNumberFormat="1" applyFont="1" applyFill="1" applyBorder="1" applyAlignment="1">
      <alignment horizontal="right" vertical="center"/>
    </xf>
    <xf numFmtId="164" fontId="1" fillId="0" borderId="21" xfId="4" applyNumberFormat="1" applyFont="1" applyFill="1" applyBorder="1" applyAlignment="1">
      <alignment horizontal="right" vertical="center"/>
    </xf>
    <xf numFmtId="164" fontId="1" fillId="0" borderId="25" xfId="4" applyNumberFormat="1" applyFont="1" applyFill="1" applyBorder="1" applyAlignment="1">
      <alignment horizontal="right" vertical="center"/>
    </xf>
    <xf numFmtId="164" fontId="1" fillId="0" borderId="33" xfId="4" applyNumberFormat="1" applyFont="1" applyFill="1" applyBorder="1" applyAlignment="1">
      <alignment horizontal="right" vertical="center"/>
    </xf>
    <xf numFmtId="164" fontId="1" fillId="0" borderId="34" xfId="4" applyNumberFormat="1" applyFont="1" applyFill="1" applyBorder="1" applyAlignment="1">
      <alignment horizontal="right" vertical="center"/>
    </xf>
    <xf numFmtId="164" fontId="6" fillId="0" borderId="0" xfId="2" applyNumberFormat="1" applyFont="1"/>
    <xf numFmtId="164" fontId="2" fillId="0" borderId="1" xfId="2" applyNumberFormat="1" applyFont="1" applyFill="1" applyBorder="1"/>
    <xf numFmtId="167" fontId="9" fillId="0" borderId="0" xfId="5" applyNumberFormat="1" applyFont="1"/>
    <xf numFmtId="164" fontId="1" fillId="6" borderId="18" xfId="4" applyNumberFormat="1" applyFont="1" applyFill="1" applyBorder="1" applyAlignment="1">
      <alignment vertical="top"/>
    </xf>
    <xf numFmtId="0" fontId="14" fillId="0" borderId="0" xfId="0" applyFont="1"/>
    <xf numFmtId="170" fontId="14" fillId="0" borderId="0" xfId="0" applyNumberFormat="1" applyFont="1"/>
    <xf numFmtId="0" fontId="14" fillId="0" borderId="21" xfId="0" applyFont="1" applyBorder="1"/>
    <xf numFmtId="44" fontId="47" fillId="16" borderId="7" xfId="0" applyNumberFormat="1" applyFont="1" applyFill="1" applyBorder="1"/>
    <xf numFmtId="44" fontId="14" fillId="17" borderId="49" xfId="0" applyNumberFormat="1" applyFont="1" applyFill="1" applyBorder="1"/>
    <xf numFmtId="44" fontId="14" fillId="17" borderId="7" xfId="0" applyNumberFormat="1" applyFont="1" applyFill="1" applyBorder="1"/>
    <xf numFmtId="44" fontId="47" fillId="16" borderId="5" xfId="0" applyNumberFormat="1" applyFont="1" applyFill="1" applyBorder="1"/>
    <xf numFmtId="44" fontId="14" fillId="17" borderId="20" xfId="0" applyNumberFormat="1" applyFont="1" applyFill="1" applyBorder="1"/>
    <xf numFmtId="44" fontId="14" fillId="17" borderId="5" xfId="0" applyNumberFormat="1" applyFont="1" applyFill="1" applyBorder="1"/>
    <xf numFmtId="171" fontId="14" fillId="0" borderId="0" xfId="0" applyNumberFormat="1" applyFont="1"/>
    <xf numFmtId="44" fontId="47" fillId="16" borderId="10" xfId="0" applyNumberFormat="1" applyFont="1" applyFill="1" applyBorder="1"/>
    <xf numFmtId="44" fontId="14" fillId="17" borderId="43" xfId="0" applyNumberFormat="1" applyFont="1" applyFill="1" applyBorder="1"/>
    <xf numFmtId="44" fontId="14" fillId="17" borderId="10" xfId="0" applyNumberFormat="1" applyFont="1" applyFill="1" applyBorder="1"/>
    <xf numFmtId="44" fontId="14" fillId="0" borderId="0" xfId="0" applyNumberFormat="1" applyFont="1"/>
    <xf numFmtId="0" fontId="47" fillId="16" borderId="21" xfId="0" applyFont="1" applyFill="1" applyBorder="1" applyAlignment="1">
      <alignment horizontal="center"/>
    </xf>
    <xf numFmtId="44" fontId="47" fillId="16" borderId="29" xfId="0" applyNumberFormat="1" applyFont="1" applyFill="1" applyBorder="1"/>
    <xf numFmtId="44" fontId="47" fillId="16" borderId="3" xfId="0" applyNumberFormat="1" applyFont="1" applyFill="1" applyBorder="1"/>
    <xf numFmtId="44" fontId="47" fillId="17" borderId="3" xfId="0" applyNumberFormat="1" applyFont="1" applyFill="1" applyBorder="1"/>
    <xf numFmtId="44" fontId="14" fillId="0" borderId="0" xfId="4" applyFont="1" applyFill="1"/>
    <xf numFmtId="10" fontId="14" fillId="0" borderId="0" xfId="5" applyNumberFormat="1" applyFont="1"/>
    <xf numFmtId="0" fontId="32" fillId="0" borderId="6" xfId="0" applyFont="1" applyBorder="1"/>
    <xf numFmtId="164" fontId="32" fillId="0" borderId="0" xfId="0" applyNumberFormat="1" applyFont="1"/>
    <xf numFmtId="10" fontId="33" fillId="0" borderId="0" xfId="5" applyNumberFormat="1" applyFont="1" applyFill="1"/>
    <xf numFmtId="166" fontId="32" fillId="0" borderId="0" xfId="3" applyNumberFormat="1" applyFont="1" applyFill="1"/>
    <xf numFmtId="44" fontId="14" fillId="0" borderId="33" xfId="0" applyNumberFormat="1" applyFont="1" applyBorder="1"/>
    <xf numFmtId="44" fontId="14" fillId="0" borderId="32" xfId="0" applyNumberFormat="1" applyFont="1" applyBorder="1"/>
    <xf numFmtId="164" fontId="1" fillId="0" borderId="11" xfId="4" applyNumberFormat="1" applyFont="1" applyFill="1" applyBorder="1" applyAlignment="1">
      <alignment vertical="top"/>
    </xf>
    <xf numFmtId="44" fontId="14" fillId="0" borderId="50" xfId="0" applyNumberFormat="1" applyFont="1" applyBorder="1"/>
    <xf numFmtId="164" fontId="1" fillId="15" borderId="18" xfId="4" applyNumberFormat="1" applyFont="1" applyFill="1" applyBorder="1" applyAlignment="1">
      <alignment vertical="top"/>
    </xf>
    <xf numFmtId="164" fontId="1" fillId="0" borderId="0" xfId="4" applyNumberFormat="1" applyFont="1" applyFill="1" applyAlignment="1">
      <alignment horizontal="right" vertical="center"/>
    </xf>
    <xf numFmtId="43" fontId="31" fillId="7" borderId="0" xfId="3" applyFont="1" applyFill="1"/>
    <xf numFmtId="43" fontId="32" fillId="0" borderId="37" xfId="3" applyFont="1" applyFill="1" applyBorder="1"/>
    <xf numFmtId="43" fontId="32" fillId="0" borderId="39" xfId="3" applyFont="1" applyFill="1" applyBorder="1"/>
    <xf numFmtId="43" fontId="32" fillId="0" borderId="40" xfId="3" applyFont="1" applyFill="1" applyBorder="1"/>
    <xf numFmtId="43" fontId="32" fillId="0" borderId="41" xfId="3" applyFont="1" applyFill="1" applyBorder="1"/>
    <xf numFmtId="0" fontId="32" fillId="0" borderId="0" xfId="0" applyFont="1" applyAlignment="1">
      <alignment horizontal="center"/>
    </xf>
    <xf numFmtId="166" fontId="32" fillId="0" borderId="0" xfId="3" applyNumberFormat="1" applyFont="1"/>
    <xf numFmtId="0" fontId="32" fillId="0" borderId="40" xfId="0" applyFont="1" applyBorder="1"/>
    <xf numFmtId="0" fontId="31" fillId="3" borderId="6" xfId="0" applyFont="1" applyFill="1" applyBorder="1" applyAlignment="1">
      <alignment horizontal="center"/>
    </xf>
    <xf numFmtId="0" fontId="31" fillId="3" borderId="6" xfId="0" applyFont="1" applyFill="1" applyBorder="1" applyAlignment="1">
      <alignment horizontal="center" wrapText="1"/>
    </xf>
    <xf numFmtId="0" fontId="43" fillId="4" borderId="4" xfId="0" applyFont="1" applyFill="1" applyBorder="1" applyAlignment="1">
      <alignment horizontal="center" wrapText="1"/>
    </xf>
    <xf numFmtId="0" fontId="43" fillId="4" borderId="13" xfId="0" applyFont="1" applyFill="1" applyBorder="1" applyAlignment="1">
      <alignment horizontal="center" wrapText="1"/>
    </xf>
    <xf numFmtId="0" fontId="32" fillId="3" borderId="6" xfId="0" applyFont="1" applyFill="1" applyBorder="1" applyAlignment="1">
      <alignment horizontal="center"/>
    </xf>
    <xf numFmtId="0" fontId="32" fillId="3" borderId="6" xfId="0" applyFont="1" applyFill="1" applyBorder="1"/>
    <xf numFmtId="43" fontId="43" fillId="4" borderId="8" xfId="0" applyNumberFormat="1" applyFont="1" applyFill="1" applyBorder="1"/>
    <xf numFmtId="164" fontId="43" fillId="4" borderId="5" xfId="4" applyNumberFormat="1" applyFont="1" applyFill="1" applyBorder="1"/>
    <xf numFmtId="43" fontId="43" fillId="4" borderId="5" xfId="0" applyNumberFormat="1" applyFont="1" applyFill="1" applyBorder="1"/>
    <xf numFmtId="0" fontId="33" fillId="3" borderId="6" xfId="0" applyFont="1" applyFill="1" applyBorder="1" applyAlignment="1">
      <alignment horizontal="center"/>
    </xf>
    <xf numFmtId="43" fontId="43" fillId="4" borderId="10" xfId="0" applyNumberFormat="1" applyFont="1" applyFill="1" applyBorder="1"/>
    <xf numFmtId="164" fontId="43" fillId="4" borderId="10" xfId="4" applyNumberFormat="1" applyFont="1" applyFill="1" applyBorder="1"/>
    <xf numFmtId="166" fontId="32" fillId="0" borderId="0" xfId="3" applyNumberFormat="1" applyFont="1" applyFill="1" applyBorder="1"/>
    <xf numFmtId="166" fontId="31" fillId="0" borderId="0" xfId="0" applyNumberFormat="1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164" fontId="31" fillId="0" borderId="0" xfId="4" applyNumberFormat="1" applyFont="1" applyFill="1" applyBorder="1"/>
    <xf numFmtId="0" fontId="34" fillId="0" borderId="0" xfId="0" applyFont="1" applyAlignment="1">
      <alignment horizontal="center"/>
    </xf>
    <xf numFmtId="166" fontId="34" fillId="0" borderId="0" xfId="0" applyNumberFormat="1" applyFont="1"/>
    <xf numFmtId="166" fontId="34" fillId="0" borderId="0" xfId="3" applyNumberFormat="1" applyFont="1" applyBorder="1"/>
    <xf numFmtId="166" fontId="34" fillId="0" borderId="0" xfId="3" applyNumberFormat="1" applyFont="1"/>
    <xf numFmtId="166" fontId="32" fillId="0" borderId="0" xfId="3" applyNumberFormat="1" applyFont="1" applyBorder="1"/>
    <xf numFmtId="0" fontId="52" fillId="0" borderId="0" xfId="0" applyFont="1" applyAlignment="1">
      <alignment horizontal="center"/>
    </xf>
    <xf numFmtId="2" fontId="32" fillId="0" borderId="0" xfId="0" applyNumberFormat="1" applyFont="1"/>
    <xf numFmtId="0" fontId="33" fillId="0" borderId="21" xfId="0" applyFont="1" applyBorder="1"/>
    <xf numFmtId="0" fontId="32" fillId="0" borderId="23" xfId="0" applyFont="1" applyBorder="1"/>
    <xf numFmtId="172" fontId="32" fillId="0" borderId="6" xfId="3" applyNumberFormat="1" applyFont="1" applyBorder="1"/>
    <xf numFmtId="164" fontId="53" fillId="0" borderId="0" xfId="4" applyNumberFormat="1" applyFont="1" applyBorder="1"/>
    <xf numFmtId="165" fontId="32" fillId="0" borderId="6" xfId="3" applyNumberFormat="1" applyFont="1" applyBorder="1"/>
    <xf numFmtId="0" fontId="31" fillId="19" borderId="17" xfId="0" applyFont="1" applyFill="1" applyBorder="1" applyAlignment="1">
      <alignment horizontal="center" wrapText="1"/>
    </xf>
    <xf numFmtId="0" fontId="31" fillId="19" borderId="9" xfId="0" applyFont="1" applyFill="1" applyBorder="1" applyAlignment="1">
      <alignment horizontal="center" wrapText="1"/>
    </xf>
    <xf numFmtId="166" fontId="31" fillId="19" borderId="9" xfId="3" applyNumberFormat="1" applyFont="1" applyFill="1" applyBorder="1" applyAlignment="1">
      <alignment horizontal="center" wrapText="1"/>
    </xf>
    <xf numFmtId="166" fontId="32" fillId="6" borderId="6" xfId="3" applyNumberFormat="1" applyFont="1" applyFill="1" applyBorder="1"/>
    <xf numFmtId="166" fontId="31" fillId="6" borderId="21" xfId="0" applyNumberFormat="1" applyFont="1" applyFill="1" applyBorder="1"/>
    <xf numFmtId="43" fontId="32" fillId="20" borderId="6" xfId="0" applyNumberFormat="1" applyFont="1" applyFill="1" applyBorder="1"/>
    <xf numFmtId="0" fontId="32" fillId="20" borderId="23" xfId="0" applyFont="1" applyFill="1" applyBorder="1" applyAlignment="1">
      <alignment horizontal="center"/>
    </xf>
    <xf numFmtId="0" fontId="33" fillId="20" borderId="23" xfId="0" applyFont="1" applyFill="1" applyBorder="1" applyAlignment="1">
      <alignment horizontal="center"/>
    </xf>
    <xf numFmtId="0" fontId="32" fillId="20" borderId="23" xfId="0" applyFont="1" applyFill="1" applyBorder="1" applyAlignment="1">
      <alignment horizontal="right"/>
    </xf>
    <xf numFmtId="43" fontId="32" fillId="20" borderId="11" xfId="0" applyNumberFormat="1" applyFont="1" applyFill="1" applyBorder="1"/>
    <xf numFmtId="0" fontId="43" fillId="4" borderId="14" xfId="0" applyFont="1" applyFill="1" applyBorder="1" applyAlignment="1">
      <alignment horizontal="center" wrapText="1"/>
    </xf>
    <xf numFmtId="43" fontId="33" fillId="20" borderId="18" xfId="0" applyNumberFormat="1" applyFont="1" applyFill="1" applyBorder="1"/>
    <xf numFmtId="43" fontId="33" fillId="20" borderId="23" xfId="0" applyNumberFormat="1" applyFont="1" applyFill="1" applyBorder="1"/>
    <xf numFmtId="43" fontId="33" fillId="20" borderId="44" xfId="0" applyNumberFormat="1" applyFont="1" applyFill="1" applyBorder="1"/>
    <xf numFmtId="0" fontId="42" fillId="19" borderId="29" xfId="0" applyFont="1" applyFill="1" applyBorder="1" applyAlignment="1">
      <alignment horizontal="center" wrapText="1"/>
    </xf>
    <xf numFmtId="0" fontId="42" fillId="19" borderId="4" xfId="0" applyFont="1" applyFill="1" applyBorder="1" applyAlignment="1">
      <alignment horizontal="center" wrapText="1"/>
    </xf>
    <xf numFmtId="0" fontId="42" fillId="19" borderId="13" xfId="0" applyFont="1" applyFill="1" applyBorder="1" applyAlignment="1">
      <alignment horizontal="center" wrapText="1"/>
    </xf>
    <xf numFmtId="0" fontId="32" fillId="6" borderId="18" xfId="0" applyFont="1" applyFill="1" applyBorder="1" applyAlignment="1">
      <alignment horizontal="center"/>
    </xf>
    <xf numFmtId="0" fontId="32" fillId="6" borderId="33" xfId="0" applyFont="1" applyFill="1" applyBorder="1" applyAlignment="1">
      <alignment horizontal="center"/>
    </xf>
    <xf numFmtId="0" fontId="32" fillId="6" borderId="23" xfId="0" applyFont="1" applyFill="1" applyBorder="1" applyAlignment="1">
      <alignment horizontal="center"/>
    </xf>
    <xf numFmtId="0" fontId="31" fillId="6" borderId="22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/>
    </xf>
    <xf numFmtId="0" fontId="42" fillId="6" borderId="22" xfId="0" applyFont="1" applyFill="1" applyBorder="1" applyAlignment="1">
      <alignment horizontal="center"/>
    </xf>
    <xf numFmtId="0" fontId="33" fillId="6" borderId="23" xfId="0" applyFont="1" applyFill="1" applyBorder="1" applyAlignment="1">
      <alignment horizontal="center"/>
    </xf>
    <xf numFmtId="0" fontId="32" fillId="6" borderId="50" xfId="0" applyFont="1" applyFill="1" applyBorder="1" applyAlignment="1">
      <alignment horizontal="center"/>
    </xf>
    <xf numFmtId="0" fontId="32" fillId="6" borderId="44" xfId="0" applyFont="1" applyFill="1" applyBorder="1" applyAlignment="1">
      <alignment horizontal="center"/>
    </xf>
    <xf numFmtId="0" fontId="31" fillId="6" borderId="45" xfId="0" applyFont="1" applyFill="1" applyBorder="1" applyAlignment="1">
      <alignment horizontal="center"/>
    </xf>
    <xf numFmtId="166" fontId="42" fillId="19" borderId="2" xfId="3" applyNumberFormat="1" applyFont="1" applyFill="1" applyBorder="1" applyAlignment="1">
      <alignment horizontal="center"/>
    </xf>
    <xf numFmtId="166" fontId="42" fillId="19" borderId="31" xfId="3" applyNumberFormat="1" applyFont="1" applyFill="1" applyBorder="1" applyAlignment="1">
      <alignment horizontal="center"/>
    </xf>
    <xf numFmtId="166" fontId="42" fillId="19" borderId="13" xfId="3" applyNumberFormat="1" applyFont="1" applyFill="1" applyBorder="1" applyAlignment="1">
      <alignment horizontal="center"/>
    </xf>
    <xf numFmtId="166" fontId="31" fillId="19" borderId="2" xfId="3" applyNumberFormat="1" applyFont="1" applyFill="1" applyBorder="1"/>
    <xf numFmtId="166" fontId="31" fillId="19" borderId="31" xfId="3" applyNumberFormat="1" applyFont="1" applyFill="1" applyBorder="1"/>
    <xf numFmtId="166" fontId="31" fillId="19" borderId="13" xfId="3" applyNumberFormat="1" applyFont="1" applyFill="1" applyBorder="1"/>
    <xf numFmtId="166" fontId="31" fillId="3" borderId="3" xfId="3" applyNumberFormat="1" applyFont="1" applyFill="1" applyBorder="1"/>
    <xf numFmtId="0" fontId="43" fillId="4" borderId="31" xfId="0" applyFont="1" applyFill="1" applyBorder="1" applyAlignment="1">
      <alignment horizontal="center" wrapText="1"/>
    </xf>
    <xf numFmtId="164" fontId="43" fillId="4" borderId="20" xfId="4" applyNumberFormat="1" applyFont="1" applyFill="1" applyBorder="1"/>
    <xf numFmtId="164" fontId="43" fillId="4" borderId="43" xfId="4" applyNumberFormat="1" applyFont="1" applyFill="1" applyBorder="1"/>
    <xf numFmtId="164" fontId="31" fillId="0" borderId="0" xfId="0" applyNumberFormat="1" applyFont="1"/>
    <xf numFmtId="0" fontId="31" fillId="15" borderId="52" xfId="0" applyFont="1" applyFill="1" applyBorder="1" applyAlignment="1">
      <alignment horizontal="center" wrapText="1"/>
    </xf>
    <xf numFmtId="0" fontId="31" fillId="15" borderId="53" xfId="0" applyFont="1" applyFill="1" applyBorder="1" applyAlignment="1">
      <alignment horizontal="center" wrapText="1"/>
    </xf>
    <xf numFmtId="1" fontId="31" fillId="15" borderId="2" xfId="0" applyNumberFormat="1" applyFont="1" applyFill="1" applyBorder="1"/>
    <xf numFmtId="164" fontId="31" fillId="15" borderId="13" xfId="4" applyNumberFormat="1" applyFont="1" applyFill="1" applyBorder="1"/>
    <xf numFmtId="0" fontId="31" fillId="14" borderId="33" xfId="0" applyFont="1" applyFill="1" applyBorder="1"/>
    <xf numFmtId="164" fontId="31" fillId="14" borderId="22" xfId="0" applyNumberFormat="1" applyFont="1" applyFill="1" applyBorder="1"/>
    <xf numFmtId="2" fontId="31" fillId="14" borderId="33" xfId="0" applyNumberFormat="1" applyFont="1" applyFill="1" applyBorder="1"/>
    <xf numFmtId="0" fontId="31" fillId="14" borderId="50" xfId="0" applyFont="1" applyFill="1" applyBorder="1"/>
    <xf numFmtId="164" fontId="31" fillId="14" borderId="45" xfId="0" applyNumberFormat="1" applyFont="1" applyFill="1" applyBorder="1"/>
    <xf numFmtId="43" fontId="43" fillId="4" borderId="2" xfId="3" applyFont="1" applyFill="1" applyBorder="1"/>
    <xf numFmtId="166" fontId="43" fillId="4" borderId="31" xfId="3" applyNumberFormat="1" applyFont="1" applyFill="1" applyBorder="1"/>
    <xf numFmtId="43" fontId="43" fillId="4" borderId="31" xfId="3" applyFont="1" applyFill="1" applyBorder="1"/>
    <xf numFmtId="164" fontId="43" fillId="4" borderId="4" xfId="4" applyNumberFormat="1" applyFont="1" applyFill="1" applyBorder="1"/>
    <xf numFmtId="164" fontId="43" fillId="4" borderId="13" xfId="4" applyNumberFormat="1" applyFont="1" applyFill="1" applyBorder="1"/>
    <xf numFmtId="0" fontId="20" fillId="4" borderId="13" xfId="0" applyFont="1" applyFill="1" applyBorder="1" applyAlignment="1">
      <alignment horizontal="center" vertical="center" wrapText="1"/>
    </xf>
    <xf numFmtId="164" fontId="11" fillId="0" borderId="19" xfId="4" applyNumberFormat="1" applyFont="1" applyFill="1" applyBorder="1" applyAlignment="1">
      <alignment vertical="top"/>
    </xf>
    <xf numFmtId="164" fontId="11" fillId="0" borderId="22" xfId="4" applyNumberFormat="1" applyFont="1" applyFill="1" applyBorder="1" applyAlignment="1">
      <alignment vertical="top"/>
    </xf>
    <xf numFmtId="164" fontId="11" fillId="0" borderId="45" xfId="4" applyNumberFormat="1" applyFont="1" applyFill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43" xfId="0" applyFont="1" applyBorder="1" applyAlignment="1">
      <alignment vertical="top"/>
    </xf>
    <xf numFmtId="0" fontId="1" fillId="0" borderId="22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45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20" fillId="4" borderId="3" xfId="4" applyNumberFormat="1" applyFont="1" applyFill="1" applyBorder="1" applyAlignment="1">
      <alignment vertical="top" wrapText="1"/>
    </xf>
    <xf numFmtId="42" fontId="1" fillId="0" borderId="18" xfId="4" applyNumberFormat="1" applyFont="1" applyBorder="1"/>
    <xf numFmtId="164" fontId="1" fillId="0" borderId="6" xfId="4" applyNumberFormat="1" applyFont="1" applyFill="1" applyBorder="1" applyAlignment="1">
      <alignment vertical="top"/>
    </xf>
    <xf numFmtId="10" fontId="24" fillId="0" borderId="27" xfId="5" applyNumberFormat="1" applyFont="1" applyFill="1" applyBorder="1" applyAlignment="1">
      <alignment horizontal="center" vertical="center"/>
    </xf>
    <xf numFmtId="0" fontId="11" fillId="16" borderId="15" xfId="0" applyFont="1" applyFill="1" applyBorder="1" applyAlignment="1">
      <alignment horizontal="center" vertical="center" wrapText="1"/>
    </xf>
    <xf numFmtId="0" fontId="19" fillId="16" borderId="13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1" fontId="31" fillId="0" borderId="6" xfId="0" applyNumberFormat="1" applyFont="1" applyBorder="1" applyAlignment="1">
      <alignment horizontal="center" vertical="center" wrapText="1"/>
    </xf>
    <xf numFmtId="1" fontId="32" fillId="0" borderId="6" xfId="4" applyNumberFormat="1" applyFont="1" applyBorder="1" applyAlignment="1">
      <alignment horizontal="center" vertical="center" wrapText="1"/>
    </xf>
    <xf numFmtId="1" fontId="32" fillId="0" borderId="0" xfId="4" applyNumberFormat="1" applyFont="1" applyAlignment="1">
      <alignment horizontal="center" vertical="center" wrapText="1"/>
    </xf>
    <xf numFmtId="164" fontId="32" fillId="0" borderId="0" xfId="4" applyNumberFormat="1" applyFont="1" applyBorder="1" applyAlignment="1"/>
    <xf numFmtId="0" fontId="31" fillId="0" borderId="21" xfId="0" applyFont="1" applyBorder="1" applyAlignment="1">
      <alignment horizontal="center"/>
    </xf>
    <xf numFmtId="164" fontId="47" fillId="0" borderId="6" xfId="0" applyNumberFormat="1" applyFont="1" applyBorder="1"/>
    <xf numFmtId="164" fontId="32" fillId="0" borderId="6" xfId="4" applyNumberFormat="1" applyFont="1" applyFill="1" applyBorder="1" applyAlignment="1"/>
    <xf numFmtId="0" fontId="19" fillId="0" borderId="31" xfId="0" applyFont="1" applyBorder="1" applyAlignment="1">
      <alignment horizontal="center" vertical="center" wrapText="1"/>
    </xf>
    <xf numFmtId="0" fontId="32" fillId="6" borderId="32" xfId="0" applyFont="1" applyFill="1" applyBorder="1" applyAlignment="1">
      <alignment horizontal="center"/>
    </xf>
    <xf numFmtId="0" fontId="31" fillId="6" borderId="19" xfId="0" applyFont="1" applyFill="1" applyBorder="1" applyAlignment="1">
      <alignment horizontal="center"/>
    </xf>
    <xf numFmtId="43" fontId="32" fillId="20" borderId="17" xfId="0" applyNumberFormat="1" applyFont="1" applyFill="1" applyBorder="1"/>
    <xf numFmtId="43" fontId="32" fillId="20" borderId="21" xfId="0" applyNumberFormat="1" applyFont="1" applyFill="1" applyBorder="1"/>
    <xf numFmtId="0" fontId="32" fillId="20" borderId="44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73" fontId="1" fillId="0" borderId="5" xfId="4" applyNumberFormat="1" applyFont="1" applyBorder="1"/>
    <xf numFmtId="173" fontId="1" fillId="0" borderId="10" xfId="4" applyNumberFormat="1" applyFont="1" applyBorder="1"/>
    <xf numFmtId="173" fontId="11" fillId="0" borderId="3" xfId="4" applyNumberFormat="1" applyFont="1" applyBorder="1"/>
    <xf numFmtId="0" fontId="1" fillId="0" borderId="0" xfId="0" applyFont="1" applyAlignment="1">
      <alignment horizontal="center"/>
    </xf>
    <xf numFmtId="173" fontId="1" fillId="0" borderId="8" xfId="4" applyNumberFormat="1" applyFont="1" applyBorder="1"/>
    <xf numFmtId="44" fontId="14" fillId="0" borderId="8" xfId="0" applyNumberFormat="1" applyFont="1" applyBorder="1"/>
    <xf numFmtId="44" fontId="14" fillId="0" borderId="5" xfId="0" applyNumberFormat="1" applyFont="1" applyBorder="1"/>
    <xf numFmtId="44" fontId="14" fillId="0" borderId="10" xfId="0" applyNumberFormat="1" applyFont="1" applyBorder="1"/>
    <xf numFmtId="164" fontId="28" fillId="0" borderId="0" xfId="0" applyNumberFormat="1" applyFont="1" applyAlignment="1">
      <alignment vertical="center" wrapText="1"/>
    </xf>
    <xf numFmtId="0" fontId="28" fillId="0" borderId="54" xfId="0" applyFont="1" applyBorder="1"/>
    <xf numFmtId="0" fontId="28" fillId="0" borderId="0" xfId="0" applyFont="1"/>
    <xf numFmtId="166" fontId="26" fillId="0" borderId="0" xfId="3" applyNumberFormat="1" applyFont="1"/>
    <xf numFmtId="10" fontId="26" fillId="0" borderId="0" xfId="5" applyNumberFormat="1" applyFont="1" applyAlignment="1">
      <alignment horizontal="center"/>
    </xf>
    <xf numFmtId="10" fontId="26" fillId="0" borderId="0" xfId="5" applyNumberFormat="1" applyFont="1" applyAlignment="1">
      <alignment horizontal="center" vertical="center"/>
    </xf>
    <xf numFmtId="0" fontId="26" fillId="0" borderId="0" xfId="0" applyFont="1"/>
    <xf numFmtId="164" fontId="11" fillId="0" borderId="24" xfId="4" applyNumberFormat="1" applyFont="1" applyFill="1" applyBorder="1" applyAlignment="1">
      <alignment horizontal="right" vertical="center"/>
    </xf>
    <xf numFmtId="6" fontId="11" fillId="0" borderId="12" xfId="4" applyNumberFormat="1" applyFont="1" applyFill="1" applyBorder="1"/>
    <xf numFmtId="168" fontId="25" fillId="0" borderId="12" xfId="0" applyNumberFormat="1" applyFont="1" applyBorder="1"/>
    <xf numFmtId="164" fontId="16" fillId="0" borderId="12" xfId="4" applyNumberFormat="1" applyFont="1" applyFill="1" applyBorder="1" applyAlignment="1">
      <alignment horizontal="center"/>
    </xf>
    <xf numFmtId="10" fontId="13" fillId="0" borderId="12" xfId="5" applyNumberFormat="1" applyFont="1" applyFill="1" applyBorder="1" applyAlignment="1">
      <alignment horizontal="center" vertical="center"/>
    </xf>
    <xf numFmtId="0" fontId="24" fillId="0" borderId="0" xfId="0" applyFont="1"/>
    <xf numFmtId="10" fontId="13" fillId="0" borderId="0" xfId="5" applyNumberFormat="1" applyFont="1" applyAlignment="1">
      <alignment horizontal="center" vertical="center"/>
    </xf>
    <xf numFmtId="10" fontId="13" fillId="0" borderId="0" xfId="5" applyNumberFormat="1" applyFont="1" applyAlignment="1">
      <alignment horizontal="right" vertical="center"/>
    </xf>
    <xf numFmtId="166" fontId="17" fillId="0" borderId="0" xfId="3" applyNumberFormat="1" applyFont="1" applyAlignment="1">
      <alignment horizontal="center" vertical="center"/>
    </xf>
    <xf numFmtId="166" fontId="55" fillId="0" borderId="0" xfId="3" applyNumberFormat="1" applyFont="1" applyAlignment="1">
      <alignment horizontal="center" vertical="center"/>
    </xf>
    <xf numFmtId="2" fontId="1" fillId="0" borderId="0" xfId="0" applyNumberFormat="1" applyFont="1"/>
    <xf numFmtId="2" fontId="24" fillId="0" borderId="0" xfId="0" applyNumberFormat="1" applyFont="1"/>
    <xf numFmtId="2" fontId="24" fillId="0" borderId="0" xfId="0" applyNumberFormat="1" applyFont="1" applyAlignment="1">
      <alignment horizontal="center"/>
    </xf>
    <xf numFmtId="2" fontId="13" fillId="0" borderId="0" xfId="5" applyNumberFormat="1" applyFont="1" applyAlignment="1">
      <alignment horizontal="center" vertical="center"/>
    </xf>
    <xf numFmtId="0" fontId="18" fillId="0" borderId="0" xfId="0" applyFont="1"/>
    <xf numFmtId="168" fontId="45" fillId="0" borderId="0" xfId="0" applyNumberFormat="1" applyFont="1"/>
    <xf numFmtId="43" fontId="45" fillId="0" borderId="0" xfId="3" applyFont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20" fillId="21" borderId="3" xfId="0" applyFont="1" applyFill="1" applyBorder="1" applyAlignment="1">
      <alignment horizontal="center" vertical="center" wrapText="1"/>
    </xf>
    <xf numFmtId="0" fontId="12" fillId="21" borderId="3" xfId="0" applyFont="1" applyFill="1" applyBorder="1" applyAlignment="1">
      <alignment horizontal="center" vertical="center" wrapText="1"/>
    </xf>
    <xf numFmtId="164" fontId="1" fillId="0" borderId="7" xfId="4" applyNumberFormat="1" applyFont="1" applyFill="1" applyBorder="1" applyAlignment="1">
      <alignment horizontal="right" vertical="center"/>
    </xf>
    <xf numFmtId="164" fontId="25" fillId="0" borderId="55" xfId="4" applyNumberFormat="1" applyFont="1" applyFill="1" applyBorder="1" applyAlignment="1">
      <alignment vertical="top"/>
    </xf>
    <xf numFmtId="164" fontId="11" fillId="0" borderId="49" xfId="4" applyNumberFormat="1" applyFont="1" applyBorder="1" applyAlignment="1">
      <alignment horizontal="right" vertical="center"/>
    </xf>
    <xf numFmtId="167" fontId="24" fillId="0" borderId="53" xfId="5" applyNumberFormat="1" applyFont="1" applyBorder="1" applyAlignment="1">
      <alignment horizontal="center"/>
    </xf>
    <xf numFmtId="164" fontId="1" fillId="0" borderId="8" xfId="4" applyNumberFormat="1" applyFont="1" applyFill="1" applyBorder="1" applyAlignment="1">
      <alignment horizontal="right" vertical="center"/>
    </xf>
    <xf numFmtId="164" fontId="25" fillId="0" borderId="56" xfId="4" applyNumberFormat="1" applyFont="1" applyFill="1" applyBorder="1" applyAlignment="1">
      <alignment vertical="top"/>
    </xf>
    <xf numFmtId="164" fontId="11" fillId="0" borderId="16" xfId="4" applyNumberFormat="1" applyFont="1" applyBorder="1" applyAlignment="1">
      <alignment horizontal="right" vertical="center"/>
    </xf>
    <xf numFmtId="167" fontId="24" fillId="0" borderId="19" xfId="5" applyNumberFormat="1" applyFont="1" applyBorder="1" applyAlignment="1">
      <alignment horizontal="center"/>
    </xf>
    <xf numFmtId="164" fontId="1" fillId="0" borderId="27" xfId="4" applyNumberFormat="1" applyFont="1" applyFill="1" applyBorder="1" applyAlignment="1">
      <alignment horizontal="right" vertical="center"/>
    </xf>
    <xf numFmtId="164" fontId="25" fillId="0" borderId="57" xfId="4" applyNumberFormat="1" applyFont="1" applyFill="1" applyBorder="1" applyAlignment="1">
      <alignment vertical="top"/>
    </xf>
    <xf numFmtId="164" fontId="11" fillId="0" borderId="24" xfId="4" applyNumberFormat="1" applyFont="1" applyBorder="1" applyAlignment="1">
      <alignment horizontal="right" vertical="center"/>
    </xf>
    <xf numFmtId="167" fontId="24" fillId="0" borderId="26" xfId="5" applyNumberFormat="1" applyFont="1" applyBorder="1" applyAlignment="1">
      <alignment horizontal="center"/>
    </xf>
    <xf numFmtId="164" fontId="22" fillId="0" borderId="12" xfId="4" applyNumberFormat="1" applyFont="1" applyBorder="1"/>
    <xf numFmtId="164" fontId="19" fillId="5" borderId="3" xfId="4" applyNumberFormat="1" applyFont="1" applyFill="1" applyBorder="1" applyAlignment="1">
      <alignment vertical="top" wrapText="1"/>
    </xf>
    <xf numFmtId="164" fontId="22" fillId="0" borderId="3" xfId="4" applyNumberFormat="1" applyFont="1" applyBorder="1" applyAlignment="1">
      <alignment vertical="top"/>
    </xf>
    <xf numFmtId="164" fontId="20" fillId="21" borderId="3" xfId="4" applyNumberFormat="1" applyFont="1" applyFill="1" applyBorder="1" applyAlignment="1">
      <alignment vertical="top" wrapText="1"/>
    </xf>
    <xf numFmtId="167" fontId="12" fillId="21" borderId="3" xfId="5" applyNumberFormat="1" applyFont="1" applyFill="1" applyBorder="1" applyAlignment="1">
      <alignment horizontal="center" vertical="top" wrapText="1"/>
    </xf>
    <xf numFmtId="168" fontId="24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1" fillId="22" borderId="4" xfId="0" applyFont="1" applyFill="1" applyBorder="1" applyAlignment="1">
      <alignment horizontal="center" vertical="center" wrapText="1"/>
    </xf>
    <xf numFmtId="0" fontId="11" fillId="22" borderId="13" xfId="0" applyFont="1" applyFill="1" applyBorder="1" applyAlignment="1">
      <alignment horizontal="center" vertical="center" wrapText="1"/>
    </xf>
    <xf numFmtId="164" fontId="11" fillId="22" borderId="16" xfId="4" applyNumberFormat="1" applyFont="1" applyFill="1" applyBorder="1" applyAlignment="1">
      <alignment horizontal="right" vertical="center"/>
    </xf>
    <xf numFmtId="10" fontId="15" fillId="22" borderId="8" xfId="5" applyNumberFormat="1" applyFont="1" applyFill="1" applyBorder="1" applyAlignment="1">
      <alignment horizontal="center" vertical="top"/>
    </xf>
    <xf numFmtId="164" fontId="54" fillId="22" borderId="16" xfId="4" applyNumberFormat="1" applyFont="1" applyFill="1" applyBorder="1" applyAlignment="1">
      <alignment horizontal="right" vertical="center"/>
    </xf>
    <xf numFmtId="167" fontId="29" fillId="22" borderId="5" xfId="5" applyNumberFormat="1" applyFont="1" applyFill="1" applyBorder="1"/>
    <xf numFmtId="164" fontId="19" fillId="22" borderId="16" xfId="4" applyNumberFormat="1" applyFont="1" applyFill="1" applyBorder="1" applyAlignment="1">
      <alignment horizontal="right" vertical="center"/>
    </xf>
    <xf numFmtId="167" fontId="15" fillId="22" borderId="5" xfId="5" applyNumberFormat="1" applyFont="1" applyFill="1" applyBorder="1"/>
    <xf numFmtId="167" fontId="24" fillId="22" borderId="5" xfId="5" applyNumberFormat="1" applyFont="1" applyFill="1" applyBorder="1"/>
    <xf numFmtId="164" fontId="11" fillId="22" borderId="24" xfId="4" applyNumberFormat="1" applyFont="1" applyFill="1" applyBorder="1" applyAlignment="1">
      <alignment horizontal="right" vertical="center"/>
    </xf>
    <xf numFmtId="10" fontId="15" fillId="22" borderId="27" xfId="5" applyNumberFormat="1" applyFont="1" applyFill="1" applyBorder="1" applyAlignment="1">
      <alignment horizontal="center" vertical="top"/>
    </xf>
    <xf numFmtId="164" fontId="54" fillId="22" borderId="24" xfId="4" applyNumberFormat="1" applyFont="1" applyFill="1" applyBorder="1" applyAlignment="1">
      <alignment horizontal="right" vertical="center"/>
    </xf>
    <xf numFmtId="167" fontId="29" fillId="22" borderId="10" xfId="5" applyNumberFormat="1" applyFont="1" applyFill="1" applyBorder="1"/>
    <xf numFmtId="10" fontId="17" fillId="22" borderId="3" xfId="5" applyNumberFormat="1" applyFont="1" applyFill="1" applyBorder="1" applyAlignment="1">
      <alignment horizontal="center" vertical="top"/>
    </xf>
    <xf numFmtId="164" fontId="11" fillId="22" borderId="3" xfId="4" applyNumberFormat="1" applyFont="1" applyFill="1" applyBorder="1" applyAlignment="1">
      <alignment horizontal="right" vertical="center"/>
    </xf>
    <xf numFmtId="0" fontId="8" fillId="3" borderId="0" xfId="1" applyFont="1" applyFill="1"/>
    <xf numFmtId="164" fontId="8" fillId="3" borderId="0" xfId="2" applyNumberFormat="1" applyFont="1" applyFill="1"/>
    <xf numFmtId="167" fontId="9" fillId="3" borderId="0" xfId="5" applyNumberFormat="1" applyFont="1" applyFill="1"/>
    <xf numFmtId="167" fontId="15" fillId="22" borderId="8" xfId="5" applyNumberFormat="1" applyFont="1" applyFill="1" applyBorder="1"/>
    <xf numFmtId="0" fontId="13" fillId="22" borderId="4" xfId="0" applyFont="1" applyFill="1" applyBorder="1" applyAlignment="1">
      <alignment horizontal="center" vertical="center" wrapText="1"/>
    </xf>
    <xf numFmtId="0" fontId="13" fillId="22" borderId="3" xfId="0" applyFont="1" applyFill="1" applyBorder="1" applyAlignment="1">
      <alignment horizontal="center" vertical="center" wrapText="1"/>
    </xf>
    <xf numFmtId="0" fontId="28" fillId="0" borderId="0" xfId="4" applyNumberFormat="1" applyFont="1" applyFill="1" applyBorder="1" applyAlignment="1">
      <alignment vertical="center" wrapText="1"/>
    </xf>
    <xf numFmtId="43" fontId="11" fillId="0" borderId="5" xfId="3" applyFont="1" applyFill="1" applyBorder="1" applyAlignment="1">
      <alignment horizontal="right" vertical="center"/>
    </xf>
    <xf numFmtId="43" fontId="11" fillId="0" borderId="8" xfId="3" applyFont="1" applyFill="1" applyBorder="1" applyAlignment="1">
      <alignment horizontal="right" vertical="center"/>
    </xf>
    <xf numFmtId="43" fontId="11" fillId="0" borderId="10" xfId="3" applyFont="1" applyFill="1" applyBorder="1" applyAlignment="1">
      <alignment horizontal="right" vertical="center"/>
    </xf>
    <xf numFmtId="0" fontId="19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4" fontId="11" fillId="0" borderId="8" xfId="4" applyNumberFormat="1" applyFont="1" applyFill="1" applyBorder="1" applyAlignment="1">
      <alignment vertical="top"/>
    </xf>
    <xf numFmtId="164" fontId="28" fillId="0" borderId="40" xfId="4" applyNumberFormat="1" applyFont="1" applyFill="1" applyBorder="1" applyAlignment="1">
      <alignment horizontal="right" vertical="center"/>
    </xf>
    <xf numFmtId="167" fontId="24" fillId="0" borderId="19" xfId="5" applyNumberFormat="1" applyFont="1" applyBorder="1"/>
    <xf numFmtId="167" fontId="24" fillId="0" borderId="22" xfId="5" applyNumberFormat="1" applyFont="1" applyBorder="1"/>
    <xf numFmtId="164" fontId="28" fillId="0" borderId="56" xfId="4" applyNumberFormat="1" applyFont="1" applyFill="1" applyBorder="1" applyAlignment="1">
      <alignment horizontal="right" vertical="center"/>
    </xf>
    <xf numFmtId="164" fontId="11" fillId="0" borderId="27" xfId="4" applyNumberFormat="1" applyFont="1" applyFill="1" applyBorder="1" applyAlignment="1">
      <alignment vertical="top"/>
    </xf>
    <xf numFmtId="164" fontId="28" fillId="0" borderId="12" xfId="4" applyNumberFormat="1" applyFont="1" applyFill="1" applyBorder="1" applyAlignment="1">
      <alignment horizontal="right" vertical="center"/>
    </xf>
    <xf numFmtId="167" fontId="24" fillId="0" borderId="45" xfId="5" applyNumberFormat="1" applyFont="1" applyBorder="1"/>
    <xf numFmtId="164" fontId="20" fillId="8" borderId="2" xfId="4" applyNumberFormat="1" applyFont="1" applyFill="1" applyBorder="1" applyAlignment="1">
      <alignment vertical="top" wrapText="1"/>
    </xf>
    <xf numFmtId="164" fontId="30" fillId="0" borderId="3" xfId="4" applyNumberFormat="1" applyFont="1" applyBorder="1" applyAlignment="1">
      <alignment vertical="top"/>
    </xf>
    <xf numFmtId="167" fontId="13" fillId="0" borderId="3" xfId="5" applyNumberFormat="1" applyFont="1" applyBorder="1" applyAlignment="1">
      <alignment vertical="top"/>
    </xf>
    <xf numFmtId="43" fontId="26" fillId="0" borderId="0" xfId="3" applyFont="1"/>
    <xf numFmtId="0" fontId="45" fillId="0" borderId="0" xfId="0" applyFont="1" applyAlignment="1">
      <alignment horizontal="right"/>
    </xf>
    <xf numFmtId="169" fontId="1" fillId="0" borderId="0" xfId="3" applyNumberFormat="1" applyFont="1"/>
    <xf numFmtId="44" fontId="26" fillId="0" borderId="0" xfId="0" applyNumberFormat="1" applyFont="1"/>
    <xf numFmtId="0" fontId="1" fillId="0" borderId="2" xfId="0" applyFont="1" applyBorder="1"/>
    <xf numFmtId="0" fontId="1" fillId="0" borderId="0" xfId="19" applyFont="1"/>
    <xf numFmtId="0" fontId="11" fillId="0" borderId="29" xfId="19" applyFont="1" applyBorder="1" applyAlignment="1">
      <alignment horizontal="center" vertical="center" wrapText="1"/>
    </xf>
    <xf numFmtId="0" fontId="11" fillId="0" borderId="4" xfId="19" applyFont="1" applyBorder="1" applyAlignment="1">
      <alignment horizontal="center" vertical="center" wrapText="1"/>
    </xf>
    <xf numFmtId="164" fontId="11" fillId="0" borderId="4" xfId="4" applyNumberFormat="1" applyFont="1" applyFill="1" applyBorder="1" applyAlignment="1">
      <alignment horizontal="center" vertical="center" wrapText="1"/>
    </xf>
    <xf numFmtId="10" fontId="11" fillId="0" borderId="3" xfId="5" applyNumberFormat="1" applyFont="1" applyBorder="1" applyAlignment="1">
      <alignment horizontal="center" vertical="center" wrapText="1"/>
    </xf>
    <xf numFmtId="0" fontId="1" fillId="0" borderId="33" xfId="19" applyFont="1" applyBorder="1"/>
    <xf numFmtId="0" fontId="1" fillId="0" borderId="6" xfId="19" applyFont="1" applyBorder="1" applyAlignment="1">
      <alignment horizontal="center" vertical="center"/>
    </xf>
    <xf numFmtId="164" fontId="1" fillId="0" borderId="8" xfId="4" applyNumberFormat="1" applyFont="1" applyFill="1" applyBorder="1" applyAlignment="1">
      <alignment horizontal="center" vertical="center"/>
    </xf>
    <xf numFmtId="10" fontId="1" fillId="23" borderId="7" xfId="5" applyNumberFormat="1" applyFont="1" applyFill="1" applyBorder="1"/>
    <xf numFmtId="10" fontId="1" fillId="0" borderId="8" xfId="5" applyNumberFormat="1" applyFont="1" applyBorder="1"/>
    <xf numFmtId="0" fontId="1" fillId="0" borderId="58" xfId="19" applyFont="1" applyBorder="1"/>
    <xf numFmtId="0" fontId="1" fillId="0" borderId="54" xfId="19" applyFont="1" applyBorder="1" applyAlignment="1">
      <alignment horizontal="center" vertical="center"/>
    </xf>
    <xf numFmtId="164" fontId="1" fillId="0" borderId="59" xfId="4" applyNumberFormat="1" applyFont="1" applyFill="1" applyBorder="1" applyAlignment="1">
      <alignment horizontal="center" vertical="center"/>
    </xf>
    <xf numFmtId="10" fontId="1" fillId="23" borderId="59" xfId="5" applyNumberFormat="1" applyFont="1" applyFill="1" applyBorder="1"/>
    <xf numFmtId="164" fontId="11" fillId="0" borderId="3" xfId="4" applyNumberFormat="1" applyFont="1" applyFill="1" applyBorder="1" applyAlignment="1">
      <alignment horizontal="center" vertical="center"/>
    </xf>
    <xf numFmtId="10" fontId="1" fillId="0" borderId="3" xfId="5" applyNumberFormat="1" applyFont="1" applyBorder="1"/>
    <xf numFmtId="0" fontId="1" fillId="0" borderId="32" xfId="19" applyFont="1" applyBorder="1"/>
    <xf numFmtId="0" fontId="1" fillId="0" borderId="9" xfId="19" applyFont="1" applyBorder="1" applyAlignment="1">
      <alignment horizontal="center" vertical="center"/>
    </xf>
    <xf numFmtId="10" fontId="1" fillId="23" borderId="8" xfId="5" applyNumberFormat="1" applyFont="1" applyFill="1" applyBorder="1"/>
    <xf numFmtId="10" fontId="1" fillId="0" borderId="8" xfId="5" applyNumberFormat="1" applyFont="1" applyFill="1" applyBorder="1"/>
    <xf numFmtId="10" fontId="1" fillId="0" borderId="5" xfId="5" applyNumberFormat="1" applyFont="1" applyBorder="1"/>
    <xf numFmtId="10" fontId="1" fillId="0" borderId="5" xfId="5" applyNumberFormat="1" applyFont="1" applyFill="1" applyBorder="1"/>
    <xf numFmtId="10" fontId="1" fillId="23" borderId="60" xfId="5" applyNumberFormat="1" applyFont="1" applyFill="1" applyBorder="1"/>
    <xf numFmtId="10" fontId="1" fillId="23" borderId="5" xfId="5" applyNumberFormat="1" applyFont="1" applyFill="1" applyBorder="1"/>
    <xf numFmtId="10" fontId="1" fillId="0" borderId="60" xfId="5" applyNumberFormat="1" applyFont="1" applyBorder="1"/>
    <xf numFmtId="10" fontId="1" fillId="0" borderId="60" xfId="5" applyNumberFormat="1" applyFont="1" applyFill="1" applyBorder="1"/>
    <xf numFmtId="0" fontId="1" fillId="0" borderId="50" xfId="19" applyFont="1" applyBorder="1"/>
    <xf numFmtId="0" fontId="1" fillId="0" borderId="11" xfId="19" applyFont="1" applyBorder="1" applyAlignment="1">
      <alignment horizontal="center" vertical="center"/>
    </xf>
    <xf numFmtId="164" fontId="1" fillId="0" borderId="27" xfId="4" applyNumberFormat="1" applyFont="1" applyFill="1" applyBorder="1" applyAlignment="1">
      <alignment horizontal="center" vertical="center"/>
    </xf>
    <xf numFmtId="10" fontId="1" fillId="0" borderId="10" xfId="5" applyNumberFormat="1" applyFont="1" applyBorder="1"/>
    <xf numFmtId="10" fontId="1" fillId="0" borderId="30" xfId="5" applyNumberFormat="1" applyFont="1" applyBorder="1"/>
    <xf numFmtId="0" fontId="11" fillId="0" borderId="0" xfId="19" applyFont="1" applyAlignment="1">
      <alignment horizontal="center" vertical="center"/>
    </xf>
    <xf numFmtId="164" fontId="1" fillId="0" borderId="0" xfId="4" applyNumberFormat="1" applyFont="1" applyFill="1" applyBorder="1" applyAlignment="1">
      <alignment horizontal="center" vertical="center"/>
    </xf>
    <xf numFmtId="10" fontId="1" fillId="0" borderId="0" xfId="5" applyNumberFormat="1" applyFont="1" applyBorder="1"/>
    <xf numFmtId="0" fontId="11" fillId="0" borderId="0" xfId="19" applyFont="1" applyAlignment="1">
      <alignment horizontal="right" vertical="center"/>
    </xf>
    <xf numFmtId="164" fontId="11" fillId="0" borderId="29" xfId="4" applyNumberFormat="1" applyFont="1" applyFill="1" applyBorder="1" applyAlignment="1">
      <alignment horizontal="center" vertical="center"/>
    </xf>
    <xf numFmtId="166" fontId="11" fillId="23" borderId="3" xfId="3" applyNumberFormat="1" applyFont="1" applyFill="1" applyBorder="1" applyAlignment="1">
      <alignment horizontal="right"/>
    </xf>
    <xf numFmtId="166" fontId="28" fillId="0" borderId="0" xfId="3" applyNumberFormat="1" applyFont="1" applyBorder="1"/>
    <xf numFmtId="166" fontId="1" fillId="0" borderId="0" xfId="0" applyNumberFormat="1" applyFont="1"/>
    <xf numFmtId="0" fontId="2" fillId="0" borderId="0" xfId="1" applyFont="1" applyAlignment="1">
      <alignment horizontal="center"/>
    </xf>
    <xf numFmtId="0" fontId="11" fillId="0" borderId="3" xfId="0" applyFont="1" applyBorder="1" applyAlignment="1">
      <alignment horizontal="right" vertical="top"/>
    </xf>
    <xf numFmtId="0" fontId="14" fillId="0" borderId="0" xfId="0" applyFont="1" applyAlignment="1">
      <alignment horizontal="right"/>
    </xf>
    <xf numFmtId="0" fontId="47" fillId="0" borderId="0" xfId="0" applyFont="1" applyAlignment="1">
      <alignment horizontal="center"/>
    </xf>
    <xf numFmtId="0" fontId="47" fillId="0" borderId="4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47" fillId="16" borderId="48" xfId="0" applyFont="1" applyFill="1" applyBorder="1" applyAlignment="1">
      <alignment horizontal="center" vertical="center" wrapText="1"/>
    </xf>
    <xf numFmtId="0" fontId="47" fillId="16" borderId="27" xfId="0" applyFont="1" applyFill="1" applyBorder="1" applyAlignment="1">
      <alignment horizontal="center" vertical="center"/>
    </xf>
    <xf numFmtId="0" fontId="47" fillId="17" borderId="48" xfId="0" applyFont="1" applyFill="1" applyBorder="1" applyAlignment="1">
      <alignment horizontal="center" vertical="center" wrapText="1"/>
    </xf>
    <xf numFmtId="0" fontId="47" fillId="17" borderId="2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top"/>
    </xf>
    <xf numFmtId="0" fontId="31" fillId="0" borderId="2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49" fontId="31" fillId="19" borderId="2" xfId="3" applyNumberFormat="1" applyFont="1" applyFill="1" applyBorder="1" applyAlignment="1">
      <alignment horizontal="center" wrapText="1"/>
    </xf>
    <xf numFmtId="49" fontId="31" fillId="19" borderId="14" xfId="3" applyNumberFormat="1" applyFont="1" applyFill="1" applyBorder="1" applyAlignment="1">
      <alignment horizontal="center" wrapText="1"/>
    </xf>
    <xf numFmtId="0" fontId="42" fillId="19" borderId="2" xfId="0" applyFont="1" applyFill="1" applyBorder="1" applyAlignment="1">
      <alignment horizontal="center" wrapText="1"/>
    </xf>
    <xf numFmtId="0" fontId="42" fillId="19" borderId="14" xfId="0" applyFont="1" applyFill="1" applyBorder="1" applyAlignment="1">
      <alignment horizontal="center" wrapText="1"/>
    </xf>
    <xf numFmtId="0" fontId="42" fillId="19" borderId="30" xfId="0" applyFont="1" applyFill="1" applyBorder="1" applyAlignment="1">
      <alignment horizontal="center" wrapText="1"/>
    </xf>
    <xf numFmtId="0" fontId="43" fillId="4" borderId="2" xfId="0" applyFont="1" applyFill="1" applyBorder="1" applyAlignment="1">
      <alignment horizontal="center"/>
    </xf>
    <xf numFmtId="0" fontId="43" fillId="4" borderId="14" xfId="0" applyFont="1" applyFill="1" applyBorder="1" applyAlignment="1">
      <alignment horizontal="center"/>
    </xf>
    <xf numFmtId="0" fontId="43" fillId="4" borderId="30" xfId="0" applyFont="1" applyFill="1" applyBorder="1" applyAlignment="1">
      <alignment horizontal="center"/>
    </xf>
    <xf numFmtId="0" fontId="31" fillId="15" borderId="2" xfId="0" applyFont="1" applyFill="1" applyBorder="1" applyAlignment="1">
      <alignment horizontal="center"/>
    </xf>
    <xf numFmtId="0" fontId="31" fillId="15" borderId="30" xfId="0" applyFont="1" applyFill="1" applyBorder="1" applyAlignment="1">
      <alignment horizontal="center"/>
    </xf>
    <xf numFmtId="0" fontId="36" fillId="0" borderId="0" xfId="1" applyFont="1" applyAlignment="1">
      <alignment horizontal="center"/>
    </xf>
    <xf numFmtId="0" fontId="56" fillId="0" borderId="21" xfId="0" applyFont="1" applyBorder="1" applyAlignment="1">
      <alignment horizontal="left" wrapText="1"/>
    </xf>
    <xf numFmtId="0" fontId="56" fillId="0" borderId="56" xfId="0" applyFont="1" applyBorder="1" applyAlignment="1">
      <alignment horizontal="left" wrapText="1"/>
    </xf>
    <xf numFmtId="0" fontId="56" fillId="0" borderId="23" xfId="0" applyFont="1" applyBorder="1" applyAlignment="1">
      <alignment horizontal="left" wrapText="1"/>
    </xf>
    <xf numFmtId="0" fontId="45" fillId="0" borderId="21" xfId="0" applyFont="1" applyBorder="1" applyAlignment="1">
      <alignment horizontal="left" wrapText="1"/>
    </xf>
    <xf numFmtId="0" fontId="45" fillId="0" borderId="56" xfId="0" applyFont="1" applyBorder="1" applyAlignment="1">
      <alignment horizontal="left" wrapText="1"/>
    </xf>
    <xf numFmtId="0" fontId="45" fillId="0" borderId="23" xfId="0" applyFont="1" applyBorder="1" applyAlignment="1">
      <alignment horizontal="left" wrapText="1"/>
    </xf>
    <xf numFmtId="0" fontId="11" fillId="0" borderId="2" xfId="19" applyFont="1" applyBorder="1" applyAlignment="1">
      <alignment horizontal="center" vertical="center"/>
    </xf>
    <xf numFmtId="0" fontId="11" fillId="0" borderId="30" xfId="19" applyFont="1" applyBorder="1" applyAlignment="1">
      <alignment horizontal="center" vertical="center"/>
    </xf>
    <xf numFmtId="0" fontId="31" fillId="0" borderId="2" xfId="19" applyFont="1" applyBorder="1" applyAlignment="1">
      <alignment horizontal="center" vertical="top" wrapText="1"/>
    </xf>
    <xf numFmtId="0" fontId="31" fillId="0" borderId="14" xfId="19" applyFont="1" applyBorder="1" applyAlignment="1">
      <alignment horizontal="center" vertical="top" wrapText="1"/>
    </xf>
    <xf numFmtId="0" fontId="31" fillId="0" borderId="30" xfId="19" applyFont="1" applyBorder="1" applyAlignment="1">
      <alignment horizontal="center" vertical="top" wrapText="1"/>
    </xf>
    <xf numFmtId="0" fontId="47" fillId="0" borderId="2" xfId="19" applyFont="1" applyBorder="1" applyAlignment="1">
      <alignment horizontal="center" vertical="center" wrapText="1"/>
    </xf>
    <xf numFmtId="0" fontId="47" fillId="0" borderId="14" xfId="19" applyFont="1" applyBorder="1" applyAlignment="1">
      <alignment horizontal="center" vertical="center" wrapText="1"/>
    </xf>
    <xf numFmtId="0" fontId="47" fillId="0" borderId="30" xfId="19" applyFont="1" applyBorder="1" applyAlignment="1">
      <alignment horizontal="center" vertical="center" wrapText="1"/>
    </xf>
  </cellXfs>
  <cellStyles count="20">
    <cellStyle name="20% - Accent2" xfId="7" builtinId="34"/>
    <cellStyle name="60% - Accent3" xfId="8" builtinId="40"/>
    <cellStyle name="Comma" xfId="3" builtinId="3"/>
    <cellStyle name="Comma 2" xfId="16" xr:uid="{4CEDB0E8-5002-45BC-B040-809187D01F01}"/>
    <cellStyle name="Comma 2 2" xfId="6" xr:uid="{DDC9DE5D-0B45-487B-80AD-0452AC457F2F}"/>
    <cellStyle name="Currency" xfId="4" builtinId="4"/>
    <cellStyle name="Currency 2" xfId="12" xr:uid="{443608D3-B457-4AF6-A1F6-EF6BF255A4BC}"/>
    <cellStyle name="Currency 4" xfId="2" xr:uid="{B22A20C4-B087-4248-973B-717B6F207BA5}"/>
    <cellStyle name="Hyperlink 2" xfId="18" xr:uid="{36FACBC4-01DE-43B2-AAAE-9F998209973C}"/>
    <cellStyle name="Hyperlink 3" xfId="10" xr:uid="{71B9834C-15B6-4D05-9B8F-28BBC7C5BDA9}"/>
    <cellStyle name="Line 2 Report Information Fill In" xfId="9" xr:uid="{1B7E721D-1D16-4F4A-A986-9FB76E691D57}"/>
    <cellStyle name="Normal" xfId="0" builtinId="0"/>
    <cellStyle name="Normal 10 2" xfId="13" xr:uid="{A2E6BFC0-AFB5-43FF-836C-517474270BB2}"/>
    <cellStyle name="Normal 2" xfId="11" xr:uid="{EB1C9CC2-FF3B-4269-BCBB-957EB65A6B0A}"/>
    <cellStyle name="Normal 2 2" xfId="14" xr:uid="{D1FC967C-8CE7-47AF-80CE-5CF18C063107}"/>
    <cellStyle name="Normal 3" xfId="15" xr:uid="{6DE6D4FF-F784-487E-99A3-C0E7DBB25A6C}"/>
    <cellStyle name="Normal 3 2 3" xfId="19" xr:uid="{850F645F-C943-49EE-8CDC-3C71AE510475}"/>
    <cellStyle name="Normal 4" xfId="1" xr:uid="{B9EDC17A-C3F5-4E15-A3A8-B59176604098}"/>
    <cellStyle name="Normal 4 2" xfId="17" xr:uid="{D8AE4DD0-F08B-46E2-9E58-D9F92036FF08}"/>
    <cellStyle name="Percent" xfId="5" builtinId="5"/>
  </cellStyles>
  <dxfs count="1">
    <dxf>
      <font>
        <color theme="4"/>
      </font>
    </dxf>
  </dxfs>
  <tableStyles count="1" defaultTableStyle="TableStyleMedium2" defaultPivotStyle="PivotStyleLight16">
    <tableStyle name="Invisible" pivot="0" table="0" count="0" xr9:uid="{E235BA8A-9394-4633-98D5-48B783F1061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178594</xdr:colOff>
      <xdr:row>70</xdr:row>
      <xdr:rowOff>119062</xdr:rowOff>
    </xdr:from>
    <xdr:to>
      <xdr:col>11</xdr:col>
      <xdr:colOff>1264708</xdr:colOff>
      <xdr:row>76</xdr:row>
      <xdr:rowOff>47624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779AB5D-BC73-414C-B3F2-A03DCC2713EE}"/>
            </a:ext>
          </a:extLst>
        </xdr:cNvPr>
        <xdr:cNvGrpSpPr/>
      </xdr:nvGrpSpPr>
      <xdr:grpSpPr>
        <a:xfrm>
          <a:off x="15609094" y="15159037"/>
          <a:ext cx="1086114" cy="1128712"/>
          <a:chOff x="10496550" y="4019550"/>
          <a:chExt cx="1086114" cy="1128251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D094103A-D211-BCBD-F338-AD3591224714}"/>
              </a:ext>
            </a:extLst>
          </xdr:cNvPr>
          <xdr:cNvSpPr txBox="1"/>
        </xdr:nvSpPr>
        <xdr:spPr>
          <a:xfrm>
            <a:off x="10496550" y="4342343"/>
            <a:ext cx="1086114" cy="805458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2857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Unspent</a:t>
            </a:r>
            <a:r>
              <a:rPr lang="en-US" sz="1100" b="1" baseline="0">
                <a:solidFill>
                  <a:schemeClr val="accent1">
                    <a:lumMod val="75000"/>
                  </a:schemeClr>
                </a:solidFill>
              </a:rPr>
              <a:t> Budgeted Funds</a:t>
            </a:r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 </a:t>
            </a:r>
          </a:p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(CFY 2023-24)</a:t>
            </a:r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71B6B027-089B-D10E-4C68-593B1A9508A1}"/>
              </a:ext>
            </a:extLst>
          </xdr:cNvPr>
          <xdr:cNvCxnSpPr/>
        </xdr:nvCxnSpPr>
        <xdr:spPr>
          <a:xfrm flipV="1">
            <a:off x="11056427" y="4019550"/>
            <a:ext cx="0" cy="317499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347663</xdr:colOff>
      <xdr:row>8</xdr:row>
      <xdr:rowOff>95250</xdr:rowOff>
    </xdr:from>
    <xdr:to>
      <xdr:col>1</xdr:col>
      <xdr:colOff>1433777</xdr:colOff>
      <xdr:row>12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F3C9088-346A-422B-B2AF-AB163D47BF64}"/>
            </a:ext>
          </a:extLst>
        </xdr:cNvPr>
        <xdr:cNvGrpSpPr/>
      </xdr:nvGrpSpPr>
      <xdr:grpSpPr>
        <a:xfrm>
          <a:off x="6475413" y="2492375"/>
          <a:ext cx="1086114" cy="984250"/>
          <a:chOff x="10496550" y="4019550"/>
          <a:chExt cx="1086114" cy="971550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71E2B8AF-E9D7-C609-8B73-69F1853124E8}"/>
              </a:ext>
            </a:extLst>
          </xdr:cNvPr>
          <xdr:cNvSpPr txBox="1"/>
        </xdr:nvSpPr>
        <xdr:spPr>
          <a:xfrm>
            <a:off x="10496550" y="4342343"/>
            <a:ext cx="1086114" cy="648757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28575" cmpd="sng">
            <a:solidFill>
              <a:schemeClr val="accent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Cumulative Excess </a:t>
            </a:r>
          </a:p>
          <a:p>
            <a:pPr algn="ctr"/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(CFY 2023-24)</a:t>
            </a:r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BACEFEBA-6D80-5BFB-D879-20094CEAAD63}"/>
              </a:ext>
            </a:extLst>
          </xdr:cNvPr>
          <xdr:cNvCxnSpPr/>
        </xdr:nvCxnSpPr>
        <xdr:spPr>
          <a:xfrm flipV="1">
            <a:off x="11056427" y="4019550"/>
            <a:ext cx="0" cy="317499"/>
          </a:xfrm>
          <a:prstGeom prst="straightConnector1">
            <a:avLst/>
          </a:prstGeom>
          <a:ln w="38100">
            <a:solidFill>
              <a:schemeClr val="accent1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920/Jury%20Mgmt%20Costs%20Analysis/Estimate/Quarter%20Submissions/Q1_Jul-Aug-Sep%20(Q1_SFY1920_Q4_CFY1819)/Jury_Detail_Jul-Aug-Sep_SFY1920_Q1_CFY1819_Q4_v2_asof_06-03-2019_JW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CFY1718/Jury%20Mgmt%20Costs%20Analysis/Qtr%203%20(Apr-May-Jun)/Approved%20JAC%20Disbursement%20Figures/FINAL%20-%20Jury%20Management%20Estimate%20Endorsed%20Amounts%20042418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mailProcessing/Incoming/Jury%20Estimate/Alachua%20County%20FY1718%20Jury%20Mgmt%20Estimate%20Qtr%20ver3%20110917%20~ecs_alachuaclerk-org~11201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kolchakian.FLCCOC\Desktop\Allocation%20Options.xlsx" TargetMode="External"/><Relationship Id="rId1" Type="http://schemas.openxmlformats.org/officeDocument/2006/relationships/externalLinkPath" Target="Allocation%20O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C_template_donotdelete"/>
      <sheetName val="SFY1920_JuryEstimateDetail"/>
      <sheetName val="Estimate v Avg Actu Perf Ana"/>
      <sheetName val="Request v Avg Actu Perf Var Ana"/>
      <sheetName val="Sheet1"/>
      <sheetName val="Adj Endorsement Amts"/>
      <sheetName val="CCOC Pro-Rata"/>
      <sheetName val="Estimat v Avg Actu Perf Var "/>
      <sheetName val="Request v Avg Actu Perf Var-All"/>
    </sheetNames>
    <sheetDataSet>
      <sheetData sheetId="0" refreshError="1"/>
      <sheetData sheetId="1" refreshError="1">
        <row r="4">
          <cell r="A4" t="str">
            <v>ü</v>
          </cell>
          <cell r="B4" t="str">
            <v>ü</v>
          </cell>
          <cell r="F4" t="str">
            <v>Alachua</v>
          </cell>
          <cell r="G4">
            <v>1920</v>
          </cell>
          <cell r="H4" t="str">
            <v>Q1</v>
          </cell>
          <cell r="I4" t="str">
            <v>Jul-Aug-Sep</v>
          </cell>
          <cell r="J4">
            <v>49098.611661266674</v>
          </cell>
          <cell r="K4">
            <v>10448.458338733324</v>
          </cell>
          <cell r="L4">
            <v>58800</v>
          </cell>
          <cell r="M4">
            <v>59547.07</v>
          </cell>
          <cell r="N4">
            <v>-747.07</v>
          </cell>
          <cell r="O4" t="str">
            <v>Insufficient</v>
          </cell>
          <cell r="P4">
            <v>58800</v>
          </cell>
          <cell r="Q4">
            <v>35000</v>
          </cell>
          <cell r="R4">
            <v>2400</v>
          </cell>
          <cell r="S4">
            <v>400</v>
          </cell>
          <cell r="T4">
            <v>1000</v>
          </cell>
          <cell r="U4">
            <v>0</v>
          </cell>
          <cell r="V4">
            <v>3800</v>
          </cell>
          <cell r="W4">
            <v>12000</v>
          </cell>
          <cell r="X4">
            <v>2000</v>
          </cell>
          <cell r="Y4">
            <v>0</v>
          </cell>
          <cell r="Z4">
            <v>14000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6000</v>
          </cell>
          <cell r="AG4">
            <v>0</v>
          </cell>
          <cell r="AH4">
            <v>0</v>
          </cell>
          <cell r="AI4">
            <v>6000</v>
          </cell>
          <cell r="AJ4">
            <v>0</v>
          </cell>
          <cell r="AK4">
            <v>20000</v>
          </cell>
        </row>
        <row r="5">
          <cell r="A5" t="str">
            <v>ü</v>
          </cell>
          <cell r="B5" t="str">
            <v>ü</v>
          </cell>
          <cell r="F5" t="str">
            <v>Baker</v>
          </cell>
          <cell r="G5">
            <v>1920</v>
          </cell>
          <cell r="H5" t="str">
            <v>Q1</v>
          </cell>
          <cell r="I5" t="str">
            <v>Jul-Aug-Sep</v>
          </cell>
          <cell r="J5">
            <v>17014.021379166759</v>
          </cell>
          <cell r="K5">
            <v>3620.6786208332423</v>
          </cell>
          <cell r="L5">
            <v>8253</v>
          </cell>
          <cell r="M5">
            <v>20634.7</v>
          </cell>
          <cell r="N5">
            <v>-12381.7</v>
          </cell>
          <cell r="O5" t="str">
            <v>Insufficient</v>
          </cell>
          <cell r="P5">
            <v>8253</v>
          </cell>
          <cell r="Q5">
            <v>6753</v>
          </cell>
          <cell r="R5">
            <v>325</v>
          </cell>
          <cell r="S5">
            <v>100</v>
          </cell>
          <cell r="T5">
            <v>0</v>
          </cell>
          <cell r="U5">
            <v>0</v>
          </cell>
          <cell r="V5">
            <v>425</v>
          </cell>
          <cell r="W5">
            <v>825</v>
          </cell>
          <cell r="X5">
            <v>0</v>
          </cell>
          <cell r="Y5">
            <v>0</v>
          </cell>
          <cell r="Z5">
            <v>825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250</v>
          </cell>
          <cell r="AG5">
            <v>0</v>
          </cell>
          <cell r="AH5">
            <v>0</v>
          </cell>
          <cell r="AI5">
            <v>250</v>
          </cell>
          <cell r="AJ5">
            <v>0</v>
          </cell>
          <cell r="AK5">
            <v>1075</v>
          </cell>
        </row>
        <row r="6">
          <cell r="A6" t="str">
            <v>ü</v>
          </cell>
          <cell r="B6" t="str">
            <v>ü</v>
          </cell>
          <cell r="F6" t="str">
            <v>Bay</v>
          </cell>
          <cell r="G6">
            <v>1920</v>
          </cell>
          <cell r="H6" t="str">
            <v>Q1</v>
          </cell>
          <cell r="I6" t="str">
            <v>Jul-Aug-Sep</v>
          </cell>
          <cell r="J6">
            <v>49688.030125450663</v>
          </cell>
          <cell r="K6">
            <v>10573.889874549335</v>
          </cell>
          <cell r="L6">
            <v>39086</v>
          </cell>
          <cell r="M6">
            <v>60261.919999999998</v>
          </cell>
          <cell r="N6">
            <v>-21175.919999999998</v>
          </cell>
          <cell r="O6" t="str">
            <v>Insufficient</v>
          </cell>
          <cell r="P6">
            <v>39086</v>
          </cell>
          <cell r="Q6">
            <v>22079</v>
          </cell>
          <cell r="R6">
            <v>2397</v>
          </cell>
          <cell r="S6">
            <v>0</v>
          </cell>
          <cell r="T6">
            <v>0</v>
          </cell>
          <cell r="U6">
            <v>0</v>
          </cell>
          <cell r="V6">
            <v>2397</v>
          </cell>
          <cell r="W6">
            <v>14295</v>
          </cell>
          <cell r="X6">
            <v>0</v>
          </cell>
          <cell r="Y6">
            <v>0</v>
          </cell>
          <cell r="Z6">
            <v>14295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315</v>
          </cell>
          <cell r="AH6">
            <v>0</v>
          </cell>
          <cell r="AI6">
            <v>315</v>
          </cell>
          <cell r="AJ6">
            <v>0</v>
          </cell>
          <cell r="AK6">
            <v>14610</v>
          </cell>
        </row>
        <row r="7">
          <cell r="A7" t="str">
            <v>ü</v>
          </cell>
          <cell r="B7" t="str">
            <v>ü</v>
          </cell>
          <cell r="F7" t="str">
            <v>Bradford</v>
          </cell>
          <cell r="G7">
            <v>1920</v>
          </cell>
          <cell r="H7" t="str">
            <v>Q1</v>
          </cell>
          <cell r="I7" t="str">
            <v>Jul-Aug-Sep</v>
          </cell>
          <cell r="J7">
            <v>12489.38848805724</v>
          </cell>
          <cell r="K7">
            <v>2657.8115119427607</v>
          </cell>
          <cell r="L7">
            <v>8515</v>
          </cell>
          <cell r="M7">
            <v>15147.2</v>
          </cell>
          <cell r="N7">
            <v>-6632.2</v>
          </cell>
          <cell r="O7" t="str">
            <v>Insufficient</v>
          </cell>
          <cell r="P7">
            <v>8515</v>
          </cell>
          <cell r="Q7">
            <v>2430</v>
          </cell>
          <cell r="R7">
            <v>550</v>
          </cell>
          <cell r="S7">
            <v>0</v>
          </cell>
          <cell r="T7">
            <v>0</v>
          </cell>
          <cell r="U7">
            <v>0</v>
          </cell>
          <cell r="V7">
            <v>550</v>
          </cell>
          <cell r="W7">
            <v>4500</v>
          </cell>
          <cell r="X7">
            <v>0</v>
          </cell>
          <cell r="Y7">
            <v>0</v>
          </cell>
          <cell r="Z7">
            <v>4500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1000</v>
          </cell>
          <cell r="AG7">
            <v>0</v>
          </cell>
          <cell r="AH7">
            <v>35</v>
          </cell>
          <cell r="AI7">
            <v>1035</v>
          </cell>
          <cell r="AJ7">
            <v>0</v>
          </cell>
          <cell r="AK7">
            <v>5535</v>
          </cell>
        </row>
        <row r="8">
          <cell r="A8" t="str">
            <v>ü</v>
          </cell>
          <cell r="B8" t="str">
            <v>ü</v>
          </cell>
          <cell r="F8" t="str">
            <v>Brevard</v>
          </cell>
          <cell r="G8">
            <v>1920</v>
          </cell>
          <cell r="H8" t="str">
            <v>Q1</v>
          </cell>
          <cell r="I8" t="str">
            <v>Jul-Aug-Sep</v>
          </cell>
          <cell r="J8">
            <v>91384.795870819362</v>
          </cell>
          <cell r="K8">
            <v>19447.194129180636</v>
          </cell>
          <cell r="L8">
            <v>111405</v>
          </cell>
          <cell r="M8">
            <v>110831.99</v>
          </cell>
          <cell r="N8">
            <v>573.01</v>
          </cell>
          <cell r="O8" t="str">
            <v>Unexpended</v>
          </cell>
          <cell r="P8">
            <v>111405</v>
          </cell>
          <cell r="Q8">
            <v>43500</v>
          </cell>
          <cell r="R8">
            <v>6655</v>
          </cell>
          <cell r="S8">
            <v>0</v>
          </cell>
          <cell r="T8">
            <v>0</v>
          </cell>
          <cell r="U8">
            <v>0</v>
          </cell>
          <cell r="V8">
            <v>6655</v>
          </cell>
          <cell r="W8">
            <v>46500</v>
          </cell>
          <cell r="X8">
            <v>13000</v>
          </cell>
          <cell r="Y8">
            <v>0</v>
          </cell>
          <cell r="Z8">
            <v>59500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1000</v>
          </cell>
          <cell r="AG8">
            <v>0</v>
          </cell>
          <cell r="AH8">
            <v>750</v>
          </cell>
          <cell r="AI8">
            <v>1750</v>
          </cell>
          <cell r="AJ8">
            <v>0</v>
          </cell>
          <cell r="AK8">
            <v>61250</v>
          </cell>
        </row>
        <row r="9">
          <cell r="A9" t="str">
            <v>ü</v>
          </cell>
          <cell r="B9" t="str">
            <v>ü</v>
          </cell>
          <cell r="F9" t="str">
            <v>Broward</v>
          </cell>
          <cell r="G9">
            <v>1920</v>
          </cell>
          <cell r="H9" t="str">
            <v>Q1</v>
          </cell>
          <cell r="I9" t="str">
            <v>Jul-Aug-Sep</v>
          </cell>
          <cell r="J9">
            <v>264340.93504029664</v>
          </cell>
          <cell r="K9">
            <v>56253.224959703402</v>
          </cell>
          <cell r="L9">
            <v>217210</v>
          </cell>
          <cell r="M9">
            <v>320594.16000000003</v>
          </cell>
          <cell r="N9">
            <v>-103384.16</v>
          </cell>
          <cell r="O9" t="str">
            <v>Insufficient</v>
          </cell>
          <cell r="P9">
            <v>217210</v>
          </cell>
          <cell r="Q9">
            <v>67710</v>
          </cell>
          <cell r="R9">
            <v>22950</v>
          </cell>
          <cell r="S9">
            <v>14640</v>
          </cell>
          <cell r="T9">
            <v>1620</v>
          </cell>
          <cell r="U9">
            <v>420</v>
          </cell>
          <cell r="V9">
            <v>39630</v>
          </cell>
          <cell r="W9">
            <v>51200</v>
          </cell>
          <cell r="X9">
            <v>48660</v>
          </cell>
          <cell r="Y9">
            <v>0</v>
          </cell>
          <cell r="Z9">
            <v>99860</v>
          </cell>
          <cell r="AA9">
            <v>220</v>
          </cell>
          <cell r="AB9">
            <v>2640</v>
          </cell>
          <cell r="AC9">
            <v>0</v>
          </cell>
          <cell r="AD9">
            <v>2860</v>
          </cell>
          <cell r="AE9">
            <v>0</v>
          </cell>
          <cell r="AF9">
            <v>0</v>
          </cell>
          <cell r="AG9">
            <v>1320</v>
          </cell>
          <cell r="AH9">
            <v>0</v>
          </cell>
          <cell r="AI9">
            <v>1320</v>
          </cell>
          <cell r="AJ9">
            <v>5830</v>
          </cell>
          <cell r="AK9">
            <v>109870</v>
          </cell>
        </row>
        <row r="10">
          <cell r="A10" t="str">
            <v>ü</v>
          </cell>
          <cell r="B10" t="str">
            <v>ü</v>
          </cell>
          <cell r="F10" t="str">
            <v>Calhoun</v>
          </cell>
          <cell r="G10">
            <v>1920</v>
          </cell>
          <cell r="H10" t="str">
            <v>Q1</v>
          </cell>
          <cell r="I10" t="str">
            <v>Jul-Aug-Sep</v>
          </cell>
          <cell r="J10">
            <v>1961.5345171086835</v>
          </cell>
          <cell r="K10">
            <v>417.42548289131656</v>
          </cell>
          <cell r="L10">
            <v>3135</v>
          </cell>
          <cell r="M10">
            <v>2378.96</v>
          </cell>
          <cell r="N10">
            <v>756.04</v>
          </cell>
          <cell r="O10" t="str">
            <v>Unexpended</v>
          </cell>
          <cell r="P10">
            <v>3135</v>
          </cell>
          <cell r="Q10">
            <v>1590</v>
          </cell>
          <cell r="R10">
            <v>210</v>
          </cell>
          <cell r="S10">
            <v>500</v>
          </cell>
          <cell r="T10">
            <v>0</v>
          </cell>
          <cell r="U10">
            <v>0</v>
          </cell>
          <cell r="V10">
            <v>710</v>
          </cell>
          <cell r="W10">
            <v>400</v>
          </cell>
          <cell r="X10">
            <v>0</v>
          </cell>
          <cell r="Y10">
            <v>0</v>
          </cell>
          <cell r="Z10">
            <v>400</v>
          </cell>
          <cell r="AA10">
            <v>435</v>
          </cell>
          <cell r="AB10">
            <v>0</v>
          </cell>
          <cell r="AC10">
            <v>0</v>
          </cell>
          <cell r="AD10">
            <v>435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835</v>
          </cell>
        </row>
        <row r="11">
          <cell r="A11" t="str">
            <v>ü</v>
          </cell>
          <cell r="B11" t="str">
            <v>ü</v>
          </cell>
          <cell r="F11" t="str">
            <v>Charlotte</v>
          </cell>
          <cell r="G11">
            <v>1920</v>
          </cell>
          <cell r="H11" t="str">
            <v>Q1</v>
          </cell>
          <cell r="I11" t="str">
            <v>Jul-Aug-Sep</v>
          </cell>
          <cell r="J11">
            <v>34344.828900796252</v>
          </cell>
          <cell r="K11">
            <v>7308.7710992037455</v>
          </cell>
          <cell r="L11">
            <v>38510</v>
          </cell>
          <cell r="M11">
            <v>41653.599999999999</v>
          </cell>
          <cell r="N11">
            <v>-3143.6</v>
          </cell>
          <cell r="O11" t="str">
            <v>Insufficient</v>
          </cell>
          <cell r="P11">
            <v>38510</v>
          </cell>
          <cell r="Q11">
            <v>24770</v>
          </cell>
          <cell r="R11">
            <v>3600</v>
          </cell>
          <cell r="S11">
            <v>0</v>
          </cell>
          <cell r="T11">
            <v>0</v>
          </cell>
          <cell r="U11">
            <v>0</v>
          </cell>
          <cell r="V11">
            <v>3600</v>
          </cell>
          <cell r="W11">
            <v>9900</v>
          </cell>
          <cell r="X11">
            <v>0</v>
          </cell>
          <cell r="Y11">
            <v>0</v>
          </cell>
          <cell r="Z11">
            <v>9900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240</v>
          </cell>
          <cell r="AG11">
            <v>0</v>
          </cell>
          <cell r="AH11">
            <v>0</v>
          </cell>
          <cell r="AI11">
            <v>240</v>
          </cell>
          <cell r="AJ11">
            <v>0</v>
          </cell>
          <cell r="AK11">
            <v>10140</v>
          </cell>
        </row>
        <row r="12">
          <cell r="A12" t="str">
            <v>ü</v>
          </cell>
          <cell r="B12" t="str">
            <v>ü</v>
          </cell>
          <cell r="F12" t="str">
            <v>Citrus</v>
          </cell>
          <cell r="G12">
            <v>1920</v>
          </cell>
          <cell r="H12" t="str">
            <v>Q1</v>
          </cell>
          <cell r="I12" t="str">
            <v>Jul-Aug-Sep</v>
          </cell>
          <cell r="J12">
            <v>18708.794259963703</v>
          </cell>
          <cell r="K12">
            <v>3981.3357400362966</v>
          </cell>
          <cell r="L12">
            <v>21375</v>
          </cell>
          <cell r="M12">
            <v>22690.13</v>
          </cell>
          <cell r="N12">
            <v>-1315.13</v>
          </cell>
          <cell r="O12" t="str">
            <v>Insufficient</v>
          </cell>
          <cell r="P12">
            <v>21375</v>
          </cell>
          <cell r="Q12">
            <v>8400</v>
          </cell>
          <cell r="R12">
            <v>1400</v>
          </cell>
          <cell r="S12">
            <v>250</v>
          </cell>
          <cell r="T12">
            <v>250</v>
          </cell>
          <cell r="U12">
            <v>0</v>
          </cell>
          <cell r="V12">
            <v>1900</v>
          </cell>
          <cell r="W12">
            <v>7200</v>
          </cell>
          <cell r="X12">
            <v>2100</v>
          </cell>
          <cell r="Y12">
            <v>0</v>
          </cell>
          <cell r="Z12">
            <v>9300</v>
          </cell>
          <cell r="AA12">
            <v>600</v>
          </cell>
          <cell r="AB12">
            <v>0</v>
          </cell>
          <cell r="AC12">
            <v>0</v>
          </cell>
          <cell r="AD12">
            <v>600</v>
          </cell>
          <cell r="AE12">
            <v>0</v>
          </cell>
          <cell r="AF12">
            <v>925</v>
          </cell>
          <cell r="AG12">
            <v>250</v>
          </cell>
          <cell r="AH12">
            <v>0</v>
          </cell>
          <cell r="AI12">
            <v>1175</v>
          </cell>
          <cell r="AJ12">
            <v>0</v>
          </cell>
          <cell r="AK12">
            <v>11075</v>
          </cell>
        </row>
        <row r="13">
          <cell r="A13" t="str">
            <v>ü</v>
          </cell>
          <cell r="B13" t="str">
            <v>ü</v>
          </cell>
          <cell r="F13" t="str">
            <v>Clay</v>
          </cell>
          <cell r="G13">
            <v>1920</v>
          </cell>
          <cell r="H13" t="str">
            <v>Q1</v>
          </cell>
          <cell r="I13" t="str">
            <v>Jul-Aug-Sep</v>
          </cell>
          <cell r="J13">
            <v>23987.051654485356</v>
          </cell>
          <cell r="K13">
            <v>5104.5783455146411</v>
          </cell>
          <cell r="L13">
            <v>16613</v>
          </cell>
          <cell r="M13">
            <v>29091.629999999997</v>
          </cell>
          <cell r="N13">
            <v>-12478.63</v>
          </cell>
          <cell r="O13" t="str">
            <v>Insufficient</v>
          </cell>
          <cell r="P13">
            <v>16613</v>
          </cell>
          <cell r="Q13">
            <v>10200</v>
          </cell>
          <cell r="R13">
            <v>1600</v>
          </cell>
          <cell r="S13">
            <v>0</v>
          </cell>
          <cell r="T13">
            <v>100</v>
          </cell>
          <cell r="U13">
            <v>2213</v>
          </cell>
          <cell r="V13">
            <v>3913</v>
          </cell>
          <cell r="W13">
            <v>2000</v>
          </cell>
          <cell r="X13">
            <v>0</v>
          </cell>
          <cell r="Y13">
            <v>0</v>
          </cell>
          <cell r="Z13">
            <v>2000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500</v>
          </cell>
          <cell r="AI13">
            <v>500</v>
          </cell>
          <cell r="AJ13">
            <v>0</v>
          </cell>
          <cell r="AK13">
            <v>2500</v>
          </cell>
        </row>
        <row r="14">
          <cell r="A14" t="str">
            <v>ü</v>
          </cell>
          <cell r="B14" t="str">
            <v>ü</v>
          </cell>
          <cell r="F14" t="str">
            <v>Collier</v>
          </cell>
          <cell r="G14">
            <v>1920</v>
          </cell>
          <cell r="H14" t="str">
            <v>Q1</v>
          </cell>
          <cell r="I14" t="str">
            <v>Jul-Aug-Sep</v>
          </cell>
          <cell r="J14">
            <v>55686.246281071195</v>
          </cell>
          <cell r="K14">
            <v>11850.3437189288</v>
          </cell>
          <cell r="L14">
            <v>58001</v>
          </cell>
          <cell r="M14">
            <v>67536.59</v>
          </cell>
          <cell r="N14">
            <v>-9535.59</v>
          </cell>
          <cell r="O14" t="str">
            <v>Insufficient</v>
          </cell>
          <cell r="P14">
            <v>58001</v>
          </cell>
          <cell r="Q14">
            <v>33137</v>
          </cell>
          <cell r="R14">
            <v>4675</v>
          </cell>
          <cell r="S14">
            <v>1389</v>
          </cell>
          <cell r="T14">
            <v>300</v>
          </cell>
          <cell r="U14">
            <v>0</v>
          </cell>
          <cell r="V14">
            <v>6364</v>
          </cell>
          <cell r="W14">
            <v>17500</v>
          </cell>
          <cell r="X14">
            <v>0</v>
          </cell>
          <cell r="Y14">
            <v>0</v>
          </cell>
          <cell r="Z14">
            <v>17500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1000</v>
          </cell>
          <cell r="AG14">
            <v>0</v>
          </cell>
          <cell r="AH14">
            <v>0</v>
          </cell>
          <cell r="AI14">
            <v>1000</v>
          </cell>
          <cell r="AJ14">
            <v>0</v>
          </cell>
          <cell r="AK14">
            <v>18500</v>
          </cell>
        </row>
        <row r="15">
          <cell r="A15" t="str">
            <v>ü</v>
          </cell>
          <cell r="B15" t="str">
            <v>ü</v>
          </cell>
          <cell r="F15" t="str">
            <v>Columbia</v>
          </cell>
          <cell r="G15">
            <v>1920</v>
          </cell>
          <cell r="H15" t="str">
            <v>Q1</v>
          </cell>
          <cell r="I15" t="str">
            <v>Jul-Aug-Sep</v>
          </cell>
          <cell r="J15">
            <v>15030.463546427725</v>
          </cell>
          <cell r="K15">
            <v>3198.5664535722735</v>
          </cell>
          <cell r="L15">
            <v>15120</v>
          </cell>
          <cell r="M15">
            <v>18229.03</v>
          </cell>
          <cell r="N15">
            <v>-3109.03</v>
          </cell>
          <cell r="O15" t="str">
            <v>Insufficient</v>
          </cell>
          <cell r="P15">
            <v>15120</v>
          </cell>
          <cell r="Q15">
            <v>11000</v>
          </cell>
          <cell r="R15">
            <v>900</v>
          </cell>
          <cell r="S15">
            <v>20</v>
          </cell>
          <cell r="T15">
            <v>100</v>
          </cell>
          <cell r="U15">
            <v>0</v>
          </cell>
          <cell r="V15">
            <v>1020</v>
          </cell>
          <cell r="W15">
            <v>3000</v>
          </cell>
          <cell r="X15">
            <v>0</v>
          </cell>
          <cell r="Y15">
            <v>0</v>
          </cell>
          <cell r="Z15">
            <v>3000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100</v>
          </cell>
          <cell r="AG15">
            <v>0</v>
          </cell>
          <cell r="AH15">
            <v>0</v>
          </cell>
          <cell r="AI15">
            <v>100</v>
          </cell>
          <cell r="AJ15">
            <v>0</v>
          </cell>
          <cell r="AK15">
            <v>3100</v>
          </cell>
        </row>
        <row r="16">
          <cell r="A16" t="str">
            <v>ü</v>
          </cell>
          <cell r="B16" t="str">
            <v>ü</v>
          </cell>
          <cell r="F16" t="str">
            <v>DeSoto</v>
          </cell>
          <cell r="G16">
            <v>1920</v>
          </cell>
          <cell r="H16" t="str">
            <v>Q1</v>
          </cell>
          <cell r="I16" t="str">
            <v>Jul-Aug-Sep</v>
          </cell>
          <cell r="J16">
            <v>8369.808154170054</v>
          </cell>
          <cell r="K16">
            <v>1781.1418458299468</v>
          </cell>
          <cell r="L16">
            <v>12445</v>
          </cell>
          <cell r="M16">
            <v>10150.950000000001</v>
          </cell>
          <cell r="N16">
            <v>2294.0500000000002</v>
          </cell>
          <cell r="O16" t="str">
            <v>Unexpended</v>
          </cell>
          <cell r="P16">
            <v>12445</v>
          </cell>
          <cell r="Q16">
            <v>4500</v>
          </cell>
          <cell r="R16">
            <v>1125</v>
          </cell>
          <cell r="S16">
            <v>1015</v>
          </cell>
          <cell r="T16">
            <v>250</v>
          </cell>
          <cell r="U16">
            <v>0</v>
          </cell>
          <cell r="V16">
            <v>2390</v>
          </cell>
          <cell r="W16">
            <v>3300</v>
          </cell>
          <cell r="X16">
            <v>1350</v>
          </cell>
          <cell r="Y16">
            <v>300</v>
          </cell>
          <cell r="Z16">
            <v>4950</v>
          </cell>
          <cell r="AA16">
            <v>330</v>
          </cell>
          <cell r="AB16">
            <v>0</v>
          </cell>
          <cell r="AC16">
            <v>0</v>
          </cell>
          <cell r="AD16">
            <v>330</v>
          </cell>
          <cell r="AE16">
            <v>50</v>
          </cell>
          <cell r="AF16">
            <v>75</v>
          </cell>
          <cell r="AG16">
            <v>150</v>
          </cell>
          <cell r="AH16">
            <v>0</v>
          </cell>
          <cell r="AI16">
            <v>275</v>
          </cell>
          <cell r="AJ16">
            <v>0</v>
          </cell>
          <cell r="AK16">
            <v>5555</v>
          </cell>
        </row>
        <row r="17">
          <cell r="A17" t="str">
            <v>ü</v>
          </cell>
          <cell r="B17" t="str">
            <v>ü</v>
          </cell>
          <cell r="F17" t="str">
            <v>Dixie</v>
          </cell>
          <cell r="G17">
            <v>1920</v>
          </cell>
          <cell r="H17" t="str">
            <v>Q1</v>
          </cell>
          <cell r="I17" t="str">
            <v>Jul-Aug-Sep</v>
          </cell>
          <cell r="J17">
            <v>3786.8559401651955</v>
          </cell>
          <cell r="K17">
            <v>805.86405983480483</v>
          </cell>
          <cell r="L17">
            <v>2610</v>
          </cell>
          <cell r="M17">
            <v>4592.72</v>
          </cell>
          <cell r="N17">
            <v>-1982.72</v>
          </cell>
          <cell r="O17" t="str">
            <v>Insufficient</v>
          </cell>
          <cell r="P17">
            <v>2610</v>
          </cell>
          <cell r="Q17">
            <v>1500</v>
          </cell>
          <cell r="R17">
            <v>150</v>
          </cell>
          <cell r="S17">
            <v>0</v>
          </cell>
          <cell r="T17">
            <v>10</v>
          </cell>
          <cell r="U17">
            <v>0</v>
          </cell>
          <cell r="V17">
            <v>160</v>
          </cell>
          <cell r="W17">
            <v>950</v>
          </cell>
          <cell r="X17">
            <v>0</v>
          </cell>
          <cell r="Y17">
            <v>0</v>
          </cell>
          <cell r="Z17">
            <v>950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950</v>
          </cell>
        </row>
        <row r="18">
          <cell r="A18" t="str">
            <v>ü</v>
          </cell>
          <cell r="B18" t="str">
            <v>ü</v>
          </cell>
          <cell r="F18" t="str">
            <v>Duval</v>
          </cell>
          <cell r="G18">
            <v>1920</v>
          </cell>
          <cell r="H18" t="str">
            <v>Q1</v>
          </cell>
          <cell r="I18" t="str">
            <v>Jul-Aug-Sep</v>
          </cell>
          <cell r="J18">
            <v>82537.615241271313</v>
          </cell>
          <cell r="K18">
            <v>17564.464758728689</v>
          </cell>
          <cell r="L18">
            <v>110044</v>
          </cell>
          <cell r="M18">
            <v>100102.08</v>
          </cell>
          <cell r="N18">
            <v>9941.92</v>
          </cell>
          <cell r="O18" t="str">
            <v>Unexpended</v>
          </cell>
          <cell r="P18">
            <v>110044</v>
          </cell>
          <cell r="Q18">
            <v>66140</v>
          </cell>
          <cell r="R18">
            <v>8459</v>
          </cell>
          <cell r="S18">
            <v>0</v>
          </cell>
          <cell r="T18">
            <v>1285</v>
          </cell>
          <cell r="U18">
            <v>0</v>
          </cell>
          <cell r="V18">
            <v>9744</v>
          </cell>
          <cell r="W18">
            <v>33660</v>
          </cell>
          <cell r="X18">
            <v>0</v>
          </cell>
          <cell r="Y18">
            <v>0</v>
          </cell>
          <cell r="Z18">
            <v>33660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200</v>
          </cell>
          <cell r="AG18">
            <v>300</v>
          </cell>
          <cell r="AH18">
            <v>0</v>
          </cell>
          <cell r="AI18">
            <v>500</v>
          </cell>
          <cell r="AJ18">
            <v>0</v>
          </cell>
          <cell r="AK18">
            <v>34160</v>
          </cell>
        </row>
        <row r="19">
          <cell r="A19" t="str">
            <v>ü</v>
          </cell>
          <cell r="B19" t="str">
            <v>ü</v>
          </cell>
          <cell r="F19" t="str">
            <v>Escambia</v>
          </cell>
          <cell r="G19">
            <v>1920</v>
          </cell>
          <cell r="H19" t="str">
            <v>Q1</v>
          </cell>
          <cell r="I19" t="str">
            <v>Jul-Aug-Sep</v>
          </cell>
          <cell r="J19">
            <v>62577.416774443678</v>
          </cell>
          <cell r="K19">
            <v>13316.823225556325</v>
          </cell>
          <cell r="L19">
            <v>83352</v>
          </cell>
          <cell r="M19">
            <v>75894.240000000005</v>
          </cell>
          <cell r="N19">
            <v>7457.76</v>
          </cell>
          <cell r="O19" t="str">
            <v>Unexpended</v>
          </cell>
          <cell r="P19">
            <v>83352</v>
          </cell>
          <cell r="Q19">
            <v>29516</v>
          </cell>
          <cell r="R19">
            <v>6134</v>
          </cell>
          <cell r="S19">
            <v>1351</v>
          </cell>
          <cell r="T19">
            <v>2210</v>
          </cell>
          <cell r="U19">
            <v>6015</v>
          </cell>
          <cell r="V19">
            <v>15710</v>
          </cell>
          <cell r="W19">
            <v>26505</v>
          </cell>
          <cell r="X19">
            <v>5910</v>
          </cell>
          <cell r="Y19">
            <v>0</v>
          </cell>
          <cell r="Z19">
            <v>32415</v>
          </cell>
          <cell r="AA19">
            <v>0</v>
          </cell>
          <cell r="AB19">
            <v>1485</v>
          </cell>
          <cell r="AC19">
            <v>0</v>
          </cell>
          <cell r="AD19">
            <v>1485</v>
          </cell>
          <cell r="AE19">
            <v>0</v>
          </cell>
          <cell r="AF19">
            <v>3921</v>
          </cell>
          <cell r="AG19">
            <v>305</v>
          </cell>
          <cell r="AH19">
            <v>0</v>
          </cell>
          <cell r="AI19">
            <v>4226</v>
          </cell>
          <cell r="AJ19">
            <v>0</v>
          </cell>
          <cell r="AK19">
            <v>38126</v>
          </cell>
        </row>
        <row r="20">
          <cell r="A20" t="str">
            <v>ü</v>
          </cell>
          <cell r="B20" t="str">
            <v>ü</v>
          </cell>
          <cell r="F20" t="str">
            <v>Flagler</v>
          </cell>
          <cell r="G20">
            <v>1920</v>
          </cell>
          <cell r="H20" t="str">
            <v>Q1</v>
          </cell>
          <cell r="I20" t="str">
            <v>Jul-Aug-Sep</v>
          </cell>
          <cell r="J20">
            <v>14863.223220358708</v>
          </cell>
          <cell r="K20">
            <v>3162.976779641293</v>
          </cell>
          <cell r="L20">
            <v>15600</v>
          </cell>
          <cell r="M20">
            <v>18026.2</v>
          </cell>
          <cell r="N20">
            <v>-2426.1999999999998</v>
          </cell>
          <cell r="O20" t="str">
            <v>Insufficient</v>
          </cell>
          <cell r="P20">
            <v>15600</v>
          </cell>
          <cell r="Q20">
            <v>10000</v>
          </cell>
          <cell r="R20">
            <v>500</v>
          </cell>
          <cell r="S20">
            <v>0</v>
          </cell>
          <cell r="T20">
            <v>0</v>
          </cell>
          <cell r="U20">
            <v>0</v>
          </cell>
          <cell r="V20">
            <v>500</v>
          </cell>
          <cell r="W20">
            <v>2300</v>
          </cell>
          <cell r="X20">
            <v>600</v>
          </cell>
          <cell r="Y20">
            <v>1400</v>
          </cell>
          <cell r="Z20">
            <v>4300</v>
          </cell>
          <cell r="AA20">
            <v>300</v>
          </cell>
          <cell r="AB20">
            <v>0</v>
          </cell>
          <cell r="AC20">
            <v>0</v>
          </cell>
          <cell r="AD20">
            <v>300</v>
          </cell>
          <cell r="AE20">
            <v>0</v>
          </cell>
          <cell r="AF20">
            <v>150</v>
          </cell>
          <cell r="AG20">
            <v>350</v>
          </cell>
          <cell r="AH20">
            <v>0</v>
          </cell>
          <cell r="AI20">
            <v>500</v>
          </cell>
          <cell r="AJ20">
            <v>0</v>
          </cell>
          <cell r="AK20">
            <v>5100</v>
          </cell>
        </row>
        <row r="21">
          <cell r="A21" t="str">
            <v>ü</v>
          </cell>
          <cell r="B21" t="str">
            <v>ü</v>
          </cell>
          <cell r="F21" t="str">
            <v>Franklin</v>
          </cell>
          <cell r="G21">
            <v>1920</v>
          </cell>
          <cell r="H21" t="str">
            <v>Q1</v>
          </cell>
          <cell r="I21" t="str">
            <v>Jul-Aug-Sep</v>
          </cell>
          <cell r="J21">
            <v>5447.7899264106809</v>
          </cell>
          <cell r="K21">
            <v>1159.320073589319</v>
          </cell>
          <cell r="L21">
            <v>4906</v>
          </cell>
          <cell r="M21">
            <v>6607.11</v>
          </cell>
          <cell r="N21">
            <v>-1701.11</v>
          </cell>
          <cell r="O21" t="str">
            <v>Insufficient</v>
          </cell>
          <cell r="P21">
            <v>4906</v>
          </cell>
          <cell r="Q21">
            <v>2506</v>
          </cell>
          <cell r="R21">
            <v>600</v>
          </cell>
          <cell r="S21">
            <v>0</v>
          </cell>
          <cell r="T21">
            <v>0</v>
          </cell>
          <cell r="U21">
            <v>0</v>
          </cell>
          <cell r="V21">
            <v>600</v>
          </cell>
          <cell r="W21">
            <v>1800</v>
          </cell>
          <cell r="X21">
            <v>0</v>
          </cell>
          <cell r="Y21">
            <v>0</v>
          </cell>
          <cell r="Z21">
            <v>1800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1800</v>
          </cell>
        </row>
        <row r="22">
          <cell r="A22" t="str">
            <v>ü</v>
          </cell>
          <cell r="B22" t="str">
            <v>ü</v>
          </cell>
          <cell r="F22" t="str">
            <v>Gadsden</v>
          </cell>
          <cell r="G22">
            <v>1920</v>
          </cell>
          <cell r="H22" t="str">
            <v>Q1</v>
          </cell>
          <cell r="I22" t="str">
            <v>Jul-Aug-Sep</v>
          </cell>
          <cell r="J22">
            <v>19948.053074119474</v>
          </cell>
          <cell r="K22">
            <v>4245.0569258805272</v>
          </cell>
          <cell r="L22">
            <v>14286</v>
          </cell>
          <cell r="M22">
            <v>24193.11</v>
          </cell>
          <cell r="N22">
            <v>-9907.11</v>
          </cell>
          <cell r="O22" t="str">
            <v>Insufficient</v>
          </cell>
          <cell r="P22">
            <v>14286</v>
          </cell>
          <cell r="Q22">
            <v>9962</v>
          </cell>
          <cell r="R22">
            <v>979</v>
          </cell>
          <cell r="S22">
            <v>0</v>
          </cell>
          <cell r="T22">
            <v>532</v>
          </cell>
          <cell r="U22">
            <v>68</v>
          </cell>
          <cell r="V22">
            <v>1579</v>
          </cell>
          <cell r="W22">
            <v>2565</v>
          </cell>
          <cell r="X22">
            <v>180</v>
          </cell>
          <cell r="Y22">
            <v>0</v>
          </cell>
          <cell r="Z22">
            <v>2745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2745</v>
          </cell>
        </row>
        <row r="23">
          <cell r="A23" t="str">
            <v>ü</v>
          </cell>
          <cell r="B23" t="str">
            <v>ü</v>
          </cell>
          <cell r="F23" t="str">
            <v>Gilchrist</v>
          </cell>
          <cell r="G23">
            <v>1920</v>
          </cell>
          <cell r="H23" t="str">
            <v>Q1</v>
          </cell>
          <cell r="I23" t="str">
            <v>Jul-Aug-Sep</v>
          </cell>
          <cell r="J23">
            <v>0</v>
          </cell>
          <cell r="K23">
            <v>0</v>
          </cell>
          <cell r="L23">
            <v>2490</v>
          </cell>
          <cell r="M23">
            <v>0</v>
          </cell>
          <cell r="N23">
            <v>4105.29</v>
          </cell>
          <cell r="O23" t="str">
            <v>Unexpended</v>
          </cell>
          <cell r="P23">
            <v>2490</v>
          </cell>
          <cell r="Q23">
            <v>600</v>
          </cell>
          <cell r="R23">
            <v>175</v>
          </cell>
          <cell r="S23">
            <v>0</v>
          </cell>
          <cell r="T23">
            <v>50</v>
          </cell>
          <cell r="U23">
            <v>10</v>
          </cell>
          <cell r="V23">
            <v>235</v>
          </cell>
          <cell r="W23">
            <v>1020</v>
          </cell>
          <cell r="X23">
            <v>0</v>
          </cell>
          <cell r="Y23">
            <v>0</v>
          </cell>
          <cell r="Z23">
            <v>1020</v>
          </cell>
          <cell r="AA23">
            <v>315</v>
          </cell>
          <cell r="AB23">
            <v>0</v>
          </cell>
          <cell r="AC23">
            <v>0</v>
          </cell>
          <cell r="AD23">
            <v>315</v>
          </cell>
          <cell r="AE23">
            <v>0</v>
          </cell>
          <cell r="AF23">
            <v>270</v>
          </cell>
          <cell r="AG23">
            <v>0</v>
          </cell>
          <cell r="AH23">
            <v>50</v>
          </cell>
          <cell r="AI23">
            <v>320</v>
          </cell>
          <cell r="AJ23">
            <v>0</v>
          </cell>
          <cell r="AK23">
            <v>1655</v>
          </cell>
        </row>
        <row r="24">
          <cell r="A24" t="str">
            <v>ü</v>
          </cell>
          <cell r="B24" t="str">
            <v>ü</v>
          </cell>
          <cell r="F24" t="str">
            <v>Glades</v>
          </cell>
          <cell r="G24">
            <v>1920</v>
          </cell>
          <cell r="H24" t="str">
            <v>Q1</v>
          </cell>
          <cell r="I24" t="str">
            <v>Jul-Aug-Sep</v>
          </cell>
          <cell r="J24">
            <v>5674.6440944892165</v>
          </cell>
          <cell r="K24">
            <v>1207.5959055107837</v>
          </cell>
          <cell r="L24">
            <v>5200</v>
          </cell>
          <cell r="M24">
            <v>6882.24</v>
          </cell>
          <cell r="N24">
            <v>-1682.24</v>
          </cell>
          <cell r="O24" t="str">
            <v>Insufficient</v>
          </cell>
          <cell r="P24">
            <v>5200</v>
          </cell>
          <cell r="Q24">
            <v>3950</v>
          </cell>
          <cell r="R24">
            <v>650</v>
          </cell>
          <cell r="S24">
            <v>0</v>
          </cell>
          <cell r="T24">
            <v>0</v>
          </cell>
          <cell r="U24">
            <v>0</v>
          </cell>
          <cell r="V24">
            <v>650</v>
          </cell>
          <cell r="W24">
            <v>600</v>
          </cell>
          <cell r="X24">
            <v>0</v>
          </cell>
          <cell r="Y24">
            <v>0</v>
          </cell>
          <cell r="Z24">
            <v>600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600</v>
          </cell>
        </row>
        <row r="25">
          <cell r="A25" t="str">
            <v>ü</v>
          </cell>
          <cell r="B25" t="str">
            <v>ü</v>
          </cell>
          <cell r="F25" t="str">
            <v>Gulf</v>
          </cell>
          <cell r="G25">
            <v>1920</v>
          </cell>
          <cell r="H25" t="str">
            <v>Q1</v>
          </cell>
          <cell r="I25" t="str">
            <v>Jul-Aug-Sep</v>
          </cell>
          <cell r="J25">
            <v>4694.4540100622144</v>
          </cell>
          <cell r="K25">
            <v>999.0059899377859</v>
          </cell>
          <cell r="L25">
            <v>4860</v>
          </cell>
          <cell r="M25">
            <v>5693.46</v>
          </cell>
          <cell r="N25">
            <v>-833.46</v>
          </cell>
          <cell r="O25" t="str">
            <v>Insufficient</v>
          </cell>
          <cell r="P25">
            <v>4860</v>
          </cell>
          <cell r="Q25">
            <v>3210</v>
          </cell>
          <cell r="R25">
            <v>200</v>
          </cell>
          <cell r="S25">
            <v>0</v>
          </cell>
          <cell r="T25">
            <v>100</v>
          </cell>
          <cell r="U25">
            <v>1350</v>
          </cell>
          <cell r="V25">
            <v>1650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6">
          <cell r="A26" t="str">
            <v>ü</v>
          </cell>
          <cell r="B26" t="str">
            <v>ü</v>
          </cell>
          <cell r="F26" t="str">
            <v>Hamilton</v>
          </cell>
          <cell r="G26">
            <v>1920</v>
          </cell>
          <cell r="H26" t="str">
            <v>Q1</v>
          </cell>
          <cell r="I26" t="str">
            <v>Jul-Aug-Sep</v>
          </cell>
          <cell r="J26">
            <v>2009.1431372695331</v>
          </cell>
          <cell r="K26">
            <v>427.55686273046666</v>
          </cell>
          <cell r="L26">
            <v>2877</v>
          </cell>
          <cell r="M26">
            <v>2436.6999999999998</v>
          </cell>
          <cell r="N26">
            <v>440.3</v>
          </cell>
          <cell r="O26" t="str">
            <v>Unexpended</v>
          </cell>
          <cell r="P26">
            <v>2877</v>
          </cell>
          <cell r="Q26">
            <v>922</v>
          </cell>
          <cell r="R26">
            <v>375</v>
          </cell>
          <cell r="S26">
            <v>750</v>
          </cell>
          <cell r="T26">
            <v>30</v>
          </cell>
          <cell r="U26">
            <v>0</v>
          </cell>
          <cell r="V26">
            <v>1155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800</v>
          </cell>
          <cell r="AB26">
            <v>0</v>
          </cell>
          <cell r="AC26">
            <v>0</v>
          </cell>
          <cell r="AD26">
            <v>800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800</v>
          </cell>
        </row>
        <row r="27">
          <cell r="A27" t="str">
            <v>ü</v>
          </cell>
          <cell r="B27" t="str">
            <v>ü</v>
          </cell>
          <cell r="F27" t="str">
            <v>Hardee</v>
          </cell>
          <cell r="G27">
            <v>1920</v>
          </cell>
          <cell r="H27" t="str">
            <v>Q1</v>
          </cell>
          <cell r="I27" t="str">
            <v>Jul-Aug-Sep</v>
          </cell>
          <cell r="J27">
            <v>7965.0524293560666</v>
          </cell>
          <cell r="K27">
            <v>1695.0075706439331</v>
          </cell>
          <cell r="L27">
            <v>9780</v>
          </cell>
          <cell r="M27">
            <v>9660.06</v>
          </cell>
          <cell r="N27">
            <v>119.94</v>
          </cell>
          <cell r="O27" t="str">
            <v>Unexpended</v>
          </cell>
          <cell r="P27">
            <v>9780</v>
          </cell>
          <cell r="Q27">
            <v>7425</v>
          </cell>
          <cell r="R27">
            <v>565</v>
          </cell>
          <cell r="S27">
            <v>125</v>
          </cell>
          <cell r="T27">
            <v>360</v>
          </cell>
          <cell r="U27">
            <v>0</v>
          </cell>
          <cell r="V27">
            <v>1050</v>
          </cell>
          <cell r="W27">
            <v>585</v>
          </cell>
          <cell r="X27">
            <v>0</v>
          </cell>
          <cell r="Y27">
            <v>0</v>
          </cell>
          <cell r="Z27">
            <v>585</v>
          </cell>
          <cell r="AA27">
            <v>720</v>
          </cell>
          <cell r="AB27">
            <v>0</v>
          </cell>
          <cell r="AC27">
            <v>0</v>
          </cell>
          <cell r="AD27">
            <v>720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1305</v>
          </cell>
        </row>
        <row r="28">
          <cell r="A28" t="str">
            <v>ü</v>
          </cell>
          <cell r="B28" t="str">
            <v>ü</v>
          </cell>
          <cell r="F28" t="str">
            <v>Hendry</v>
          </cell>
          <cell r="G28">
            <v>1920</v>
          </cell>
          <cell r="H28" t="str">
            <v>Q1</v>
          </cell>
          <cell r="I28" t="str">
            <v>Jul-Aug-Sep</v>
          </cell>
          <cell r="J28">
            <v>13350.614739494851</v>
          </cell>
          <cell r="K28">
            <v>2841.0852605051496</v>
          </cell>
          <cell r="L28">
            <v>14460</v>
          </cell>
          <cell r="M28">
            <v>16191.7</v>
          </cell>
          <cell r="N28">
            <v>-1731.7</v>
          </cell>
          <cell r="O28" t="str">
            <v>Insufficient</v>
          </cell>
          <cell r="P28">
            <v>14460</v>
          </cell>
          <cell r="Q28">
            <v>8500</v>
          </cell>
          <cell r="R28">
            <v>2225</v>
          </cell>
          <cell r="S28">
            <v>85</v>
          </cell>
          <cell r="T28">
            <v>100</v>
          </cell>
          <cell r="U28">
            <v>0</v>
          </cell>
          <cell r="V28">
            <v>2410</v>
          </cell>
          <cell r="W28">
            <v>3500</v>
          </cell>
          <cell r="X28">
            <v>0</v>
          </cell>
          <cell r="Y28">
            <v>0</v>
          </cell>
          <cell r="Z28">
            <v>3500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50</v>
          </cell>
          <cell r="AF28">
            <v>0</v>
          </cell>
          <cell r="AG28">
            <v>0</v>
          </cell>
          <cell r="AH28">
            <v>0</v>
          </cell>
          <cell r="AI28">
            <v>50</v>
          </cell>
          <cell r="AJ28">
            <v>0</v>
          </cell>
          <cell r="AK28">
            <v>3550</v>
          </cell>
        </row>
        <row r="29">
          <cell r="A29" t="str">
            <v>ü</v>
          </cell>
          <cell r="B29" t="str">
            <v>ü</v>
          </cell>
          <cell r="F29" t="str">
            <v>Hernando</v>
          </cell>
          <cell r="G29">
            <v>1920</v>
          </cell>
          <cell r="H29" t="str">
            <v>Q1</v>
          </cell>
          <cell r="I29" t="str">
            <v>Jul-Aug-Sep</v>
          </cell>
          <cell r="J29">
            <v>37835.726439150996</v>
          </cell>
          <cell r="K29">
            <v>8051.6535608490012</v>
          </cell>
          <cell r="L29">
            <v>47630</v>
          </cell>
          <cell r="M29">
            <v>45887.38</v>
          </cell>
          <cell r="N29">
            <v>1742.62</v>
          </cell>
          <cell r="O29" t="str">
            <v>Unexpended</v>
          </cell>
          <cell r="P29">
            <v>47630</v>
          </cell>
          <cell r="Q29">
            <v>28100</v>
          </cell>
          <cell r="R29">
            <v>8000</v>
          </cell>
          <cell r="S29">
            <v>730</v>
          </cell>
          <cell r="T29">
            <v>440</v>
          </cell>
          <cell r="U29">
            <v>0</v>
          </cell>
          <cell r="V29">
            <v>9170</v>
          </cell>
          <cell r="W29">
            <v>9420</v>
          </cell>
          <cell r="X29">
            <v>0</v>
          </cell>
          <cell r="Y29">
            <v>0</v>
          </cell>
          <cell r="Z29">
            <v>9420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940</v>
          </cell>
          <cell r="AG29">
            <v>0</v>
          </cell>
          <cell r="AH29">
            <v>0</v>
          </cell>
          <cell r="AI29">
            <v>940</v>
          </cell>
          <cell r="AJ29">
            <v>0</v>
          </cell>
          <cell r="AK29">
            <v>10360</v>
          </cell>
        </row>
        <row r="30">
          <cell r="A30" t="str">
            <v>ü</v>
          </cell>
          <cell r="B30" t="str">
            <v>ü</v>
          </cell>
          <cell r="F30" t="str">
            <v>Highlands</v>
          </cell>
          <cell r="G30">
            <v>1920</v>
          </cell>
          <cell r="H30" t="str">
            <v>Q1</v>
          </cell>
          <cell r="I30" t="str">
            <v>Jul-Aug-Sep</v>
          </cell>
          <cell r="J30">
            <v>17479.660729070409</v>
          </cell>
          <cell r="K30">
            <v>3719.769270929592</v>
          </cell>
          <cell r="L30">
            <v>22400</v>
          </cell>
          <cell r="M30">
            <v>21199.43</v>
          </cell>
          <cell r="N30">
            <v>1200.57</v>
          </cell>
          <cell r="O30" t="str">
            <v>Unexpended</v>
          </cell>
          <cell r="P30">
            <v>22400</v>
          </cell>
          <cell r="Q30">
            <v>15550</v>
          </cell>
          <cell r="R30">
            <v>1500</v>
          </cell>
          <cell r="S30">
            <v>400</v>
          </cell>
          <cell r="T30">
            <v>75</v>
          </cell>
          <cell r="U30">
            <v>225</v>
          </cell>
          <cell r="V30">
            <v>2200</v>
          </cell>
          <cell r="W30">
            <v>3000</v>
          </cell>
          <cell r="X30">
            <v>500</v>
          </cell>
          <cell r="Y30">
            <v>0</v>
          </cell>
          <cell r="Z30">
            <v>3500</v>
          </cell>
          <cell r="AA30">
            <v>650</v>
          </cell>
          <cell r="AB30">
            <v>0</v>
          </cell>
          <cell r="AC30">
            <v>0</v>
          </cell>
          <cell r="AD30">
            <v>650</v>
          </cell>
          <cell r="AE30">
            <v>0</v>
          </cell>
          <cell r="AF30">
            <v>0</v>
          </cell>
          <cell r="AG30">
            <v>0</v>
          </cell>
          <cell r="AH30">
            <v>500</v>
          </cell>
          <cell r="AI30">
            <v>500</v>
          </cell>
          <cell r="AK30">
            <v>4650</v>
          </cell>
        </row>
        <row r="31">
          <cell r="A31" t="str">
            <v>ü</v>
          </cell>
          <cell r="B31" t="str">
            <v>ü</v>
          </cell>
          <cell r="F31" t="str">
            <v>Hillsborough</v>
          </cell>
          <cell r="G31">
            <v>1920</v>
          </cell>
          <cell r="H31" t="str">
            <v>Q1</v>
          </cell>
          <cell r="I31" t="str">
            <v>Jul-Aug-Sep</v>
          </cell>
          <cell r="J31">
            <v>106694.76011108368</v>
          </cell>
          <cell r="K31">
            <v>22705.239888916316</v>
          </cell>
          <cell r="L31">
            <v>129400</v>
          </cell>
          <cell r="M31">
            <v>129400</v>
          </cell>
          <cell r="N31">
            <v>0</v>
          </cell>
          <cell r="O31" t="str">
            <v>Insufficient</v>
          </cell>
          <cell r="P31">
            <v>129400</v>
          </cell>
          <cell r="Q31">
            <v>50000</v>
          </cell>
          <cell r="R31">
            <v>11000</v>
          </cell>
          <cell r="S31">
            <v>5100</v>
          </cell>
          <cell r="T31">
            <v>1900</v>
          </cell>
          <cell r="U31">
            <v>0</v>
          </cell>
          <cell r="V31">
            <v>18000</v>
          </cell>
          <cell r="W31">
            <v>48300</v>
          </cell>
          <cell r="X31">
            <v>8400</v>
          </cell>
          <cell r="Y31">
            <v>0</v>
          </cell>
          <cell r="Z31">
            <v>56700</v>
          </cell>
          <cell r="AA31">
            <v>1500</v>
          </cell>
          <cell r="AB31">
            <v>1800</v>
          </cell>
          <cell r="AC31">
            <v>0</v>
          </cell>
          <cell r="AD31">
            <v>3300</v>
          </cell>
          <cell r="AE31">
            <v>0</v>
          </cell>
          <cell r="AF31">
            <v>1400</v>
          </cell>
          <cell r="AG31">
            <v>0</v>
          </cell>
          <cell r="AH31">
            <v>0</v>
          </cell>
          <cell r="AI31">
            <v>1400</v>
          </cell>
          <cell r="AJ31">
            <v>0</v>
          </cell>
          <cell r="AK31">
            <v>61400</v>
          </cell>
        </row>
        <row r="32">
          <cell r="A32" t="str">
            <v>ü</v>
          </cell>
          <cell r="B32" t="str">
            <v>ü</v>
          </cell>
          <cell r="F32" t="str">
            <v>Holmes</v>
          </cell>
          <cell r="G32">
            <v>1920</v>
          </cell>
          <cell r="H32" t="str">
            <v>Q1</v>
          </cell>
          <cell r="I32" t="str">
            <v>Jul-Aug-Sep</v>
          </cell>
          <cell r="J32">
            <v>4775.4150494386231</v>
          </cell>
          <cell r="K32">
            <v>1016.234950561377</v>
          </cell>
          <cell r="L32">
            <v>5536</v>
          </cell>
          <cell r="M32">
            <v>5791.65</v>
          </cell>
          <cell r="N32">
            <v>-255.65</v>
          </cell>
          <cell r="O32" t="str">
            <v>Insufficient</v>
          </cell>
          <cell r="P32">
            <v>5536</v>
          </cell>
          <cell r="Q32">
            <v>3510</v>
          </cell>
          <cell r="R32">
            <v>188</v>
          </cell>
          <cell r="S32">
            <v>0</v>
          </cell>
          <cell r="T32">
            <v>0</v>
          </cell>
          <cell r="U32">
            <v>0</v>
          </cell>
          <cell r="V32">
            <v>188</v>
          </cell>
          <cell r="W32">
            <v>938</v>
          </cell>
          <cell r="X32">
            <v>0</v>
          </cell>
          <cell r="Y32">
            <v>0</v>
          </cell>
          <cell r="Z32">
            <v>938</v>
          </cell>
          <cell r="AA32">
            <v>900</v>
          </cell>
          <cell r="AB32">
            <v>0</v>
          </cell>
          <cell r="AC32">
            <v>0</v>
          </cell>
          <cell r="AD32">
            <v>900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1838</v>
          </cell>
        </row>
        <row r="33">
          <cell r="A33" t="str">
            <v>ü</v>
          </cell>
          <cell r="B33" t="str">
            <v>ü</v>
          </cell>
          <cell r="F33" t="str">
            <v>Indian River</v>
          </cell>
          <cell r="G33">
            <v>1920</v>
          </cell>
          <cell r="H33" t="str">
            <v>Q1</v>
          </cell>
          <cell r="I33" t="str">
            <v>Jul-Aug-Sep</v>
          </cell>
          <cell r="J33">
            <v>57013.449941544182</v>
          </cell>
          <cell r="K33">
            <v>12132.780058455812</v>
          </cell>
          <cell r="L33">
            <v>44841</v>
          </cell>
          <cell r="M33">
            <v>69146.23</v>
          </cell>
          <cell r="N33">
            <v>-24305.23</v>
          </cell>
          <cell r="O33" t="str">
            <v>Insufficient</v>
          </cell>
          <cell r="P33">
            <v>44841</v>
          </cell>
          <cell r="Q33">
            <v>25059</v>
          </cell>
          <cell r="R33">
            <v>3000</v>
          </cell>
          <cell r="S33">
            <v>2000</v>
          </cell>
          <cell r="T33">
            <v>291</v>
          </cell>
          <cell r="U33">
            <v>591</v>
          </cell>
          <cell r="V33">
            <v>5882</v>
          </cell>
          <cell r="W33">
            <v>10800</v>
          </cell>
          <cell r="X33">
            <v>3000</v>
          </cell>
          <cell r="Y33">
            <v>0</v>
          </cell>
          <cell r="Z33">
            <v>13800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100</v>
          </cell>
          <cell r="AG33">
            <v>0</v>
          </cell>
          <cell r="AH33">
            <v>0</v>
          </cell>
          <cell r="AI33">
            <v>100</v>
          </cell>
          <cell r="AJ33">
            <v>0</v>
          </cell>
          <cell r="AK33">
            <v>13900</v>
          </cell>
        </row>
        <row r="34">
          <cell r="A34" t="str">
            <v>ü</v>
          </cell>
          <cell r="B34" t="str">
            <v>ü</v>
          </cell>
          <cell r="F34" t="str">
            <v>Jackson</v>
          </cell>
          <cell r="G34">
            <v>1920</v>
          </cell>
          <cell r="H34" t="str">
            <v>Q1</v>
          </cell>
          <cell r="I34" t="str">
            <v>Jul-Aug-Sep</v>
          </cell>
          <cell r="J34">
            <v>11353.056311495493</v>
          </cell>
          <cell r="K34">
            <v>2415.9936885045067</v>
          </cell>
          <cell r="L34">
            <v>12160</v>
          </cell>
          <cell r="M34">
            <v>13769.05</v>
          </cell>
          <cell r="N34">
            <v>-1609.05</v>
          </cell>
          <cell r="O34" t="str">
            <v>Insufficient</v>
          </cell>
          <cell r="P34">
            <v>12160</v>
          </cell>
          <cell r="Q34">
            <v>5430</v>
          </cell>
          <cell r="R34">
            <v>700</v>
          </cell>
          <cell r="S34">
            <v>0</v>
          </cell>
          <cell r="T34">
            <v>1200</v>
          </cell>
          <cell r="U34">
            <v>0</v>
          </cell>
          <cell r="V34">
            <v>1900</v>
          </cell>
          <cell r="W34">
            <v>4050</v>
          </cell>
          <cell r="X34">
            <v>450</v>
          </cell>
          <cell r="Y34">
            <v>0</v>
          </cell>
          <cell r="Z34">
            <v>4500</v>
          </cell>
          <cell r="AA34">
            <v>330</v>
          </cell>
          <cell r="AB34">
            <v>0</v>
          </cell>
          <cell r="AC34">
            <v>0</v>
          </cell>
          <cell r="AD34">
            <v>330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4830</v>
          </cell>
        </row>
        <row r="35">
          <cell r="A35" t="str">
            <v>ü</v>
          </cell>
          <cell r="B35" t="str">
            <v>ü</v>
          </cell>
          <cell r="F35" t="str">
            <v>Jefferson</v>
          </cell>
          <cell r="G35">
            <v>1920</v>
          </cell>
          <cell r="H35" t="str">
            <v>Q1</v>
          </cell>
          <cell r="I35" t="str">
            <v>Jul-Aug-Sep</v>
          </cell>
          <cell r="J35">
            <v>9622.877920658595</v>
          </cell>
          <cell r="K35">
            <v>2047.8020793414055</v>
          </cell>
          <cell r="L35">
            <v>12587</v>
          </cell>
          <cell r="M35">
            <v>11670.68</v>
          </cell>
          <cell r="N35">
            <v>916.32</v>
          </cell>
          <cell r="O35" t="str">
            <v>Unexpended</v>
          </cell>
          <cell r="P35">
            <v>12587</v>
          </cell>
          <cell r="Q35">
            <v>6837</v>
          </cell>
          <cell r="R35">
            <v>250</v>
          </cell>
          <cell r="S35">
            <v>0</v>
          </cell>
          <cell r="T35">
            <v>0</v>
          </cell>
          <cell r="U35">
            <v>0</v>
          </cell>
          <cell r="V35">
            <v>250</v>
          </cell>
          <cell r="W35">
            <v>4500</v>
          </cell>
          <cell r="X35">
            <v>0</v>
          </cell>
          <cell r="Y35">
            <v>0</v>
          </cell>
          <cell r="Z35">
            <v>4500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1000</v>
          </cell>
          <cell r="AH35">
            <v>0</v>
          </cell>
          <cell r="AI35">
            <v>1000</v>
          </cell>
          <cell r="AJ35">
            <v>0</v>
          </cell>
          <cell r="AK35">
            <v>5500</v>
          </cell>
        </row>
        <row r="36">
          <cell r="A36" t="str">
            <v>ü</v>
          </cell>
          <cell r="B36" t="str">
            <v>ü</v>
          </cell>
          <cell r="F36" t="str">
            <v>Lafayette</v>
          </cell>
          <cell r="G36">
            <v>1920</v>
          </cell>
          <cell r="H36" t="str">
            <v>Q1</v>
          </cell>
          <cell r="I36" t="str">
            <v>Jul-Aug-Sep</v>
          </cell>
          <cell r="J36">
            <v>0</v>
          </cell>
          <cell r="K36">
            <v>0</v>
          </cell>
          <cell r="L36">
            <v>1503</v>
          </cell>
          <cell r="M36">
            <v>0</v>
          </cell>
          <cell r="N36">
            <v>2134.91</v>
          </cell>
          <cell r="O36" t="str">
            <v>Unexpended</v>
          </cell>
          <cell r="P36">
            <v>1503</v>
          </cell>
          <cell r="Q36">
            <v>1200</v>
          </cell>
          <cell r="R36">
            <v>75</v>
          </cell>
          <cell r="S36">
            <v>39</v>
          </cell>
          <cell r="T36">
            <v>9</v>
          </cell>
          <cell r="U36">
            <v>0</v>
          </cell>
          <cell r="V36">
            <v>123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180</v>
          </cell>
          <cell r="AB36">
            <v>0</v>
          </cell>
          <cell r="AC36">
            <v>0</v>
          </cell>
          <cell r="AD36">
            <v>180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180</v>
          </cell>
        </row>
        <row r="37">
          <cell r="A37" t="str">
            <v>ü</v>
          </cell>
          <cell r="B37" t="str">
            <v>ü</v>
          </cell>
          <cell r="F37" t="str">
            <v>Lake</v>
          </cell>
          <cell r="G37">
            <v>1920</v>
          </cell>
          <cell r="H37" t="str">
            <v>Q1</v>
          </cell>
          <cell r="I37" t="str">
            <v>Jul-Aug-Sep</v>
          </cell>
          <cell r="J37">
            <v>45233.29302116199</v>
          </cell>
          <cell r="K37">
            <v>9625.8969788380145</v>
          </cell>
          <cell r="L37">
            <v>62024</v>
          </cell>
          <cell r="M37">
            <v>54859.19</v>
          </cell>
          <cell r="N37">
            <v>7164.81</v>
          </cell>
          <cell r="O37" t="str">
            <v>Unexpended</v>
          </cell>
          <cell r="P37">
            <v>62024</v>
          </cell>
          <cell r="Q37">
            <v>40929</v>
          </cell>
          <cell r="R37">
            <v>5750</v>
          </cell>
          <cell r="S37">
            <v>0</v>
          </cell>
          <cell r="T37">
            <v>1863</v>
          </cell>
          <cell r="U37">
            <v>357</v>
          </cell>
          <cell r="V37">
            <v>7970</v>
          </cell>
          <cell r="W37">
            <v>0</v>
          </cell>
          <cell r="X37">
            <v>0</v>
          </cell>
          <cell r="Y37">
            <v>12000</v>
          </cell>
          <cell r="Z37">
            <v>12000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1125</v>
          </cell>
          <cell r="AG37">
            <v>0</v>
          </cell>
          <cell r="AH37">
            <v>0</v>
          </cell>
          <cell r="AI37">
            <v>1125</v>
          </cell>
          <cell r="AJ37">
            <v>0</v>
          </cell>
          <cell r="AK37">
            <v>13125</v>
          </cell>
        </row>
        <row r="38">
          <cell r="A38" t="str">
            <v>ü</v>
          </cell>
          <cell r="B38" t="str">
            <v>ü</v>
          </cell>
          <cell r="F38" t="str">
            <v>Lee</v>
          </cell>
          <cell r="G38">
            <v>1920</v>
          </cell>
          <cell r="H38" t="str">
            <v>Q1</v>
          </cell>
          <cell r="I38" t="str">
            <v>Jul-Aug-Sep</v>
          </cell>
          <cell r="J38">
            <v>54504.474009998463</v>
          </cell>
          <cell r="K38">
            <v>11598.855990001535</v>
          </cell>
          <cell r="L38">
            <v>70697</v>
          </cell>
          <cell r="M38">
            <v>66103.33</v>
          </cell>
          <cell r="N38">
            <v>4593.67</v>
          </cell>
          <cell r="O38" t="str">
            <v>Unexpended</v>
          </cell>
          <cell r="P38">
            <v>70697</v>
          </cell>
          <cell r="Q38">
            <v>36182</v>
          </cell>
          <cell r="R38">
            <v>15250</v>
          </cell>
          <cell r="S38">
            <v>9200</v>
          </cell>
          <cell r="T38">
            <v>250</v>
          </cell>
          <cell r="U38">
            <v>0</v>
          </cell>
          <cell r="V38">
            <v>24700</v>
          </cell>
          <cell r="W38">
            <v>4365</v>
          </cell>
          <cell r="X38">
            <v>3360</v>
          </cell>
          <cell r="Y38">
            <v>0</v>
          </cell>
          <cell r="Z38">
            <v>7725</v>
          </cell>
          <cell r="AA38">
            <v>1110</v>
          </cell>
          <cell r="AB38">
            <v>0</v>
          </cell>
          <cell r="AC38">
            <v>0</v>
          </cell>
          <cell r="AD38">
            <v>1110</v>
          </cell>
          <cell r="AE38">
            <v>0</v>
          </cell>
          <cell r="AF38">
            <v>980</v>
          </cell>
          <cell r="AG38">
            <v>0</v>
          </cell>
          <cell r="AH38">
            <v>0</v>
          </cell>
          <cell r="AI38">
            <v>980</v>
          </cell>
          <cell r="AJ38">
            <v>0</v>
          </cell>
          <cell r="AK38">
            <v>9815</v>
          </cell>
        </row>
        <row r="39">
          <cell r="A39" t="str">
            <v>ü</v>
          </cell>
          <cell r="B39" t="str">
            <v>ü</v>
          </cell>
          <cell r="F39" t="str">
            <v>Leon</v>
          </cell>
          <cell r="G39">
            <v>1920</v>
          </cell>
          <cell r="H39" t="str">
            <v>Q1</v>
          </cell>
          <cell r="I39" t="str">
            <v>Jul-Aug-Sep</v>
          </cell>
          <cell r="J39">
            <v>71344.048631849131</v>
          </cell>
          <cell r="K39">
            <v>15182.411368150864</v>
          </cell>
          <cell r="L39">
            <v>63897</v>
          </cell>
          <cell r="M39">
            <v>86526.459999999992</v>
          </cell>
          <cell r="N39">
            <v>-22629.46</v>
          </cell>
          <cell r="O39" t="str">
            <v>Insufficient</v>
          </cell>
          <cell r="P39">
            <v>63897</v>
          </cell>
          <cell r="Q39">
            <v>43667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14850</v>
          </cell>
          <cell r="X39">
            <v>4980</v>
          </cell>
          <cell r="Y39">
            <v>0</v>
          </cell>
          <cell r="Z39">
            <v>19830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400</v>
          </cell>
          <cell r="AG39">
            <v>0</v>
          </cell>
          <cell r="AH39">
            <v>0</v>
          </cell>
          <cell r="AI39">
            <v>400</v>
          </cell>
          <cell r="AJ39">
            <v>0</v>
          </cell>
          <cell r="AK39">
            <v>20230</v>
          </cell>
        </row>
        <row r="40">
          <cell r="A40" t="str">
            <v>ü</v>
          </cell>
          <cell r="B40" t="str">
            <v>ü</v>
          </cell>
          <cell r="F40" t="str">
            <v>Levy</v>
          </cell>
          <cell r="G40">
            <v>1920</v>
          </cell>
          <cell r="H40" t="str">
            <v>Q1</v>
          </cell>
          <cell r="I40" t="str">
            <v>Jul-Aug-Sep</v>
          </cell>
          <cell r="J40">
            <v>19713.200921704942</v>
          </cell>
          <cell r="K40">
            <v>4195.0790782950553</v>
          </cell>
          <cell r="L40">
            <v>17135</v>
          </cell>
          <cell r="M40">
            <v>23908.28</v>
          </cell>
          <cell r="N40">
            <v>-6773.28</v>
          </cell>
          <cell r="O40" t="str">
            <v>Insufficient</v>
          </cell>
          <cell r="P40">
            <v>17135</v>
          </cell>
          <cell r="Q40">
            <v>13000</v>
          </cell>
          <cell r="R40">
            <v>800</v>
          </cell>
          <cell r="S40">
            <v>65</v>
          </cell>
          <cell r="T40">
            <v>150</v>
          </cell>
          <cell r="U40">
            <v>0</v>
          </cell>
          <cell r="V40">
            <v>1015</v>
          </cell>
          <cell r="W40">
            <v>2460</v>
          </cell>
          <cell r="X40">
            <v>360</v>
          </cell>
          <cell r="Y40">
            <v>0</v>
          </cell>
          <cell r="Z40">
            <v>2820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300</v>
          </cell>
          <cell r="AG40">
            <v>0</v>
          </cell>
          <cell r="AH40">
            <v>0</v>
          </cell>
          <cell r="AI40">
            <v>300</v>
          </cell>
          <cell r="AJ40">
            <v>0</v>
          </cell>
          <cell r="AK40">
            <v>3120</v>
          </cell>
        </row>
        <row r="41">
          <cell r="A41" t="str">
            <v>ü</v>
          </cell>
          <cell r="B41" t="str">
            <v>ü</v>
          </cell>
          <cell r="F41" t="str">
            <v>Liberty</v>
          </cell>
          <cell r="G41">
            <v>1920</v>
          </cell>
          <cell r="H41" t="str">
            <v>Q1</v>
          </cell>
          <cell r="I41" t="str">
            <v>Jul-Aug-Sep</v>
          </cell>
          <cell r="J41">
            <v>1595.3587600350183</v>
          </cell>
          <cell r="K41">
            <v>339.50123996498166</v>
          </cell>
          <cell r="L41">
            <v>2958</v>
          </cell>
          <cell r="M41">
            <v>1934.8600000000001</v>
          </cell>
          <cell r="N41">
            <v>1023.14</v>
          </cell>
          <cell r="O41" t="str">
            <v>Unexpended</v>
          </cell>
          <cell r="P41">
            <v>2958</v>
          </cell>
          <cell r="Q41">
            <v>1338</v>
          </cell>
          <cell r="R41">
            <v>350</v>
          </cell>
          <cell r="S41">
            <v>0</v>
          </cell>
          <cell r="T41">
            <v>0</v>
          </cell>
          <cell r="U41">
            <v>0</v>
          </cell>
          <cell r="V41">
            <v>350</v>
          </cell>
          <cell r="W41">
            <v>1230</v>
          </cell>
          <cell r="X41">
            <v>0</v>
          </cell>
          <cell r="Y41">
            <v>0</v>
          </cell>
          <cell r="Z41">
            <v>1230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40</v>
          </cell>
          <cell r="AI41">
            <v>40</v>
          </cell>
          <cell r="AJ41">
            <v>0</v>
          </cell>
          <cell r="AK41">
            <v>1270</v>
          </cell>
        </row>
        <row r="42">
          <cell r="A42" t="str">
            <v>ü</v>
          </cell>
          <cell r="B42" t="str">
            <v>ü</v>
          </cell>
          <cell r="F42" t="str">
            <v>Madison</v>
          </cell>
          <cell r="G42">
            <v>1920</v>
          </cell>
          <cell r="H42" t="str">
            <v>Q1</v>
          </cell>
          <cell r="I42" t="str">
            <v>Jul-Aug-Sep</v>
          </cell>
          <cell r="J42">
            <v>1081.0883672306595</v>
          </cell>
          <cell r="K42">
            <v>230.06163276934018</v>
          </cell>
          <cell r="L42">
            <v>5746</v>
          </cell>
          <cell r="M42">
            <v>1311.1499999999996</v>
          </cell>
          <cell r="N42">
            <v>4434.8500000000004</v>
          </cell>
          <cell r="O42" t="str">
            <v>Unexpended</v>
          </cell>
          <cell r="P42">
            <v>5746</v>
          </cell>
          <cell r="Q42">
            <v>1173</v>
          </cell>
          <cell r="R42">
            <v>370</v>
          </cell>
          <cell r="S42">
            <v>0</v>
          </cell>
          <cell r="T42">
            <v>183</v>
          </cell>
          <cell r="U42">
            <v>0</v>
          </cell>
          <cell r="V42">
            <v>553</v>
          </cell>
          <cell r="W42">
            <v>3705</v>
          </cell>
          <cell r="X42">
            <v>0</v>
          </cell>
          <cell r="Y42">
            <v>0</v>
          </cell>
          <cell r="Z42">
            <v>3705</v>
          </cell>
          <cell r="AA42">
            <v>315</v>
          </cell>
          <cell r="AB42">
            <v>0</v>
          </cell>
          <cell r="AC42">
            <v>0</v>
          </cell>
          <cell r="AD42">
            <v>315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4020</v>
          </cell>
        </row>
        <row r="43">
          <cell r="A43" t="str">
            <v>ü</v>
          </cell>
          <cell r="B43" t="str">
            <v>ü</v>
          </cell>
          <cell r="F43" t="str">
            <v>Manatee</v>
          </cell>
          <cell r="G43">
            <v>1920</v>
          </cell>
          <cell r="H43" t="str">
            <v>Q1</v>
          </cell>
          <cell r="I43" t="str">
            <v>Jul-Aug-Sep</v>
          </cell>
          <cell r="J43">
            <v>35189.0450061667</v>
          </cell>
          <cell r="K43">
            <v>7488.4249938333032</v>
          </cell>
          <cell r="L43">
            <v>35698</v>
          </cell>
          <cell r="M43">
            <v>42677.47</v>
          </cell>
          <cell r="N43">
            <v>-6979.47</v>
          </cell>
          <cell r="O43" t="str">
            <v>Insufficient</v>
          </cell>
          <cell r="P43">
            <v>35698</v>
          </cell>
          <cell r="Q43">
            <v>13592</v>
          </cell>
          <cell r="R43">
            <v>0</v>
          </cell>
          <cell r="S43">
            <v>0</v>
          </cell>
          <cell r="T43">
            <v>132</v>
          </cell>
          <cell r="U43">
            <v>242</v>
          </cell>
          <cell r="V43">
            <v>374</v>
          </cell>
          <cell r="W43">
            <v>17951</v>
          </cell>
          <cell r="X43">
            <v>2414</v>
          </cell>
          <cell r="Y43">
            <v>0</v>
          </cell>
          <cell r="Z43">
            <v>20365</v>
          </cell>
          <cell r="AA43">
            <v>845</v>
          </cell>
          <cell r="AB43">
            <v>0</v>
          </cell>
          <cell r="AC43">
            <v>0</v>
          </cell>
          <cell r="AD43">
            <v>845</v>
          </cell>
          <cell r="AE43">
            <v>0</v>
          </cell>
          <cell r="AF43">
            <v>285</v>
          </cell>
          <cell r="AG43">
            <v>64</v>
          </cell>
          <cell r="AH43">
            <v>173</v>
          </cell>
          <cell r="AI43">
            <v>522</v>
          </cell>
          <cell r="AJ43">
            <v>0</v>
          </cell>
          <cell r="AK43">
            <v>21732</v>
          </cell>
        </row>
        <row r="44">
          <cell r="A44" t="str">
            <v>ü</v>
          </cell>
          <cell r="B44" t="str">
            <v>ü</v>
          </cell>
          <cell r="F44" t="str">
            <v>Marion</v>
          </cell>
          <cell r="G44">
            <v>1920</v>
          </cell>
          <cell r="H44" t="str">
            <v>Q1</v>
          </cell>
          <cell r="I44" t="str">
            <v>Jul-Aug-Sep</v>
          </cell>
          <cell r="J44">
            <v>89920.150559937436</v>
          </cell>
          <cell r="K44">
            <v>19135.509440062564</v>
          </cell>
          <cell r="L44">
            <v>64694</v>
          </cell>
          <cell r="M44">
            <v>109055.66</v>
          </cell>
          <cell r="N44">
            <v>-44361.66</v>
          </cell>
          <cell r="O44" t="str">
            <v>Insufficient</v>
          </cell>
          <cell r="P44">
            <v>64694</v>
          </cell>
          <cell r="Q44">
            <v>20889</v>
          </cell>
          <cell r="R44">
            <v>4371</v>
          </cell>
          <cell r="S44">
            <v>2385</v>
          </cell>
          <cell r="T44">
            <v>0</v>
          </cell>
          <cell r="U44">
            <v>0</v>
          </cell>
          <cell r="V44">
            <v>6756</v>
          </cell>
          <cell r="W44">
            <v>26595</v>
          </cell>
          <cell r="X44">
            <v>5190</v>
          </cell>
          <cell r="Y44">
            <v>0</v>
          </cell>
          <cell r="Z44">
            <v>31785</v>
          </cell>
          <cell r="AA44">
            <v>105</v>
          </cell>
          <cell r="AB44">
            <v>360</v>
          </cell>
          <cell r="AC44">
            <v>0</v>
          </cell>
          <cell r="AD44">
            <v>465</v>
          </cell>
          <cell r="AE44">
            <v>0</v>
          </cell>
          <cell r="AF44">
            <v>4799</v>
          </cell>
          <cell r="AG44">
            <v>0</v>
          </cell>
          <cell r="AH44">
            <v>0</v>
          </cell>
          <cell r="AI44">
            <v>4799</v>
          </cell>
          <cell r="AJ44">
            <v>0</v>
          </cell>
          <cell r="AK44">
            <v>37049</v>
          </cell>
        </row>
        <row r="45">
          <cell r="A45" t="str">
            <v>ü</v>
          </cell>
          <cell r="B45" t="str">
            <v>ü</v>
          </cell>
          <cell r="F45" t="str">
            <v>Martin</v>
          </cell>
          <cell r="G45">
            <v>1920</v>
          </cell>
          <cell r="H45" t="str">
            <v>Q1</v>
          </cell>
          <cell r="I45" t="str">
            <v>Jul-Aug-Sep</v>
          </cell>
          <cell r="J45">
            <v>30440.262420032464</v>
          </cell>
          <cell r="K45">
            <v>6477.8575799675373</v>
          </cell>
          <cell r="L45">
            <v>36756</v>
          </cell>
          <cell r="M45">
            <v>36918.120000000003</v>
          </cell>
          <cell r="N45">
            <v>-162.12</v>
          </cell>
          <cell r="O45" t="str">
            <v>Insufficient</v>
          </cell>
          <cell r="P45">
            <v>36756</v>
          </cell>
          <cell r="Q45">
            <v>20569</v>
          </cell>
          <cell r="R45">
            <v>2499</v>
          </cell>
          <cell r="S45">
            <v>884</v>
          </cell>
          <cell r="T45">
            <v>222</v>
          </cell>
          <cell r="U45">
            <v>37</v>
          </cell>
          <cell r="V45">
            <v>3642</v>
          </cell>
          <cell r="W45">
            <v>8585</v>
          </cell>
          <cell r="X45">
            <v>3550</v>
          </cell>
          <cell r="Y45">
            <v>0</v>
          </cell>
          <cell r="Z45">
            <v>12135</v>
          </cell>
          <cell r="AA45">
            <v>225</v>
          </cell>
          <cell r="AB45">
            <v>0</v>
          </cell>
          <cell r="AC45">
            <v>0</v>
          </cell>
          <cell r="AD45">
            <v>225</v>
          </cell>
          <cell r="AE45">
            <v>0</v>
          </cell>
          <cell r="AF45">
            <v>115</v>
          </cell>
          <cell r="AG45">
            <v>0</v>
          </cell>
          <cell r="AH45">
            <v>70</v>
          </cell>
          <cell r="AI45">
            <v>185</v>
          </cell>
          <cell r="AJ45">
            <v>0</v>
          </cell>
          <cell r="AK45">
            <v>12545</v>
          </cell>
        </row>
        <row r="46">
          <cell r="A46" t="str">
            <v>ü</v>
          </cell>
          <cell r="B46" t="str">
            <v>ü</v>
          </cell>
          <cell r="F46" t="str">
            <v>Miami-Dade</v>
          </cell>
          <cell r="G46">
            <v>1920</v>
          </cell>
          <cell r="H46" t="str">
            <v>Q1</v>
          </cell>
          <cell r="I46" t="str">
            <v>Jul-Aug-Sep</v>
          </cell>
          <cell r="J46">
            <v>231138.85319422022</v>
          </cell>
          <cell r="K46">
            <v>49187.636805779759</v>
          </cell>
          <cell r="L46">
            <v>278463</v>
          </cell>
          <cell r="M46">
            <v>280326.49</v>
          </cell>
          <cell r="N46">
            <v>-1863.49</v>
          </cell>
          <cell r="O46" t="str">
            <v>Insufficient</v>
          </cell>
          <cell r="P46">
            <v>278463</v>
          </cell>
          <cell r="Q46">
            <v>168963</v>
          </cell>
          <cell r="R46">
            <v>26005</v>
          </cell>
          <cell r="S46">
            <v>1400</v>
          </cell>
          <cell r="T46">
            <v>2550</v>
          </cell>
          <cell r="U46">
            <v>2706</v>
          </cell>
          <cell r="V46">
            <v>32661</v>
          </cell>
          <cell r="W46">
            <v>69528</v>
          </cell>
          <cell r="X46">
            <v>0</v>
          </cell>
          <cell r="Y46">
            <v>0</v>
          </cell>
          <cell r="Z46">
            <v>69528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3811</v>
          </cell>
          <cell r="AG46">
            <v>0</v>
          </cell>
          <cell r="AH46">
            <v>0</v>
          </cell>
          <cell r="AI46">
            <v>3811</v>
          </cell>
          <cell r="AJ46">
            <v>3500</v>
          </cell>
          <cell r="AK46">
            <v>76839</v>
          </cell>
        </row>
        <row r="47">
          <cell r="A47" t="str">
            <v>ü</v>
          </cell>
          <cell r="B47" t="str">
            <v>ü</v>
          </cell>
          <cell r="F47" t="str">
            <v>Monroe</v>
          </cell>
          <cell r="G47">
            <v>1920</v>
          </cell>
          <cell r="H47" t="str">
            <v>Q1</v>
          </cell>
          <cell r="I47" t="str">
            <v>Jul-Aug-Sep</v>
          </cell>
          <cell r="J47">
            <v>7360.5944564825395</v>
          </cell>
          <cell r="K47">
            <v>1566.3755435174596</v>
          </cell>
          <cell r="L47">
            <v>12605</v>
          </cell>
          <cell r="M47">
            <v>8926.9699999999993</v>
          </cell>
          <cell r="N47">
            <v>3678.03</v>
          </cell>
          <cell r="O47" t="str">
            <v>Unexpended</v>
          </cell>
          <cell r="P47">
            <v>12605</v>
          </cell>
          <cell r="Q47">
            <v>6027</v>
          </cell>
          <cell r="R47">
            <v>1070</v>
          </cell>
          <cell r="S47">
            <v>1967</v>
          </cell>
          <cell r="T47">
            <v>514</v>
          </cell>
          <cell r="U47">
            <v>204</v>
          </cell>
          <cell r="V47">
            <v>3755</v>
          </cell>
          <cell r="W47">
            <v>2585</v>
          </cell>
          <cell r="X47">
            <v>0</v>
          </cell>
          <cell r="Y47">
            <v>0</v>
          </cell>
          <cell r="Z47">
            <v>2585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238</v>
          </cell>
          <cell r="AF47">
            <v>0</v>
          </cell>
          <cell r="AG47">
            <v>0</v>
          </cell>
          <cell r="AH47">
            <v>0</v>
          </cell>
          <cell r="AI47">
            <v>238</v>
          </cell>
          <cell r="AJ47">
            <v>0</v>
          </cell>
          <cell r="AK47">
            <v>2823</v>
          </cell>
        </row>
        <row r="48">
          <cell r="A48" t="str">
            <v>ü</v>
          </cell>
          <cell r="B48" t="str">
            <v>ü</v>
          </cell>
          <cell r="F48" t="str">
            <v>Nassau</v>
          </cell>
          <cell r="G48">
            <v>1920</v>
          </cell>
          <cell r="H48" t="str">
            <v>Q1</v>
          </cell>
          <cell r="I48" t="str">
            <v>Jul-Aug-Sep</v>
          </cell>
          <cell r="J48">
            <v>26632.323133530019</v>
          </cell>
          <cell r="K48">
            <v>5667.5068664699838</v>
          </cell>
          <cell r="L48">
            <v>21773</v>
          </cell>
          <cell r="M48">
            <v>32299.83</v>
          </cell>
          <cell r="N48">
            <v>-10526.83</v>
          </cell>
          <cell r="O48" t="str">
            <v>Insufficient</v>
          </cell>
          <cell r="P48">
            <v>21773</v>
          </cell>
          <cell r="Q48">
            <v>17331</v>
          </cell>
          <cell r="R48">
            <v>592</v>
          </cell>
          <cell r="S48">
            <v>0</v>
          </cell>
          <cell r="T48">
            <v>100</v>
          </cell>
          <cell r="U48">
            <v>0</v>
          </cell>
          <cell r="V48">
            <v>692</v>
          </cell>
          <cell r="W48">
            <v>2250</v>
          </cell>
          <cell r="X48">
            <v>1050</v>
          </cell>
          <cell r="Y48">
            <v>450</v>
          </cell>
          <cell r="Z48">
            <v>3750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3750</v>
          </cell>
        </row>
        <row r="49">
          <cell r="A49" t="str">
            <v>ü</v>
          </cell>
          <cell r="B49" t="str">
            <v>ü</v>
          </cell>
          <cell r="F49" t="str">
            <v>Okaloosa</v>
          </cell>
          <cell r="G49">
            <v>1920</v>
          </cell>
          <cell r="H49" t="str">
            <v>Q1</v>
          </cell>
          <cell r="I49" t="str">
            <v>Jul-Aug-Sep</v>
          </cell>
          <cell r="J49">
            <v>25651.539384286323</v>
          </cell>
          <cell r="K49">
            <v>5458.7906157136786</v>
          </cell>
          <cell r="L49">
            <v>27707</v>
          </cell>
          <cell r="M49">
            <v>31110.33</v>
          </cell>
          <cell r="N49">
            <v>-3403.33</v>
          </cell>
          <cell r="O49" t="str">
            <v>Insufficient</v>
          </cell>
          <cell r="P49">
            <v>27707</v>
          </cell>
          <cell r="Q49">
            <v>11721</v>
          </cell>
          <cell r="R49">
            <v>5642</v>
          </cell>
          <cell r="S49">
            <v>0</v>
          </cell>
          <cell r="T49">
            <v>107</v>
          </cell>
          <cell r="U49">
            <v>1875</v>
          </cell>
          <cell r="V49">
            <v>7624</v>
          </cell>
          <cell r="W49">
            <v>5220</v>
          </cell>
          <cell r="X49">
            <v>2790</v>
          </cell>
          <cell r="Y49">
            <v>0</v>
          </cell>
          <cell r="Z49">
            <v>8010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352</v>
          </cell>
          <cell r="AG49">
            <v>0</v>
          </cell>
          <cell r="AH49">
            <v>0</v>
          </cell>
          <cell r="AI49">
            <v>352</v>
          </cell>
          <cell r="AJ49">
            <v>0</v>
          </cell>
          <cell r="AK49">
            <v>8362</v>
          </cell>
        </row>
        <row r="50">
          <cell r="A50" t="str">
            <v>ü</v>
          </cell>
          <cell r="B50" t="str">
            <v>ü</v>
          </cell>
          <cell r="F50" t="str">
            <v>Okeechobee</v>
          </cell>
          <cell r="G50">
            <v>1920</v>
          </cell>
          <cell r="H50" t="str">
            <v>Q1</v>
          </cell>
          <cell r="I50" t="str">
            <v>Jul-Aug-Sep</v>
          </cell>
          <cell r="J50">
            <v>38684.526956161455</v>
          </cell>
          <cell r="K50">
            <v>8232.2830438385463</v>
          </cell>
          <cell r="L50">
            <v>21274</v>
          </cell>
          <cell r="M50">
            <v>46916.81</v>
          </cell>
          <cell r="N50">
            <v>-25642.81</v>
          </cell>
          <cell r="O50" t="str">
            <v>Insufficient</v>
          </cell>
          <cell r="P50">
            <v>21274</v>
          </cell>
          <cell r="Q50">
            <v>12859</v>
          </cell>
          <cell r="R50">
            <v>1695</v>
          </cell>
          <cell r="S50">
            <v>0</v>
          </cell>
          <cell r="T50">
            <v>420</v>
          </cell>
          <cell r="U50">
            <v>75</v>
          </cell>
          <cell r="V50">
            <v>2190</v>
          </cell>
          <cell r="W50">
            <v>5475</v>
          </cell>
          <cell r="X50">
            <v>570</v>
          </cell>
          <cell r="Y50">
            <v>0</v>
          </cell>
          <cell r="Z50">
            <v>6045</v>
          </cell>
          <cell r="AA50">
            <v>180</v>
          </cell>
          <cell r="AB50">
            <v>0</v>
          </cell>
          <cell r="AC50">
            <v>0</v>
          </cell>
          <cell r="AD50">
            <v>180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6225</v>
          </cell>
        </row>
        <row r="51">
          <cell r="A51" t="str">
            <v>ü</v>
          </cell>
          <cell r="B51" t="str">
            <v>ü</v>
          </cell>
          <cell r="F51" t="str">
            <v>Orange</v>
          </cell>
          <cell r="G51">
            <v>1920</v>
          </cell>
          <cell r="H51" t="str">
            <v>Q1</v>
          </cell>
          <cell r="I51" t="str">
            <v>Jul-Aug-Sep</v>
          </cell>
          <cell r="J51">
            <v>149360.53525349835</v>
          </cell>
          <cell r="K51">
            <v>31784.754746501654</v>
          </cell>
          <cell r="L51">
            <v>168055</v>
          </cell>
          <cell r="M51">
            <v>181145.29</v>
          </cell>
          <cell r="N51">
            <v>-13090.29</v>
          </cell>
          <cell r="O51" t="str">
            <v>Insufficient</v>
          </cell>
          <cell r="P51">
            <v>168055</v>
          </cell>
          <cell r="Q51">
            <v>54761</v>
          </cell>
          <cell r="R51">
            <v>31189</v>
          </cell>
          <cell r="S51">
            <v>2414</v>
          </cell>
          <cell r="T51">
            <v>300</v>
          </cell>
          <cell r="U51">
            <v>3391</v>
          </cell>
          <cell r="V51">
            <v>37294</v>
          </cell>
          <cell r="W51">
            <v>48000</v>
          </cell>
          <cell r="X51">
            <v>24000</v>
          </cell>
          <cell r="Y51">
            <v>0</v>
          </cell>
          <cell r="Z51">
            <v>72000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3000</v>
          </cell>
          <cell r="AG51">
            <v>1000</v>
          </cell>
          <cell r="AH51">
            <v>0</v>
          </cell>
          <cell r="AI51">
            <v>4000</v>
          </cell>
          <cell r="AJ51">
            <v>0</v>
          </cell>
          <cell r="AK51">
            <v>76000</v>
          </cell>
        </row>
        <row r="52">
          <cell r="A52" t="str">
            <v>ü</v>
          </cell>
          <cell r="B52" t="str">
            <v>ü</v>
          </cell>
          <cell r="F52" t="str">
            <v>Osceola</v>
          </cell>
          <cell r="G52">
            <v>1920</v>
          </cell>
          <cell r="H52" t="str">
            <v>Q1</v>
          </cell>
          <cell r="I52" t="str">
            <v>Jul-Aug-Sep</v>
          </cell>
          <cell r="J52">
            <v>84348.680463382538</v>
          </cell>
          <cell r="K52">
            <v>17949.869536617469</v>
          </cell>
          <cell r="L52">
            <v>79721</v>
          </cell>
          <cell r="M52">
            <v>102298.55</v>
          </cell>
          <cell r="N52">
            <v>-22577.55</v>
          </cell>
          <cell r="O52" t="str">
            <v>Insufficient</v>
          </cell>
          <cell r="P52">
            <v>79721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42416</v>
          </cell>
          <cell r="V52">
            <v>42416</v>
          </cell>
          <cell r="W52">
            <v>35775</v>
          </cell>
          <cell r="X52">
            <v>0</v>
          </cell>
          <cell r="Y52">
            <v>0</v>
          </cell>
          <cell r="Z52">
            <v>35775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1530</v>
          </cell>
          <cell r="AG52">
            <v>0</v>
          </cell>
          <cell r="AH52">
            <v>0</v>
          </cell>
          <cell r="AI52">
            <v>1530</v>
          </cell>
          <cell r="AJ52">
            <v>0</v>
          </cell>
          <cell r="AK52">
            <v>37305</v>
          </cell>
        </row>
        <row r="53">
          <cell r="A53" t="str">
            <v>ü</v>
          </cell>
          <cell r="B53" t="str">
            <v>ü</v>
          </cell>
          <cell r="F53" t="str">
            <v>Palm Beach</v>
          </cell>
          <cell r="G53">
            <v>1920</v>
          </cell>
          <cell r="H53" t="str">
            <v>Q1</v>
          </cell>
          <cell r="I53" t="str">
            <v>Jul-Aug-Sep</v>
          </cell>
          <cell r="J53">
            <v>155410.90321419635</v>
          </cell>
          <cell r="K53">
            <v>33072.306785803637</v>
          </cell>
          <cell r="L53">
            <v>223212</v>
          </cell>
          <cell r="M53">
            <v>188483.21</v>
          </cell>
          <cell r="N53">
            <v>34728.79</v>
          </cell>
          <cell r="O53" t="str">
            <v>Unexpended</v>
          </cell>
          <cell r="P53">
            <v>223212</v>
          </cell>
          <cell r="Q53">
            <v>62903</v>
          </cell>
          <cell r="R53">
            <v>21258</v>
          </cell>
          <cell r="S53">
            <v>7784</v>
          </cell>
          <cell r="T53">
            <v>2607</v>
          </cell>
          <cell r="U53">
            <v>4833</v>
          </cell>
          <cell r="V53">
            <v>36482</v>
          </cell>
          <cell r="W53">
            <v>88575</v>
          </cell>
          <cell r="X53">
            <v>30210</v>
          </cell>
          <cell r="Y53">
            <v>0</v>
          </cell>
          <cell r="Z53">
            <v>118785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4794</v>
          </cell>
          <cell r="AG53">
            <v>248</v>
          </cell>
          <cell r="AI53">
            <v>5042</v>
          </cell>
          <cell r="AJ53">
            <v>0</v>
          </cell>
          <cell r="AK53">
            <v>123827</v>
          </cell>
        </row>
        <row r="54">
          <cell r="A54" t="str">
            <v>ü</v>
          </cell>
          <cell r="B54" t="str">
            <v>ü</v>
          </cell>
          <cell r="F54" t="str">
            <v>Pasco</v>
          </cell>
          <cell r="G54">
            <v>1920</v>
          </cell>
          <cell r="H54" t="str">
            <v>Q1</v>
          </cell>
          <cell r="I54" t="str">
            <v>Jul-Aug-Sep</v>
          </cell>
          <cell r="J54">
            <v>73256.407913308474</v>
          </cell>
          <cell r="K54">
            <v>15589.372086691526</v>
          </cell>
          <cell r="L54">
            <v>65663</v>
          </cell>
          <cell r="M54">
            <v>88845.78</v>
          </cell>
          <cell r="N54">
            <v>-23182.78</v>
          </cell>
          <cell r="O54" t="str">
            <v>Insufficient</v>
          </cell>
          <cell r="P54">
            <v>65663</v>
          </cell>
          <cell r="Q54">
            <v>32055</v>
          </cell>
          <cell r="R54">
            <v>42</v>
          </cell>
          <cell r="S54">
            <v>0</v>
          </cell>
          <cell r="T54">
            <v>915</v>
          </cell>
          <cell r="U54">
            <v>5714</v>
          </cell>
          <cell r="V54">
            <v>6671</v>
          </cell>
          <cell r="W54">
            <v>26850</v>
          </cell>
          <cell r="X54">
            <v>0</v>
          </cell>
          <cell r="Y54">
            <v>0</v>
          </cell>
          <cell r="Z54">
            <v>26850</v>
          </cell>
          <cell r="AA54">
            <v>87</v>
          </cell>
          <cell r="AB54">
            <v>0</v>
          </cell>
          <cell r="AC54">
            <v>0</v>
          </cell>
          <cell r="AD54">
            <v>87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26937</v>
          </cell>
        </row>
        <row r="55">
          <cell r="A55" t="str">
            <v>ü</v>
          </cell>
          <cell r="B55" t="str">
            <v>ü</v>
          </cell>
          <cell r="F55" t="str">
            <v>Pinellas</v>
          </cell>
          <cell r="G55">
            <v>1920</v>
          </cell>
          <cell r="H55" t="str">
            <v>Q1</v>
          </cell>
          <cell r="I55" t="str">
            <v>Jul-Aug-Sep</v>
          </cell>
          <cell r="J55">
            <v>136707.47667361691</v>
          </cell>
          <cell r="K55">
            <v>29092.113326383082</v>
          </cell>
          <cell r="L55">
            <v>160080</v>
          </cell>
          <cell r="M55">
            <v>165799.59</v>
          </cell>
          <cell r="N55">
            <v>-5719.59</v>
          </cell>
          <cell r="O55" t="str">
            <v>Insufficient</v>
          </cell>
          <cell r="P55">
            <v>160080</v>
          </cell>
          <cell r="Q55">
            <v>72625</v>
          </cell>
          <cell r="R55">
            <v>12900</v>
          </cell>
          <cell r="S55">
            <v>200</v>
          </cell>
          <cell r="T55">
            <v>200</v>
          </cell>
          <cell r="U55">
            <v>0</v>
          </cell>
          <cell r="V55">
            <v>13300</v>
          </cell>
          <cell r="W55">
            <v>66000</v>
          </cell>
          <cell r="X55">
            <v>4400</v>
          </cell>
          <cell r="Y55">
            <v>0</v>
          </cell>
          <cell r="Z55">
            <v>70400</v>
          </cell>
          <cell r="AA55">
            <v>700</v>
          </cell>
          <cell r="AB55">
            <v>0</v>
          </cell>
          <cell r="AC55">
            <v>0</v>
          </cell>
          <cell r="AD55">
            <v>700</v>
          </cell>
          <cell r="AE55">
            <v>0</v>
          </cell>
          <cell r="AF55">
            <v>1825</v>
          </cell>
          <cell r="AG55">
            <v>330</v>
          </cell>
          <cell r="AH55">
            <v>900</v>
          </cell>
          <cell r="AI55">
            <v>3055</v>
          </cell>
          <cell r="AJ55">
            <v>0</v>
          </cell>
          <cell r="AK55">
            <v>74155</v>
          </cell>
        </row>
        <row r="56">
          <cell r="A56" t="str">
            <v>ü</v>
          </cell>
          <cell r="B56" t="str">
            <v>ü</v>
          </cell>
          <cell r="F56" t="str">
            <v>Polk</v>
          </cell>
          <cell r="G56">
            <v>1920</v>
          </cell>
          <cell r="H56" t="str">
            <v>Q1</v>
          </cell>
          <cell r="I56" t="str">
            <v>Jul-Aug-Sep</v>
          </cell>
          <cell r="J56">
            <v>70616.347492099216</v>
          </cell>
          <cell r="K56">
            <v>15027.552507900773</v>
          </cell>
          <cell r="L56">
            <v>88000</v>
          </cell>
          <cell r="M56">
            <v>85643.9</v>
          </cell>
          <cell r="N56">
            <v>2356.1</v>
          </cell>
          <cell r="O56" t="str">
            <v>Unexpended</v>
          </cell>
          <cell r="P56">
            <v>88000</v>
          </cell>
          <cell r="Q56">
            <v>24000</v>
          </cell>
          <cell r="R56">
            <v>8000</v>
          </cell>
          <cell r="S56">
            <v>5000</v>
          </cell>
          <cell r="T56">
            <v>1000</v>
          </cell>
          <cell r="U56">
            <v>0</v>
          </cell>
          <cell r="V56">
            <v>14000</v>
          </cell>
          <cell r="W56">
            <v>18500</v>
          </cell>
          <cell r="X56">
            <v>12000</v>
          </cell>
          <cell r="Y56">
            <v>16000</v>
          </cell>
          <cell r="Z56">
            <v>46500</v>
          </cell>
          <cell r="AA56">
            <v>500</v>
          </cell>
          <cell r="AB56">
            <v>1000</v>
          </cell>
          <cell r="AC56">
            <v>0</v>
          </cell>
          <cell r="AD56">
            <v>1500</v>
          </cell>
          <cell r="AE56">
            <v>0</v>
          </cell>
          <cell r="AF56">
            <v>1200</v>
          </cell>
          <cell r="AG56">
            <v>100</v>
          </cell>
          <cell r="AH56">
            <v>700</v>
          </cell>
          <cell r="AI56">
            <v>2000</v>
          </cell>
          <cell r="AJ56">
            <v>0</v>
          </cell>
          <cell r="AK56">
            <v>50000</v>
          </cell>
        </row>
        <row r="57">
          <cell r="A57" t="str">
            <v>ü</v>
          </cell>
          <cell r="B57" t="str">
            <v>ü</v>
          </cell>
          <cell r="F57" t="str">
            <v>Putnam</v>
          </cell>
          <cell r="G57">
            <v>1920</v>
          </cell>
          <cell r="H57" t="str">
            <v>Q1</v>
          </cell>
          <cell r="I57" t="str">
            <v>Jul-Aug-Sep</v>
          </cell>
          <cell r="J57">
            <v>25079.386671854467</v>
          </cell>
          <cell r="K57">
            <v>5337.0333281455332</v>
          </cell>
          <cell r="L57">
            <v>20930</v>
          </cell>
          <cell r="M57">
            <v>30416.42</v>
          </cell>
          <cell r="N57">
            <v>-9486.42</v>
          </cell>
          <cell r="O57" t="str">
            <v>Insufficient</v>
          </cell>
          <cell r="P57">
            <v>20930</v>
          </cell>
          <cell r="Q57">
            <v>15930</v>
          </cell>
          <cell r="R57">
            <v>850</v>
          </cell>
          <cell r="S57">
            <v>260</v>
          </cell>
          <cell r="T57">
            <v>400</v>
          </cell>
          <cell r="U57">
            <v>0</v>
          </cell>
          <cell r="V57">
            <v>1510</v>
          </cell>
          <cell r="W57">
            <v>2430</v>
          </cell>
          <cell r="X57">
            <v>360</v>
          </cell>
          <cell r="Y57">
            <v>0</v>
          </cell>
          <cell r="Z57">
            <v>2790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500</v>
          </cell>
          <cell r="AF57">
            <v>200</v>
          </cell>
          <cell r="AG57">
            <v>0</v>
          </cell>
          <cell r="AH57">
            <v>0</v>
          </cell>
          <cell r="AI57">
            <v>700</v>
          </cell>
          <cell r="AJ57">
            <v>0</v>
          </cell>
          <cell r="AK57">
            <v>3490</v>
          </cell>
        </row>
        <row r="58">
          <cell r="A58" t="str">
            <v>ü</v>
          </cell>
          <cell r="B58" t="str">
            <v>ü</v>
          </cell>
          <cell r="F58" t="str">
            <v>Santa Rosa</v>
          </cell>
          <cell r="G58">
            <v>1920</v>
          </cell>
          <cell r="H58" t="str">
            <v>Q1</v>
          </cell>
          <cell r="I58" t="str">
            <v>Jul-Aug-Sep</v>
          </cell>
          <cell r="J58">
            <v>46834.341069023634</v>
          </cell>
          <cell r="K58">
            <v>9966.6089309763611</v>
          </cell>
          <cell r="L58">
            <v>40005</v>
          </cell>
          <cell r="M58">
            <v>56800.95</v>
          </cell>
          <cell r="N58">
            <v>-16795.95</v>
          </cell>
          <cell r="O58" t="str">
            <v>Insufficient</v>
          </cell>
          <cell r="P58">
            <v>40005</v>
          </cell>
          <cell r="Q58">
            <v>25868</v>
          </cell>
          <cell r="R58">
            <v>1916</v>
          </cell>
          <cell r="S58">
            <v>634</v>
          </cell>
          <cell r="T58">
            <v>4</v>
          </cell>
          <cell r="U58">
            <v>1018</v>
          </cell>
          <cell r="V58">
            <v>3572</v>
          </cell>
          <cell r="W58">
            <v>7815</v>
          </cell>
          <cell r="X58">
            <v>1770</v>
          </cell>
          <cell r="Y58">
            <v>90</v>
          </cell>
          <cell r="Z58">
            <v>9675</v>
          </cell>
          <cell r="AA58">
            <v>225</v>
          </cell>
          <cell r="AB58">
            <v>0</v>
          </cell>
          <cell r="AC58">
            <v>0</v>
          </cell>
          <cell r="AD58">
            <v>225</v>
          </cell>
          <cell r="AE58">
            <v>0</v>
          </cell>
          <cell r="AF58">
            <v>600</v>
          </cell>
          <cell r="AG58">
            <v>35</v>
          </cell>
          <cell r="AH58">
            <v>30</v>
          </cell>
          <cell r="AI58">
            <v>665</v>
          </cell>
          <cell r="AJ58">
            <v>0</v>
          </cell>
          <cell r="AK58">
            <v>10565</v>
          </cell>
        </row>
        <row r="59">
          <cell r="A59" t="str">
            <v>ü</v>
          </cell>
          <cell r="B59" t="str">
            <v>ü</v>
          </cell>
          <cell r="F59" t="str">
            <v>Sarasota</v>
          </cell>
          <cell r="G59">
            <v>1920</v>
          </cell>
          <cell r="H59" t="str">
            <v>Q1</v>
          </cell>
          <cell r="I59" t="str">
            <v>Jul-Aug-Sep</v>
          </cell>
          <cell r="J59">
            <v>88534.652312603139</v>
          </cell>
          <cell r="K59">
            <v>18840.667687396864</v>
          </cell>
          <cell r="L59">
            <v>93579</v>
          </cell>
          <cell r="M59">
            <v>107375.32</v>
          </cell>
          <cell r="N59">
            <v>-13796.32</v>
          </cell>
          <cell r="O59" t="str">
            <v>Insufficient</v>
          </cell>
          <cell r="P59">
            <v>93579</v>
          </cell>
          <cell r="Q59">
            <v>37677</v>
          </cell>
          <cell r="R59">
            <v>13027</v>
          </cell>
          <cell r="S59">
            <v>150</v>
          </cell>
          <cell r="T59">
            <v>242</v>
          </cell>
          <cell r="U59">
            <v>1368</v>
          </cell>
          <cell r="V59">
            <v>14787</v>
          </cell>
          <cell r="W59">
            <v>38303</v>
          </cell>
          <cell r="X59">
            <v>1630</v>
          </cell>
          <cell r="Y59">
            <v>0</v>
          </cell>
          <cell r="Z59">
            <v>39933</v>
          </cell>
          <cell r="AA59">
            <v>815</v>
          </cell>
          <cell r="AB59">
            <v>0</v>
          </cell>
          <cell r="AC59">
            <v>0</v>
          </cell>
          <cell r="AD59">
            <v>815</v>
          </cell>
          <cell r="AE59">
            <v>0</v>
          </cell>
          <cell r="AF59">
            <v>367</v>
          </cell>
          <cell r="AG59">
            <v>0</v>
          </cell>
          <cell r="AH59">
            <v>0</v>
          </cell>
          <cell r="AI59">
            <v>367</v>
          </cell>
          <cell r="AJ59">
            <v>0</v>
          </cell>
          <cell r="AK59">
            <v>41115</v>
          </cell>
        </row>
        <row r="60">
          <cell r="A60" t="str">
            <v>ü</v>
          </cell>
          <cell r="B60" t="str">
            <v>ü</v>
          </cell>
          <cell r="F60" t="str">
            <v>Seminole</v>
          </cell>
          <cell r="G60">
            <v>1920</v>
          </cell>
          <cell r="H60" t="str">
            <v>Q1</v>
          </cell>
          <cell r="I60" t="str">
            <v>Jul-Aug-Sep</v>
          </cell>
          <cell r="J60">
            <v>50940.349565573662</v>
          </cell>
          <cell r="K60">
            <v>10840.390434426336</v>
          </cell>
          <cell r="L60">
            <v>51348</v>
          </cell>
          <cell r="M60">
            <v>61780.74</v>
          </cell>
          <cell r="N60">
            <v>-10432.74</v>
          </cell>
          <cell r="O60" t="str">
            <v>Insufficient</v>
          </cell>
          <cell r="P60">
            <v>51348</v>
          </cell>
          <cell r="Q60">
            <v>27883</v>
          </cell>
          <cell r="R60">
            <v>5817</v>
          </cell>
          <cell r="S60">
            <v>2405</v>
          </cell>
          <cell r="T60">
            <v>167</v>
          </cell>
          <cell r="U60">
            <v>0</v>
          </cell>
          <cell r="V60">
            <v>8389</v>
          </cell>
          <cell r="W60">
            <v>12450</v>
          </cell>
          <cell r="X60">
            <v>2400</v>
          </cell>
          <cell r="Y60">
            <v>0</v>
          </cell>
          <cell r="Z60">
            <v>14850</v>
          </cell>
          <cell r="AA60">
            <v>120</v>
          </cell>
          <cell r="AB60">
            <v>0</v>
          </cell>
          <cell r="AC60">
            <v>0</v>
          </cell>
          <cell r="AD60">
            <v>120</v>
          </cell>
          <cell r="AE60">
            <v>0</v>
          </cell>
          <cell r="AF60">
            <v>106</v>
          </cell>
          <cell r="AG60">
            <v>0</v>
          </cell>
          <cell r="AH60">
            <v>0</v>
          </cell>
          <cell r="AI60">
            <v>106</v>
          </cell>
          <cell r="AJ60">
            <v>0</v>
          </cell>
          <cell r="AK60">
            <v>15076</v>
          </cell>
        </row>
        <row r="61">
          <cell r="A61" t="str">
            <v>ü</v>
          </cell>
          <cell r="B61" t="str">
            <v>ü</v>
          </cell>
          <cell r="F61" t="str">
            <v>St. Johns</v>
          </cell>
          <cell r="G61">
            <v>1920</v>
          </cell>
          <cell r="H61" t="str">
            <v>Q1</v>
          </cell>
          <cell r="I61" t="str">
            <v>Jul-Aug-Sep</v>
          </cell>
          <cell r="J61">
            <v>21779.137993104705</v>
          </cell>
          <cell r="K61">
            <v>4634.7220068952947</v>
          </cell>
          <cell r="L61">
            <v>18150</v>
          </cell>
          <cell r="M61">
            <v>26413.86</v>
          </cell>
          <cell r="N61">
            <v>-8263.86</v>
          </cell>
          <cell r="O61" t="str">
            <v>Insufficient</v>
          </cell>
          <cell r="P61">
            <v>18150</v>
          </cell>
          <cell r="Q61">
            <v>11000</v>
          </cell>
          <cell r="R61">
            <v>800</v>
          </cell>
          <cell r="S61">
            <v>0</v>
          </cell>
          <cell r="T61">
            <v>350</v>
          </cell>
          <cell r="U61">
            <v>0</v>
          </cell>
          <cell r="V61">
            <v>1150</v>
          </cell>
          <cell r="W61">
            <v>4000</v>
          </cell>
          <cell r="X61">
            <v>1500</v>
          </cell>
          <cell r="Y61">
            <v>0</v>
          </cell>
          <cell r="Z61">
            <v>5500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200</v>
          </cell>
          <cell r="AG61">
            <v>0</v>
          </cell>
          <cell r="AH61">
            <v>300</v>
          </cell>
          <cell r="AI61">
            <v>500</v>
          </cell>
          <cell r="AJ61">
            <v>0</v>
          </cell>
          <cell r="AK61">
            <v>6000</v>
          </cell>
        </row>
        <row r="62">
          <cell r="A62" t="str">
            <v>ü</v>
          </cell>
          <cell r="B62" t="str">
            <v>ü</v>
          </cell>
          <cell r="F62" t="str">
            <v>St. Lucie</v>
          </cell>
          <cell r="G62">
            <v>1920</v>
          </cell>
          <cell r="H62" t="str">
            <v>Q1</v>
          </cell>
          <cell r="I62" t="str">
            <v>Jul-Aug-Sep</v>
          </cell>
          <cell r="J62">
            <v>112696.64544508516</v>
          </cell>
          <cell r="K62">
            <v>23982.474554914836</v>
          </cell>
          <cell r="L62">
            <v>78649</v>
          </cell>
          <cell r="M62">
            <v>136679.12</v>
          </cell>
          <cell r="N62">
            <v>-58030.12</v>
          </cell>
          <cell r="O62" t="str">
            <v>Insufficient</v>
          </cell>
          <cell r="P62">
            <v>78649</v>
          </cell>
          <cell r="Q62">
            <v>29611</v>
          </cell>
          <cell r="R62">
            <v>8000</v>
          </cell>
          <cell r="S62">
            <v>8963</v>
          </cell>
          <cell r="T62">
            <v>525</v>
          </cell>
          <cell r="U62">
            <v>300</v>
          </cell>
          <cell r="V62">
            <v>17788</v>
          </cell>
          <cell r="W62">
            <v>25000</v>
          </cell>
          <cell r="X62">
            <v>5000</v>
          </cell>
          <cell r="Y62">
            <v>0</v>
          </cell>
          <cell r="Z62">
            <v>30000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1250</v>
          </cell>
          <cell r="AG62">
            <v>0</v>
          </cell>
          <cell r="AH62">
            <v>0</v>
          </cell>
          <cell r="AI62">
            <v>1250</v>
          </cell>
          <cell r="AJ62">
            <v>0</v>
          </cell>
          <cell r="AK62">
            <v>31250</v>
          </cell>
        </row>
        <row r="63">
          <cell r="A63" t="str">
            <v>ü</v>
          </cell>
          <cell r="B63" t="str">
            <v>ü</v>
          </cell>
          <cell r="F63" t="str">
            <v>Sumter</v>
          </cell>
          <cell r="G63">
            <v>1920</v>
          </cell>
          <cell r="H63" t="str">
            <v>Q1</v>
          </cell>
          <cell r="I63" t="str">
            <v>Jul-Aug-Sep</v>
          </cell>
          <cell r="J63">
            <v>21856.47108082355</v>
          </cell>
          <cell r="K63">
            <v>4651.1789191764501</v>
          </cell>
          <cell r="L63">
            <v>17400</v>
          </cell>
          <cell r="M63">
            <v>26507.65</v>
          </cell>
          <cell r="N63">
            <v>-9107.65</v>
          </cell>
          <cell r="O63" t="str">
            <v>Insufficient</v>
          </cell>
          <cell r="P63">
            <v>17400</v>
          </cell>
          <cell r="Q63">
            <v>13800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3300</v>
          </cell>
          <cell r="AD63">
            <v>3300</v>
          </cell>
          <cell r="AE63">
            <v>0</v>
          </cell>
          <cell r="AF63">
            <v>300</v>
          </cell>
          <cell r="AG63">
            <v>0</v>
          </cell>
          <cell r="AH63">
            <v>0</v>
          </cell>
          <cell r="AI63">
            <v>300</v>
          </cell>
          <cell r="AJ63">
            <v>0</v>
          </cell>
          <cell r="AK63">
            <v>3600</v>
          </cell>
        </row>
        <row r="64">
          <cell r="A64" t="str">
            <v>ü</v>
          </cell>
          <cell r="B64" t="str">
            <v>ü</v>
          </cell>
          <cell r="F64" t="str">
            <v>Suwannee</v>
          </cell>
          <cell r="G64">
            <v>1920</v>
          </cell>
          <cell r="H64" t="str">
            <v>Q1</v>
          </cell>
          <cell r="I64" t="str">
            <v>Jul-Aug-Sep</v>
          </cell>
          <cell r="J64">
            <v>6753.4649919338981</v>
          </cell>
          <cell r="K64">
            <v>1437.1750080661013</v>
          </cell>
          <cell r="L64">
            <v>5920</v>
          </cell>
          <cell r="M64">
            <v>8190.6399999999994</v>
          </cell>
          <cell r="N64">
            <v>-2270.64</v>
          </cell>
          <cell r="O64" t="str">
            <v>Insufficient</v>
          </cell>
          <cell r="P64">
            <v>5920</v>
          </cell>
          <cell r="Q64">
            <v>3635</v>
          </cell>
          <cell r="R64">
            <v>375</v>
          </cell>
          <cell r="S64">
            <v>50</v>
          </cell>
          <cell r="T64">
            <v>60</v>
          </cell>
          <cell r="U64">
            <v>0</v>
          </cell>
          <cell r="V64">
            <v>485</v>
          </cell>
          <cell r="W64">
            <v>1800</v>
          </cell>
          <cell r="X64">
            <v>0</v>
          </cell>
          <cell r="Y64">
            <v>0</v>
          </cell>
          <cell r="Z64">
            <v>1800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1800</v>
          </cell>
        </row>
        <row r="65">
          <cell r="A65" t="str">
            <v>ü</v>
          </cell>
          <cell r="B65" t="str">
            <v>ü</v>
          </cell>
          <cell r="F65" t="str">
            <v>Taylor</v>
          </cell>
          <cell r="G65">
            <v>1920</v>
          </cell>
          <cell r="H65" t="str">
            <v>Q1</v>
          </cell>
          <cell r="I65" t="str">
            <v>Jul-Aug-Sep</v>
          </cell>
          <cell r="J65">
            <v>6116.8831562015785</v>
          </cell>
          <cell r="K65">
            <v>1301.7068437984212</v>
          </cell>
          <cell r="L65">
            <v>3804</v>
          </cell>
          <cell r="M65">
            <v>7418.59</v>
          </cell>
          <cell r="N65">
            <v>-3614.59</v>
          </cell>
          <cell r="O65" t="str">
            <v>Insufficient</v>
          </cell>
          <cell r="P65">
            <v>3804</v>
          </cell>
          <cell r="Q65">
            <v>2004</v>
          </cell>
          <cell r="R65">
            <v>415</v>
          </cell>
          <cell r="S65">
            <v>115</v>
          </cell>
          <cell r="T65">
            <v>0</v>
          </cell>
          <cell r="U65">
            <v>0</v>
          </cell>
          <cell r="V65">
            <v>530</v>
          </cell>
          <cell r="W65">
            <v>1000</v>
          </cell>
          <cell r="X65">
            <v>0</v>
          </cell>
          <cell r="Y65">
            <v>0</v>
          </cell>
          <cell r="Z65">
            <v>1000</v>
          </cell>
          <cell r="AA65">
            <v>270</v>
          </cell>
          <cell r="AB65">
            <v>0</v>
          </cell>
          <cell r="AC65">
            <v>0</v>
          </cell>
          <cell r="AD65">
            <v>270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1270</v>
          </cell>
        </row>
        <row r="66">
          <cell r="A66" t="str">
            <v>ü</v>
          </cell>
          <cell r="B66" t="str">
            <v>ü</v>
          </cell>
          <cell r="F66" t="str">
            <v>Union</v>
          </cell>
          <cell r="G66">
            <v>1920</v>
          </cell>
          <cell r="H66" t="str">
            <v>Q1</v>
          </cell>
          <cell r="I66" t="str">
            <v>Jul-Aug-Sep</v>
          </cell>
          <cell r="J66">
            <v>3769.1037130771615</v>
          </cell>
          <cell r="K66">
            <v>802.08628692283912</v>
          </cell>
          <cell r="L66">
            <v>1502</v>
          </cell>
          <cell r="M66">
            <v>4571.1900000000005</v>
          </cell>
          <cell r="N66">
            <v>-3069.19</v>
          </cell>
          <cell r="O66" t="str">
            <v>Insufficient</v>
          </cell>
          <cell r="P66">
            <v>1502</v>
          </cell>
          <cell r="Q66">
            <v>1102</v>
          </cell>
          <cell r="R66">
            <v>150</v>
          </cell>
          <cell r="S66">
            <v>0</v>
          </cell>
          <cell r="T66">
            <v>30</v>
          </cell>
          <cell r="U66">
            <v>0</v>
          </cell>
          <cell r="V66">
            <v>180</v>
          </cell>
          <cell r="W66">
            <v>150</v>
          </cell>
          <cell r="X66">
            <v>0</v>
          </cell>
          <cell r="Y66">
            <v>0</v>
          </cell>
          <cell r="Z66">
            <v>150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70</v>
          </cell>
          <cell r="AG66">
            <v>0</v>
          </cell>
          <cell r="AH66">
            <v>0</v>
          </cell>
          <cell r="AI66">
            <v>70</v>
          </cell>
          <cell r="AJ66">
            <v>0</v>
          </cell>
          <cell r="AK66">
            <v>220</v>
          </cell>
        </row>
        <row r="67">
          <cell r="A67" t="str">
            <v>ü</v>
          </cell>
          <cell r="B67" t="str">
            <v>ü</v>
          </cell>
          <cell r="F67" t="str">
            <v>Volusia</v>
          </cell>
          <cell r="G67">
            <v>1920</v>
          </cell>
          <cell r="H67" t="str">
            <v>Q1</v>
          </cell>
          <cell r="I67" t="str">
            <v>Jul-Aug-Sep</v>
          </cell>
          <cell r="J67">
            <v>49802.492000246806</v>
          </cell>
          <cell r="K67">
            <v>10598.247999753194</v>
          </cell>
          <cell r="L67">
            <v>65950</v>
          </cell>
          <cell r="M67">
            <v>60400.74</v>
          </cell>
          <cell r="N67">
            <v>5549.26</v>
          </cell>
          <cell r="O67" t="str">
            <v>Unexpended</v>
          </cell>
          <cell r="P67">
            <v>65950</v>
          </cell>
          <cell r="Q67">
            <v>34500</v>
          </cell>
          <cell r="R67">
            <v>0</v>
          </cell>
          <cell r="S67">
            <v>0</v>
          </cell>
          <cell r="T67">
            <v>100</v>
          </cell>
          <cell r="U67">
            <v>200</v>
          </cell>
          <cell r="V67">
            <v>300</v>
          </cell>
          <cell r="W67">
            <v>25650</v>
          </cell>
          <cell r="X67">
            <v>5100</v>
          </cell>
          <cell r="Y67">
            <v>0</v>
          </cell>
          <cell r="Z67">
            <v>30750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400</v>
          </cell>
          <cell r="AG67">
            <v>0</v>
          </cell>
          <cell r="AH67">
            <v>0</v>
          </cell>
          <cell r="AI67">
            <v>400</v>
          </cell>
          <cell r="AJ67">
            <v>0</v>
          </cell>
          <cell r="AK67">
            <v>31150</v>
          </cell>
        </row>
        <row r="68">
          <cell r="A68" t="str">
            <v>ü</v>
          </cell>
          <cell r="B68" t="str">
            <v>ü</v>
          </cell>
          <cell r="F68" t="str">
            <v>Wakulla</v>
          </cell>
          <cell r="G68">
            <v>1920</v>
          </cell>
          <cell r="H68" t="str">
            <v>Q1</v>
          </cell>
          <cell r="I68" t="str">
            <v>Jul-Aug-Sep</v>
          </cell>
          <cell r="J68">
            <v>3747.1875869276041</v>
          </cell>
          <cell r="K68">
            <v>797.42241307239544</v>
          </cell>
          <cell r="L68">
            <v>9119</v>
          </cell>
          <cell r="M68">
            <v>4544.6099999999997</v>
          </cell>
          <cell r="N68">
            <v>4574.3900000000003</v>
          </cell>
          <cell r="O68" t="str">
            <v>Unexpended</v>
          </cell>
          <cell r="P68">
            <v>9119</v>
          </cell>
          <cell r="Q68">
            <v>8834</v>
          </cell>
          <cell r="R68">
            <v>35</v>
          </cell>
          <cell r="S68">
            <v>0</v>
          </cell>
          <cell r="T68">
            <v>100</v>
          </cell>
          <cell r="U68">
            <v>0</v>
          </cell>
          <cell r="V68">
            <v>135</v>
          </cell>
          <cell r="W68">
            <v>120</v>
          </cell>
          <cell r="X68">
            <v>30</v>
          </cell>
          <cell r="Y68">
            <v>0</v>
          </cell>
          <cell r="Z68">
            <v>150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150</v>
          </cell>
        </row>
        <row r="69">
          <cell r="A69" t="str">
            <v>ü</v>
          </cell>
          <cell r="B69" t="str">
            <v>ü</v>
          </cell>
          <cell r="F69" t="str">
            <v>Walton</v>
          </cell>
          <cell r="G69">
            <v>1920</v>
          </cell>
          <cell r="H69" t="str">
            <v>Q1</v>
          </cell>
          <cell r="I69" t="str">
            <v>Jul-Aug-Sep</v>
          </cell>
          <cell r="J69">
            <v>20306.717322193042</v>
          </cell>
          <cell r="K69">
            <v>4321.3826778069542</v>
          </cell>
          <cell r="L69">
            <v>16800</v>
          </cell>
          <cell r="M69">
            <v>24628.1</v>
          </cell>
          <cell r="N69">
            <v>-7828.1</v>
          </cell>
          <cell r="O69" t="str">
            <v>Insufficient</v>
          </cell>
          <cell r="P69">
            <v>16800</v>
          </cell>
          <cell r="Q69">
            <v>12000</v>
          </cell>
          <cell r="R69">
            <v>900</v>
          </cell>
          <cell r="S69">
            <v>0</v>
          </cell>
          <cell r="T69">
            <v>0</v>
          </cell>
          <cell r="U69">
            <v>0</v>
          </cell>
          <cell r="V69">
            <v>900</v>
          </cell>
          <cell r="W69">
            <v>2500</v>
          </cell>
          <cell r="X69">
            <v>0</v>
          </cell>
          <cell r="Y69">
            <v>0</v>
          </cell>
          <cell r="Z69">
            <v>2500</v>
          </cell>
          <cell r="AA69">
            <v>1000</v>
          </cell>
          <cell r="AB69">
            <v>0</v>
          </cell>
          <cell r="AC69">
            <v>0</v>
          </cell>
          <cell r="AD69">
            <v>1000</v>
          </cell>
          <cell r="AE69">
            <v>0</v>
          </cell>
          <cell r="AF69">
            <v>300</v>
          </cell>
          <cell r="AG69">
            <v>0</v>
          </cell>
          <cell r="AH69">
            <v>100</v>
          </cell>
          <cell r="AI69">
            <v>400</v>
          </cell>
          <cell r="AJ69">
            <v>0</v>
          </cell>
          <cell r="AK69">
            <v>3900</v>
          </cell>
        </row>
        <row r="70">
          <cell r="A70" t="str">
            <v>ü</v>
          </cell>
          <cell r="B70" t="str">
            <v>ü</v>
          </cell>
          <cell r="F70" t="str">
            <v>Washington</v>
          </cell>
          <cell r="G70">
            <v>1920</v>
          </cell>
          <cell r="H70" t="str">
            <v>Q1</v>
          </cell>
          <cell r="I70" t="str">
            <v>Jul-Aug-Sep</v>
          </cell>
          <cell r="J70">
            <v>8859.7382894900293</v>
          </cell>
          <cell r="K70">
            <v>1885.4017105099711</v>
          </cell>
          <cell r="L70">
            <v>10700</v>
          </cell>
          <cell r="M70">
            <v>10745.14</v>
          </cell>
          <cell r="N70">
            <v>-45.14</v>
          </cell>
          <cell r="O70" t="str">
            <v>Insufficient</v>
          </cell>
          <cell r="P70">
            <v>10700</v>
          </cell>
          <cell r="Q70">
            <v>7250</v>
          </cell>
          <cell r="R70">
            <v>1000</v>
          </cell>
          <cell r="S70">
            <v>0</v>
          </cell>
          <cell r="T70">
            <v>500</v>
          </cell>
          <cell r="U70">
            <v>0</v>
          </cell>
          <cell r="V70">
            <v>1500</v>
          </cell>
          <cell r="W70">
            <v>1500</v>
          </cell>
          <cell r="X70">
            <v>0</v>
          </cell>
          <cell r="Y70">
            <v>0</v>
          </cell>
          <cell r="Z70">
            <v>1500</v>
          </cell>
          <cell r="AA70">
            <v>450</v>
          </cell>
          <cell r="AB70">
            <v>0</v>
          </cell>
          <cell r="AC70">
            <v>0</v>
          </cell>
          <cell r="AD70">
            <v>450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1950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s w JAC Endorsement"/>
      <sheetName val="Sheet1"/>
      <sheetName val="Adj Endorsement Amts"/>
      <sheetName val="CCOC Format Prorated"/>
      <sheetName val="Cross-Walk_2_for Adjs"/>
      <sheetName val="Cross-Wal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Alachua</v>
          </cell>
          <cell r="B2">
            <v>54200</v>
          </cell>
          <cell r="C2">
            <v>21664.51</v>
          </cell>
          <cell r="D2">
            <v>0</v>
          </cell>
          <cell r="E2">
            <v>75864.509999999995</v>
          </cell>
        </row>
        <row r="3">
          <cell r="A3" t="str">
            <v>Baker</v>
          </cell>
          <cell r="B3">
            <v>4395</v>
          </cell>
          <cell r="C3">
            <v>5762.02</v>
          </cell>
          <cell r="D3">
            <v>0</v>
          </cell>
          <cell r="E3">
            <v>10157.02</v>
          </cell>
        </row>
        <row r="4">
          <cell r="A4" t="str">
            <v>Bay</v>
          </cell>
          <cell r="B4">
            <v>48450</v>
          </cell>
          <cell r="C4">
            <v>1144.1500000000001</v>
          </cell>
          <cell r="D4">
            <v>0</v>
          </cell>
          <cell r="E4">
            <v>49594.15</v>
          </cell>
        </row>
        <row r="5">
          <cell r="A5" t="str">
            <v>Bradford</v>
          </cell>
          <cell r="B5">
            <v>6011</v>
          </cell>
          <cell r="C5">
            <v>0</v>
          </cell>
          <cell r="D5">
            <v>15742.31</v>
          </cell>
          <cell r="E5">
            <v>0</v>
          </cell>
        </row>
        <row r="6">
          <cell r="A6" t="str">
            <v>Brevard</v>
          </cell>
          <cell r="B6">
            <v>111355</v>
          </cell>
          <cell r="C6">
            <v>7510.75</v>
          </cell>
          <cell r="D6">
            <v>0</v>
          </cell>
          <cell r="E6">
            <v>118865.75</v>
          </cell>
        </row>
        <row r="7">
          <cell r="A7" t="str">
            <v>Broward</v>
          </cell>
          <cell r="B7">
            <v>198060</v>
          </cell>
          <cell r="C7">
            <v>26249.35</v>
          </cell>
          <cell r="D7">
            <v>0</v>
          </cell>
          <cell r="E7">
            <v>224309.35</v>
          </cell>
        </row>
        <row r="8">
          <cell r="A8" t="str">
            <v>Calhoun</v>
          </cell>
          <cell r="B8">
            <v>4035</v>
          </cell>
          <cell r="C8">
            <v>477.25</v>
          </cell>
          <cell r="D8">
            <v>0</v>
          </cell>
          <cell r="E8">
            <v>4512.25</v>
          </cell>
        </row>
        <row r="9">
          <cell r="A9" t="str">
            <v>Charlotte</v>
          </cell>
          <cell r="B9">
            <v>38292</v>
          </cell>
          <cell r="C9">
            <v>928.02</v>
          </cell>
          <cell r="D9">
            <v>0</v>
          </cell>
          <cell r="E9">
            <v>39220.019999999997</v>
          </cell>
        </row>
        <row r="10">
          <cell r="A10" t="str">
            <v>Citrus</v>
          </cell>
          <cell r="B10">
            <v>16950</v>
          </cell>
          <cell r="C10">
            <v>6716.07</v>
          </cell>
          <cell r="D10">
            <v>0</v>
          </cell>
          <cell r="E10">
            <v>23666.07</v>
          </cell>
        </row>
        <row r="11">
          <cell r="A11" t="str">
            <v>Clay</v>
          </cell>
          <cell r="B11">
            <v>20422</v>
          </cell>
          <cell r="C11">
            <v>0</v>
          </cell>
          <cell r="D11">
            <v>3991.32</v>
          </cell>
          <cell r="E11">
            <v>16430.68</v>
          </cell>
        </row>
        <row r="12">
          <cell r="A12" t="str">
            <v>Collier</v>
          </cell>
          <cell r="B12">
            <v>61570</v>
          </cell>
          <cell r="C12">
            <v>8129.18</v>
          </cell>
          <cell r="D12">
            <v>0</v>
          </cell>
          <cell r="E12">
            <v>69699.179999999993</v>
          </cell>
        </row>
        <row r="13">
          <cell r="A13" t="str">
            <v>Columbia</v>
          </cell>
          <cell r="B13">
            <v>15352</v>
          </cell>
          <cell r="C13">
            <v>0</v>
          </cell>
          <cell r="D13">
            <v>686.06</v>
          </cell>
          <cell r="E13">
            <v>14665.94</v>
          </cell>
        </row>
        <row r="14">
          <cell r="A14" t="str">
            <v>Dade</v>
          </cell>
          <cell r="B14">
            <v>302112</v>
          </cell>
          <cell r="C14">
            <v>0</v>
          </cell>
          <cell r="D14">
            <v>67227.48</v>
          </cell>
          <cell r="E14">
            <v>234884.52</v>
          </cell>
        </row>
        <row r="15">
          <cell r="A15" t="str">
            <v>Desoto</v>
          </cell>
          <cell r="B15">
            <v>8150</v>
          </cell>
          <cell r="C15">
            <v>1905.75</v>
          </cell>
          <cell r="D15">
            <v>0</v>
          </cell>
          <cell r="E15">
            <v>10055.75</v>
          </cell>
        </row>
        <row r="16">
          <cell r="A16" t="str">
            <v>Dixie</v>
          </cell>
          <cell r="B16">
            <v>2715</v>
          </cell>
          <cell r="C16">
            <v>0</v>
          </cell>
          <cell r="D16">
            <v>7490.42</v>
          </cell>
          <cell r="E16">
            <v>0</v>
          </cell>
        </row>
        <row r="17">
          <cell r="A17" t="str">
            <v>Duval</v>
          </cell>
          <cell r="B17">
            <v>132428</v>
          </cell>
          <cell r="C17">
            <v>15309.21</v>
          </cell>
          <cell r="D17">
            <v>0</v>
          </cell>
          <cell r="E17">
            <v>147737.21</v>
          </cell>
        </row>
        <row r="18">
          <cell r="A18" t="str">
            <v>Escambia</v>
          </cell>
          <cell r="B18">
            <v>69521</v>
          </cell>
          <cell r="C18">
            <v>10426.120000000001</v>
          </cell>
          <cell r="D18">
            <v>0</v>
          </cell>
          <cell r="E18">
            <v>79947.12</v>
          </cell>
        </row>
        <row r="19">
          <cell r="A19" t="str">
            <v>Flagler</v>
          </cell>
          <cell r="B19">
            <v>15700</v>
          </cell>
          <cell r="C19">
            <v>0</v>
          </cell>
          <cell r="D19">
            <v>3513.66</v>
          </cell>
          <cell r="E19">
            <v>12186.34</v>
          </cell>
        </row>
        <row r="20">
          <cell r="A20" t="str">
            <v>Franklin</v>
          </cell>
          <cell r="B20">
            <v>4825</v>
          </cell>
          <cell r="C20">
            <v>0</v>
          </cell>
          <cell r="D20">
            <v>988.8</v>
          </cell>
          <cell r="E20">
            <v>3836.2</v>
          </cell>
        </row>
        <row r="21">
          <cell r="A21" t="str">
            <v>Gadsden</v>
          </cell>
          <cell r="B21">
            <v>13767</v>
          </cell>
          <cell r="C21">
            <v>0</v>
          </cell>
          <cell r="D21">
            <v>1941.33</v>
          </cell>
          <cell r="E21">
            <v>11825.67</v>
          </cell>
        </row>
        <row r="22">
          <cell r="A22" t="str">
            <v>Gilchrist</v>
          </cell>
          <cell r="B22">
            <v>5648</v>
          </cell>
          <cell r="C22">
            <v>0</v>
          </cell>
          <cell r="D22">
            <v>14004.36</v>
          </cell>
          <cell r="E22">
            <v>0</v>
          </cell>
        </row>
        <row r="23">
          <cell r="A23" t="str">
            <v>Glades</v>
          </cell>
          <cell r="B23">
            <v>4875</v>
          </cell>
          <cell r="C23">
            <v>0</v>
          </cell>
          <cell r="D23">
            <v>183.01</v>
          </cell>
          <cell r="E23">
            <v>4691.99</v>
          </cell>
        </row>
        <row r="24">
          <cell r="A24" t="str">
            <v>Gulf</v>
          </cell>
          <cell r="B24">
            <v>6498</v>
          </cell>
          <cell r="C24">
            <v>0</v>
          </cell>
          <cell r="D24">
            <v>273.25</v>
          </cell>
          <cell r="E24">
            <v>6224.75</v>
          </cell>
        </row>
        <row r="25">
          <cell r="A25" t="str">
            <v>Hamilton</v>
          </cell>
          <cell r="B25">
            <v>3668</v>
          </cell>
          <cell r="C25">
            <v>1733.43</v>
          </cell>
          <cell r="D25">
            <v>0</v>
          </cell>
          <cell r="E25">
            <v>5401.43</v>
          </cell>
        </row>
        <row r="26">
          <cell r="A26" t="str">
            <v>Hardee</v>
          </cell>
          <cell r="B26">
            <v>8675</v>
          </cell>
          <cell r="C26">
            <v>6647.7</v>
          </cell>
          <cell r="D26">
            <v>0</v>
          </cell>
          <cell r="E26">
            <v>15322.7</v>
          </cell>
        </row>
        <row r="27">
          <cell r="A27" t="str">
            <v>Hendry</v>
          </cell>
          <cell r="B27">
            <v>16000</v>
          </cell>
          <cell r="C27">
            <v>6530.19</v>
          </cell>
          <cell r="D27">
            <v>0</v>
          </cell>
          <cell r="E27">
            <v>22530.19</v>
          </cell>
        </row>
        <row r="28">
          <cell r="A28" t="str">
            <v>Hernando</v>
          </cell>
          <cell r="B28">
            <v>42350</v>
          </cell>
          <cell r="C28">
            <v>6649.47</v>
          </cell>
          <cell r="D28">
            <v>0</v>
          </cell>
          <cell r="E28">
            <v>48999.47</v>
          </cell>
        </row>
        <row r="29">
          <cell r="A29" t="str">
            <v>Highlands</v>
          </cell>
          <cell r="B29">
            <v>21610</v>
          </cell>
          <cell r="C29">
            <v>0</v>
          </cell>
          <cell r="D29">
            <v>7031.2</v>
          </cell>
          <cell r="E29">
            <v>14578.8</v>
          </cell>
        </row>
        <row r="30">
          <cell r="A30" t="str">
            <v>Hillsborough</v>
          </cell>
          <cell r="B30">
            <v>133105</v>
          </cell>
          <cell r="C30">
            <v>0</v>
          </cell>
          <cell r="D30">
            <v>21953.1</v>
          </cell>
          <cell r="E30">
            <v>111151.9</v>
          </cell>
        </row>
        <row r="31">
          <cell r="A31" t="str">
            <v>Holmes</v>
          </cell>
          <cell r="B31">
            <v>5156</v>
          </cell>
          <cell r="C31">
            <v>0</v>
          </cell>
          <cell r="D31">
            <v>1793.59</v>
          </cell>
          <cell r="E31">
            <v>3362.41</v>
          </cell>
        </row>
        <row r="32">
          <cell r="A32" t="str">
            <v>Indian River</v>
          </cell>
          <cell r="B32">
            <v>32449</v>
          </cell>
          <cell r="C32">
            <v>8723.77</v>
          </cell>
          <cell r="D32">
            <v>0</v>
          </cell>
          <cell r="E32">
            <v>41172.769999999997</v>
          </cell>
        </row>
        <row r="33">
          <cell r="A33" t="str">
            <v>Jackson</v>
          </cell>
          <cell r="B33">
            <v>8300</v>
          </cell>
          <cell r="C33">
            <v>2365.04</v>
          </cell>
          <cell r="D33">
            <v>0</v>
          </cell>
          <cell r="E33">
            <v>10665.04</v>
          </cell>
        </row>
        <row r="34">
          <cell r="A34" t="str">
            <v>Jefferson</v>
          </cell>
          <cell r="B34">
            <v>9531</v>
          </cell>
          <cell r="C34">
            <v>7079.87</v>
          </cell>
          <cell r="D34">
            <v>0</v>
          </cell>
          <cell r="E34">
            <v>16610.87</v>
          </cell>
        </row>
        <row r="35">
          <cell r="A35" t="str">
            <v>Lafayette</v>
          </cell>
          <cell r="B35">
            <v>2650</v>
          </cell>
          <cell r="C35">
            <v>1495.65</v>
          </cell>
          <cell r="D35">
            <v>0</v>
          </cell>
          <cell r="E35">
            <v>4145.6499999999996</v>
          </cell>
        </row>
        <row r="36">
          <cell r="A36" t="str">
            <v>Lake</v>
          </cell>
          <cell r="B36">
            <v>57441</v>
          </cell>
          <cell r="C36">
            <v>0</v>
          </cell>
          <cell r="D36">
            <v>4486.96</v>
          </cell>
          <cell r="E36">
            <v>52954.04</v>
          </cell>
        </row>
        <row r="37">
          <cell r="A37" t="str">
            <v>Lee</v>
          </cell>
          <cell r="B37">
            <v>62112</v>
          </cell>
          <cell r="C37">
            <v>0</v>
          </cell>
          <cell r="D37">
            <v>5152.1400000000003</v>
          </cell>
          <cell r="E37">
            <v>56959.86</v>
          </cell>
        </row>
        <row r="38">
          <cell r="A38" t="str">
            <v>Leon</v>
          </cell>
          <cell r="B38">
            <v>51500</v>
          </cell>
          <cell r="C38">
            <v>32293.38</v>
          </cell>
          <cell r="D38">
            <v>0</v>
          </cell>
          <cell r="E38">
            <v>83793.38</v>
          </cell>
        </row>
        <row r="39">
          <cell r="A39" t="str">
            <v>Levy</v>
          </cell>
          <cell r="B39">
            <v>15287</v>
          </cell>
          <cell r="C39">
            <v>0</v>
          </cell>
          <cell r="D39">
            <v>6708.44</v>
          </cell>
          <cell r="E39">
            <v>8578.56</v>
          </cell>
        </row>
        <row r="40">
          <cell r="A40" t="str">
            <v>Liberty</v>
          </cell>
          <cell r="B40">
            <v>3972</v>
          </cell>
          <cell r="C40">
            <v>1623.14</v>
          </cell>
          <cell r="D40">
            <v>0</v>
          </cell>
          <cell r="E40">
            <v>5595.14</v>
          </cell>
        </row>
        <row r="41">
          <cell r="A41" t="str">
            <v>Madison</v>
          </cell>
          <cell r="B41">
            <v>8510</v>
          </cell>
          <cell r="C41">
            <v>0</v>
          </cell>
          <cell r="D41">
            <v>3329.36</v>
          </cell>
          <cell r="E41">
            <v>5180.6400000000003</v>
          </cell>
        </row>
        <row r="42">
          <cell r="A42" t="str">
            <v>Manatee</v>
          </cell>
          <cell r="B42">
            <v>37088</v>
          </cell>
          <cell r="C42">
            <v>0</v>
          </cell>
          <cell r="D42">
            <v>2581.71</v>
          </cell>
          <cell r="E42">
            <v>34506.29</v>
          </cell>
        </row>
        <row r="43">
          <cell r="A43" t="str">
            <v>Marion</v>
          </cell>
          <cell r="B43">
            <v>54134</v>
          </cell>
          <cell r="C43">
            <v>329.96</v>
          </cell>
          <cell r="D43">
            <v>0</v>
          </cell>
          <cell r="E43">
            <v>54463.96</v>
          </cell>
        </row>
        <row r="44">
          <cell r="A44" t="str">
            <v>Martin</v>
          </cell>
          <cell r="B44">
            <v>34425</v>
          </cell>
          <cell r="C44">
            <v>5264.94</v>
          </cell>
          <cell r="D44">
            <v>0</v>
          </cell>
          <cell r="E44">
            <v>39689.94</v>
          </cell>
        </row>
        <row r="45">
          <cell r="A45" t="str">
            <v>Monroe</v>
          </cell>
          <cell r="B45">
            <v>44933</v>
          </cell>
          <cell r="C45">
            <v>24337.31</v>
          </cell>
          <cell r="D45">
            <v>0</v>
          </cell>
          <cell r="E45">
            <v>69270.31</v>
          </cell>
        </row>
        <row r="46">
          <cell r="A46" t="str">
            <v>Nassau</v>
          </cell>
          <cell r="B46">
            <v>15374</v>
          </cell>
          <cell r="C46">
            <v>1243.07</v>
          </cell>
          <cell r="D46">
            <v>0</v>
          </cell>
          <cell r="E46">
            <v>16617.07</v>
          </cell>
        </row>
        <row r="47">
          <cell r="A47" t="str">
            <v>Okaloosa</v>
          </cell>
          <cell r="B47">
            <v>23163</v>
          </cell>
          <cell r="C47">
            <v>1672.33</v>
          </cell>
          <cell r="D47">
            <v>0</v>
          </cell>
          <cell r="E47">
            <v>24835.33</v>
          </cell>
        </row>
        <row r="48">
          <cell r="A48" t="str">
            <v>Okeechobee</v>
          </cell>
          <cell r="B48">
            <v>15680</v>
          </cell>
          <cell r="C48">
            <v>5439.37</v>
          </cell>
          <cell r="D48">
            <v>0</v>
          </cell>
          <cell r="E48">
            <v>21119.37</v>
          </cell>
        </row>
        <row r="49">
          <cell r="A49" t="str">
            <v>Orange</v>
          </cell>
          <cell r="B49">
            <v>189055</v>
          </cell>
          <cell r="C49">
            <v>16850.16</v>
          </cell>
          <cell r="D49">
            <v>0</v>
          </cell>
          <cell r="E49">
            <v>205905.16</v>
          </cell>
        </row>
        <row r="50">
          <cell r="A50" t="str">
            <v>Osceola</v>
          </cell>
          <cell r="B50">
            <v>67353</v>
          </cell>
          <cell r="C50">
            <v>0</v>
          </cell>
          <cell r="D50">
            <v>979.13</v>
          </cell>
          <cell r="E50">
            <v>66373.87</v>
          </cell>
        </row>
        <row r="51">
          <cell r="A51" t="str">
            <v>Palm Beach</v>
          </cell>
          <cell r="B51">
            <v>204808</v>
          </cell>
          <cell r="C51">
            <v>10933.52</v>
          </cell>
          <cell r="D51">
            <v>0</v>
          </cell>
          <cell r="E51">
            <v>215741.52</v>
          </cell>
        </row>
        <row r="52">
          <cell r="A52" t="str">
            <v>Pasco</v>
          </cell>
          <cell r="B52">
            <v>30747</v>
          </cell>
          <cell r="C52">
            <v>7453.6</v>
          </cell>
          <cell r="D52">
            <v>0</v>
          </cell>
          <cell r="E52">
            <v>38200.6</v>
          </cell>
        </row>
        <row r="53">
          <cell r="A53" t="str">
            <v>Pinellas</v>
          </cell>
          <cell r="B53">
            <v>165710</v>
          </cell>
          <cell r="C53">
            <v>0</v>
          </cell>
          <cell r="D53">
            <v>16703.439999999999</v>
          </cell>
          <cell r="E53">
            <v>149006.56</v>
          </cell>
        </row>
        <row r="54">
          <cell r="A54" t="str">
            <v>Polk</v>
          </cell>
          <cell r="B54">
            <v>85600</v>
          </cell>
          <cell r="C54">
            <v>4585.1499999999996</v>
          </cell>
          <cell r="D54">
            <v>0</v>
          </cell>
          <cell r="E54">
            <v>90185.15</v>
          </cell>
        </row>
        <row r="55">
          <cell r="A55" t="str">
            <v>Putnam</v>
          </cell>
          <cell r="B55">
            <v>27600</v>
          </cell>
          <cell r="C55">
            <v>0</v>
          </cell>
          <cell r="D55">
            <v>12843.84</v>
          </cell>
          <cell r="E55">
            <v>14756.16</v>
          </cell>
        </row>
        <row r="56">
          <cell r="A56" t="str">
            <v>Santa Rosa</v>
          </cell>
          <cell r="B56">
            <v>38830</v>
          </cell>
          <cell r="C56">
            <v>11731.22</v>
          </cell>
          <cell r="D56">
            <v>0</v>
          </cell>
          <cell r="E56">
            <v>50561.22</v>
          </cell>
        </row>
        <row r="57">
          <cell r="A57" t="str">
            <v>Sarasota</v>
          </cell>
          <cell r="B57">
            <v>87928</v>
          </cell>
          <cell r="C57">
            <v>0</v>
          </cell>
          <cell r="D57">
            <v>3669.46</v>
          </cell>
          <cell r="E57">
            <v>84258.54</v>
          </cell>
        </row>
        <row r="58">
          <cell r="A58" t="str">
            <v>Seminole</v>
          </cell>
          <cell r="B58">
            <v>59231</v>
          </cell>
          <cell r="C58">
            <v>32144.26</v>
          </cell>
          <cell r="D58">
            <v>0</v>
          </cell>
          <cell r="E58">
            <v>91375.26</v>
          </cell>
        </row>
        <row r="59">
          <cell r="A59" t="str">
            <v>St. Johns</v>
          </cell>
          <cell r="B59">
            <v>19700</v>
          </cell>
          <cell r="C59">
            <v>4561.53</v>
          </cell>
          <cell r="D59">
            <v>0</v>
          </cell>
          <cell r="E59">
            <v>24261.53</v>
          </cell>
        </row>
        <row r="60">
          <cell r="A60" t="str">
            <v>St. Lucie</v>
          </cell>
          <cell r="B60">
            <v>77975</v>
          </cell>
          <cell r="C60">
            <v>0</v>
          </cell>
          <cell r="D60">
            <v>16783.97</v>
          </cell>
          <cell r="E60">
            <v>61191.03</v>
          </cell>
        </row>
        <row r="61">
          <cell r="A61" t="str">
            <v>Sumter</v>
          </cell>
          <cell r="B61">
            <v>16125</v>
          </cell>
          <cell r="C61">
            <v>0</v>
          </cell>
          <cell r="D61">
            <v>0</v>
          </cell>
          <cell r="E61">
            <v>16125</v>
          </cell>
        </row>
        <row r="62">
          <cell r="A62" t="str">
            <v>Suwannee</v>
          </cell>
          <cell r="B62">
            <v>5262</v>
          </cell>
          <cell r="C62">
            <v>0</v>
          </cell>
          <cell r="D62">
            <v>1575.74</v>
          </cell>
          <cell r="E62">
            <v>3686.26</v>
          </cell>
        </row>
        <row r="63">
          <cell r="A63" t="str">
            <v>Taylor</v>
          </cell>
          <cell r="B63">
            <v>2978</v>
          </cell>
          <cell r="C63">
            <v>470.08</v>
          </cell>
          <cell r="D63">
            <v>0</v>
          </cell>
          <cell r="E63">
            <v>3448.08</v>
          </cell>
        </row>
        <row r="64">
          <cell r="A64" t="str">
            <v>Union</v>
          </cell>
          <cell r="B64">
            <v>3510.6675</v>
          </cell>
          <cell r="C64">
            <v>0</v>
          </cell>
          <cell r="D64">
            <v>0</v>
          </cell>
          <cell r="E64">
            <v>1799.7275</v>
          </cell>
        </row>
        <row r="65">
          <cell r="A65" t="str">
            <v>Volusia</v>
          </cell>
          <cell r="B65">
            <v>85100</v>
          </cell>
          <cell r="C65">
            <v>4536.0200000000004</v>
          </cell>
          <cell r="D65">
            <v>0</v>
          </cell>
          <cell r="E65">
            <v>89636.02</v>
          </cell>
        </row>
        <row r="66">
          <cell r="A66" t="str">
            <v>Wakulla</v>
          </cell>
          <cell r="B66">
            <v>9709</v>
          </cell>
          <cell r="C66">
            <v>731.66</v>
          </cell>
          <cell r="D66">
            <v>0</v>
          </cell>
          <cell r="E66">
            <v>10440.66</v>
          </cell>
        </row>
        <row r="67">
          <cell r="A67" t="str">
            <v>Walton</v>
          </cell>
          <cell r="B67">
            <v>13400</v>
          </cell>
          <cell r="C67">
            <v>0</v>
          </cell>
          <cell r="D67">
            <v>5089.3900000000003</v>
          </cell>
          <cell r="E67">
            <v>8310.61</v>
          </cell>
        </row>
        <row r="68">
          <cell r="A68" t="str">
            <v>Washington</v>
          </cell>
          <cell r="B68">
            <v>10539</v>
          </cell>
          <cell r="C68">
            <v>0</v>
          </cell>
          <cell r="D68">
            <v>2047.29</v>
          </cell>
          <cell r="E68">
            <v>8491.7099999999991</v>
          </cell>
        </row>
      </sheetData>
      <sheetData sheetId="5">
        <row r="5">
          <cell r="A5" t="str">
            <v>Alachua</v>
          </cell>
          <cell r="B5">
            <v>16300</v>
          </cell>
          <cell r="C5">
            <v>20300</v>
          </cell>
          <cell r="D5">
            <v>4000</v>
          </cell>
          <cell r="E5">
            <v>0</v>
          </cell>
          <cell r="F5">
            <v>30000</v>
          </cell>
          <cell r="G5">
            <v>3900</v>
          </cell>
        </row>
        <row r="6">
          <cell r="A6" t="str">
            <v>Baker</v>
          </cell>
          <cell r="B6">
            <v>700</v>
          </cell>
          <cell r="C6">
            <v>900</v>
          </cell>
          <cell r="D6">
            <v>200</v>
          </cell>
          <cell r="E6">
            <v>0</v>
          </cell>
          <cell r="F6">
            <v>3100</v>
          </cell>
          <cell r="G6">
            <v>395</v>
          </cell>
        </row>
        <row r="7">
          <cell r="A7" t="str">
            <v>Bay</v>
          </cell>
          <cell r="B7">
            <v>13500</v>
          </cell>
          <cell r="C7">
            <v>13650</v>
          </cell>
          <cell r="D7">
            <v>150</v>
          </cell>
          <cell r="E7">
            <v>0</v>
          </cell>
          <cell r="F7">
            <v>25000</v>
          </cell>
          <cell r="G7">
            <v>9800</v>
          </cell>
        </row>
        <row r="8">
          <cell r="A8" t="str">
            <v>Bradford</v>
          </cell>
          <cell r="B8">
            <v>2300</v>
          </cell>
          <cell r="C8">
            <v>2800</v>
          </cell>
          <cell r="D8">
            <v>500</v>
          </cell>
          <cell r="E8">
            <v>0</v>
          </cell>
          <cell r="F8">
            <v>2600</v>
          </cell>
          <cell r="G8">
            <v>611</v>
          </cell>
        </row>
        <row r="9">
          <cell r="A9" t="str">
            <v>Brevard</v>
          </cell>
          <cell r="B9">
            <v>57000</v>
          </cell>
          <cell r="C9">
            <v>58700</v>
          </cell>
          <cell r="D9">
            <v>1700</v>
          </cell>
          <cell r="E9">
            <v>0</v>
          </cell>
          <cell r="F9">
            <v>46000</v>
          </cell>
          <cell r="G9">
            <v>6655</v>
          </cell>
        </row>
        <row r="10">
          <cell r="A10" t="str">
            <v>Broward</v>
          </cell>
          <cell r="B10">
            <v>105130</v>
          </cell>
          <cell r="C10">
            <v>111840</v>
          </cell>
          <cell r="D10">
            <v>1120</v>
          </cell>
          <cell r="E10">
            <v>5590</v>
          </cell>
          <cell r="F10">
            <v>61500</v>
          </cell>
          <cell r="G10">
            <v>24720</v>
          </cell>
        </row>
        <row r="11">
          <cell r="A11" t="str">
            <v>Calhoun</v>
          </cell>
          <cell r="B11">
            <v>2400</v>
          </cell>
          <cell r="C11">
            <v>2400</v>
          </cell>
          <cell r="D11">
            <v>0</v>
          </cell>
          <cell r="E11">
            <v>0</v>
          </cell>
          <cell r="F11">
            <v>1410</v>
          </cell>
          <cell r="G11">
            <v>225</v>
          </cell>
        </row>
        <row r="12">
          <cell r="A12" t="str">
            <v>Charlotte</v>
          </cell>
          <cell r="B12">
            <v>11865</v>
          </cell>
          <cell r="C12">
            <v>11965</v>
          </cell>
          <cell r="D12">
            <v>100</v>
          </cell>
          <cell r="E12">
            <v>0</v>
          </cell>
          <cell r="F12">
            <v>20327</v>
          </cell>
          <cell r="G12">
            <v>6000</v>
          </cell>
        </row>
        <row r="13">
          <cell r="A13" t="str">
            <v>Citrus</v>
          </cell>
          <cell r="B13">
            <v>8320</v>
          </cell>
          <cell r="C13">
            <v>8320</v>
          </cell>
          <cell r="D13">
            <v>0</v>
          </cell>
          <cell r="E13">
            <v>0</v>
          </cell>
          <cell r="F13">
            <v>7200</v>
          </cell>
          <cell r="G13">
            <v>1430</v>
          </cell>
        </row>
        <row r="14">
          <cell r="A14" t="str">
            <v>Clay</v>
          </cell>
          <cell r="B14">
            <v>5000</v>
          </cell>
          <cell r="C14">
            <v>5200</v>
          </cell>
          <cell r="D14">
            <v>200</v>
          </cell>
          <cell r="E14">
            <v>0</v>
          </cell>
          <cell r="F14">
            <v>10402</v>
          </cell>
          <cell r="G14">
            <v>4820</v>
          </cell>
        </row>
        <row r="15">
          <cell r="A15" t="str">
            <v>Collier</v>
          </cell>
          <cell r="B15">
            <v>18750</v>
          </cell>
          <cell r="C15">
            <v>20000</v>
          </cell>
          <cell r="D15">
            <v>1250</v>
          </cell>
          <cell r="E15">
            <v>0</v>
          </cell>
          <cell r="F15">
            <v>34931</v>
          </cell>
          <cell r="G15">
            <v>6639</v>
          </cell>
        </row>
        <row r="16">
          <cell r="A16" t="str">
            <v>Columbia</v>
          </cell>
          <cell r="B16">
            <v>3500</v>
          </cell>
          <cell r="C16">
            <v>3600</v>
          </cell>
          <cell r="D16">
            <v>100</v>
          </cell>
          <cell r="E16">
            <v>0</v>
          </cell>
          <cell r="F16">
            <v>10652</v>
          </cell>
          <cell r="G16">
            <v>1100</v>
          </cell>
        </row>
        <row r="17">
          <cell r="A17" t="str">
            <v>Dade</v>
          </cell>
          <cell r="B17">
            <v>68268</v>
          </cell>
          <cell r="C17">
            <v>75851</v>
          </cell>
          <cell r="D17">
            <v>4083</v>
          </cell>
          <cell r="E17">
            <v>3500</v>
          </cell>
          <cell r="F17">
            <v>198661</v>
          </cell>
          <cell r="G17">
            <v>27600</v>
          </cell>
        </row>
        <row r="18">
          <cell r="A18" t="str">
            <v>Desoto</v>
          </cell>
          <cell r="B18">
            <v>2350</v>
          </cell>
          <cell r="C18">
            <v>2500</v>
          </cell>
          <cell r="D18">
            <v>150</v>
          </cell>
          <cell r="E18">
            <v>0</v>
          </cell>
          <cell r="F18">
            <v>4100</v>
          </cell>
          <cell r="G18">
            <v>1550</v>
          </cell>
        </row>
        <row r="19">
          <cell r="A19" t="str">
            <v>Dixie</v>
          </cell>
          <cell r="B19">
            <v>1500</v>
          </cell>
          <cell r="C19">
            <v>1500</v>
          </cell>
          <cell r="D19">
            <v>0</v>
          </cell>
          <cell r="E19">
            <v>0</v>
          </cell>
          <cell r="F19">
            <v>1000</v>
          </cell>
          <cell r="G19">
            <v>215</v>
          </cell>
        </row>
        <row r="20">
          <cell r="A20" t="str">
            <v>Duval</v>
          </cell>
          <cell r="B20">
            <v>57330</v>
          </cell>
          <cell r="C20">
            <v>58680</v>
          </cell>
          <cell r="D20">
            <v>1350</v>
          </cell>
          <cell r="E20">
            <v>0</v>
          </cell>
          <cell r="F20">
            <v>63485</v>
          </cell>
          <cell r="G20">
            <v>10263</v>
          </cell>
        </row>
        <row r="21">
          <cell r="A21" t="str">
            <v>Escambia</v>
          </cell>
          <cell r="B21">
            <v>26730</v>
          </cell>
          <cell r="C21">
            <v>29047</v>
          </cell>
          <cell r="D21">
            <v>2317</v>
          </cell>
          <cell r="E21">
            <v>0</v>
          </cell>
          <cell r="F21">
            <v>30562</v>
          </cell>
          <cell r="G21">
            <v>9912</v>
          </cell>
        </row>
        <row r="22">
          <cell r="A22" t="str">
            <v>Flagler</v>
          </cell>
          <cell r="B22">
            <v>5000</v>
          </cell>
          <cell r="C22">
            <v>5500</v>
          </cell>
          <cell r="D22">
            <v>500</v>
          </cell>
          <cell r="E22">
            <v>0</v>
          </cell>
          <cell r="F22">
            <v>9500</v>
          </cell>
          <cell r="G22">
            <v>700</v>
          </cell>
        </row>
        <row r="23">
          <cell r="A23" t="str">
            <v>Franklin</v>
          </cell>
          <cell r="B23">
            <v>1125</v>
          </cell>
          <cell r="C23">
            <v>1125</v>
          </cell>
          <cell r="D23">
            <v>0</v>
          </cell>
          <cell r="E23">
            <v>0</v>
          </cell>
          <cell r="F23">
            <v>2400</v>
          </cell>
          <cell r="G23">
            <v>1300</v>
          </cell>
        </row>
        <row r="24">
          <cell r="A24" t="str">
            <v>Gadsden</v>
          </cell>
          <cell r="B24">
            <v>3060</v>
          </cell>
          <cell r="C24">
            <v>3100</v>
          </cell>
          <cell r="D24">
            <v>40</v>
          </cell>
          <cell r="E24">
            <v>0</v>
          </cell>
          <cell r="F24">
            <v>8284</v>
          </cell>
          <cell r="G24">
            <v>2383</v>
          </cell>
        </row>
        <row r="25">
          <cell r="A25" t="str">
            <v>Gilchrist</v>
          </cell>
          <cell r="B25">
            <v>3720</v>
          </cell>
          <cell r="C25">
            <v>4568</v>
          </cell>
          <cell r="D25">
            <v>848</v>
          </cell>
          <cell r="E25">
            <v>0</v>
          </cell>
          <cell r="F25">
            <v>600</v>
          </cell>
          <cell r="G25">
            <v>480</v>
          </cell>
        </row>
        <row r="26">
          <cell r="A26" t="str">
            <v>Glades</v>
          </cell>
          <cell r="B26">
            <v>450</v>
          </cell>
          <cell r="C26">
            <v>450</v>
          </cell>
          <cell r="D26">
            <v>0</v>
          </cell>
          <cell r="E26">
            <v>0</v>
          </cell>
          <cell r="F26">
            <v>4000</v>
          </cell>
          <cell r="G26">
            <v>425</v>
          </cell>
        </row>
        <row r="27">
          <cell r="A27" t="str">
            <v>Gulf</v>
          </cell>
          <cell r="B27">
            <v>1035</v>
          </cell>
          <cell r="C27">
            <v>1035</v>
          </cell>
          <cell r="D27">
            <v>0</v>
          </cell>
          <cell r="E27">
            <v>0</v>
          </cell>
          <cell r="F27">
            <v>4463</v>
          </cell>
          <cell r="G27">
            <v>1000</v>
          </cell>
        </row>
        <row r="28">
          <cell r="A28" t="str">
            <v>Hamilton</v>
          </cell>
          <cell r="B28">
            <v>1200</v>
          </cell>
          <cell r="C28">
            <v>1200</v>
          </cell>
          <cell r="D28">
            <v>0</v>
          </cell>
          <cell r="E28">
            <v>0</v>
          </cell>
          <cell r="F28">
            <v>1003</v>
          </cell>
          <cell r="G28">
            <v>1465</v>
          </cell>
        </row>
        <row r="29">
          <cell r="A29" t="str">
            <v>Hardee</v>
          </cell>
          <cell r="B29">
            <v>1365</v>
          </cell>
          <cell r="C29">
            <v>1445</v>
          </cell>
          <cell r="D29">
            <v>80</v>
          </cell>
          <cell r="E29">
            <v>0</v>
          </cell>
          <cell r="F29">
            <v>6500</v>
          </cell>
          <cell r="G29">
            <v>730</v>
          </cell>
        </row>
        <row r="30">
          <cell r="A30" t="str">
            <v>Hendry</v>
          </cell>
          <cell r="B30">
            <v>4875</v>
          </cell>
          <cell r="C30">
            <v>4875</v>
          </cell>
          <cell r="D30">
            <v>0</v>
          </cell>
          <cell r="E30">
            <v>0</v>
          </cell>
          <cell r="F30">
            <v>9000</v>
          </cell>
          <cell r="G30">
            <v>2125</v>
          </cell>
        </row>
        <row r="31">
          <cell r="A31" t="str">
            <v>Hernando</v>
          </cell>
          <cell r="B31">
            <v>8800</v>
          </cell>
          <cell r="C31">
            <v>10400</v>
          </cell>
          <cell r="D31">
            <v>1600</v>
          </cell>
          <cell r="E31">
            <v>0</v>
          </cell>
          <cell r="F31">
            <v>23750</v>
          </cell>
          <cell r="G31">
            <v>8200</v>
          </cell>
        </row>
        <row r="32">
          <cell r="A32" t="str">
            <v>Highlands</v>
          </cell>
          <cell r="B32">
            <v>4800</v>
          </cell>
          <cell r="C32">
            <v>5550</v>
          </cell>
          <cell r="D32">
            <v>750</v>
          </cell>
          <cell r="E32">
            <v>0</v>
          </cell>
          <cell r="F32">
            <v>14000</v>
          </cell>
          <cell r="G32">
            <v>2060</v>
          </cell>
        </row>
        <row r="33">
          <cell r="A33" t="str">
            <v>Hillsborough</v>
          </cell>
          <cell r="B33">
            <v>69690</v>
          </cell>
          <cell r="C33">
            <v>70920</v>
          </cell>
          <cell r="D33">
            <v>0</v>
          </cell>
          <cell r="E33">
            <v>1230</v>
          </cell>
          <cell r="F33">
            <v>45535</v>
          </cell>
          <cell r="G33">
            <v>16650</v>
          </cell>
        </row>
        <row r="34">
          <cell r="A34" t="str">
            <v>Holmes</v>
          </cell>
          <cell r="B34">
            <v>2370</v>
          </cell>
          <cell r="C34">
            <v>2370</v>
          </cell>
          <cell r="D34">
            <v>0</v>
          </cell>
          <cell r="E34">
            <v>0</v>
          </cell>
          <cell r="F34">
            <v>2486</v>
          </cell>
          <cell r="G34">
            <v>300</v>
          </cell>
        </row>
        <row r="35">
          <cell r="A35" t="str">
            <v>Indian River</v>
          </cell>
          <cell r="B35">
            <v>7710</v>
          </cell>
          <cell r="C35">
            <v>7810</v>
          </cell>
          <cell r="D35">
            <v>100</v>
          </cell>
          <cell r="E35">
            <v>0</v>
          </cell>
          <cell r="F35">
            <v>20816</v>
          </cell>
          <cell r="G35">
            <v>3823</v>
          </cell>
        </row>
        <row r="36">
          <cell r="A36" t="str">
            <v>Jackson</v>
          </cell>
          <cell r="B36">
            <v>2700</v>
          </cell>
          <cell r="C36">
            <v>2700</v>
          </cell>
          <cell r="D36">
            <v>0</v>
          </cell>
          <cell r="E36">
            <v>0</v>
          </cell>
          <cell r="F36">
            <v>5100</v>
          </cell>
          <cell r="G36">
            <v>500</v>
          </cell>
        </row>
        <row r="37">
          <cell r="A37" t="str">
            <v>Jefferson</v>
          </cell>
          <cell r="B37">
            <v>1830</v>
          </cell>
          <cell r="C37">
            <v>2030</v>
          </cell>
          <cell r="D37">
            <v>200</v>
          </cell>
          <cell r="E37">
            <v>0</v>
          </cell>
          <cell r="F37">
            <v>7455</v>
          </cell>
          <cell r="G37">
            <v>46</v>
          </cell>
        </row>
        <row r="38">
          <cell r="A38" t="str">
            <v>Lafayette</v>
          </cell>
          <cell r="B38">
            <v>510</v>
          </cell>
          <cell r="C38">
            <v>510</v>
          </cell>
          <cell r="D38">
            <v>0</v>
          </cell>
          <cell r="E38">
            <v>0</v>
          </cell>
          <cell r="F38">
            <v>2000</v>
          </cell>
          <cell r="G38">
            <v>140</v>
          </cell>
        </row>
        <row r="39">
          <cell r="A39" t="str">
            <v>Lake</v>
          </cell>
          <cell r="B39">
            <v>8750</v>
          </cell>
          <cell r="C39">
            <v>9875</v>
          </cell>
          <cell r="D39">
            <v>1125</v>
          </cell>
          <cell r="E39">
            <v>0</v>
          </cell>
          <cell r="F39">
            <v>40097</v>
          </cell>
          <cell r="G39">
            <v>7469</v>
          </cell>
        </row>
        <row r="40">
          <cell r="A40" t="str">
            <v>Lee</v>
          </cell>
          <cell r="B40">
            <v>7020</v>
          </cell>
          <cell r="C40">
            <v>7745</v>
          </cell>
          <cell r="D40">
            <v>725</v>
          </cell>
          <cell r="E40">
            <v>0</v>
          </cell>
          <cell r="F40">
            <v>26667</v>
          </cell>
          <cell r="G40">
            <v>27700</v>
          </cell>
        </row>
        <row r="41">
          <cell r="A41" t="str">
            <v>Leon</v>
          </cell>
          <cell r="B41">
            <v>23000</v>
          </cell>
          <cell r="C41">
            <v>23500</v>
          </cell>
          <cell r="D41">
            <v>500</v>
          </cell>
          <cell r="E41">
            <v>0</v>
          </cell>
          <cell r="F41">
            <v>28000</v>
          </cell>
          <cell r="G41">
            <v>0</v>
          </cell>
        </row>
        <row r="42">
          <cell r="A42" t="str">
            <v>Levy</v>
          </cell>
          <cell r="B42">
            <v>730</v>
          </cell>
          <cell r="C42">
            <v>780</v>
          </cell>
          <cell r="D42">
            <v>50</v>
          </cell>
          <cell r="E42">
            <v>0</v>
          </cell>
          <cell r="F42">
            <v>13920</v>
          </cell>
          <cell r="G42">
            <v>587</v>
          </cell>
        </row>
        <row r="43">
          <cell r="A43" t="str">
            <v>Liberty</v>
          </cell>
          <cell r="B43">
            <v>2115</v>
          </cell>
          <cell r="C43">
            <v>2139</v>
          </cell>
          <cell r="D43">
            <v>24</v>
          </cell>
          <cell r="E43">
            <v>0</v>
          </cell>
          <cell r="F43">
            <v>1218</v>
          </cell>
          <cell r="G43">
            <v>615</v>
          </cell>
        </row>
        <row r="44">
          <cell r="A44" t="str">
            <v>Madison</v>
          </cell>
          <cell r="B44">
            <v>7020</v>
          </cell>
          <cell r="C44">
            <v>7020</v>
          </cell>
          <cell r="D44">
            <v>0</v>
          </cell>
          <cell r="E44">
            <v>0</v>
          </cell>
          <cell r="F44">
            <v>970</v>
          </cell>
          <cell r="G44">
            <v>520</v>
          </cell>
        </row>
        <row r="45">
          <cell r="A45" t="str">
            <v>Manatee</v>
          </cell>
          <cell r="B45">
            <v>22335</v>
          </cell>
          <cell r="C45">
            <v>23012</v>
          </cell>
          <cell r="D45">
            <v>677</v>
          </cell>
          <cell r="E45">
            <v>0</v>
          </cell>
          <cell r="F45">
            <v>13817</v>
          </cell>
          <cell r="G45">
            <v>259</v>
          </cell>
        </row>
        <row r="46">
          <cell r="A46" t="str">
            <v>Marion</v>
          </cell>
          <cell r="B46">
            <v>19845</v>
          </cell>
          <cell r="C46">
            <v>22671</v>
          </cell>
          <cell r="D46">
            <v>2826</v>
          </cell>
          <cell r="E46">
            <v>0</v>
          </cell>
          <cell r="F46">
            <v>25944</v>
          </cell>
          <cell r="G46">
            <v>5519</v>
          </cell>
        </row>
        <row r="47">
          <cell r="A47" t="str">
            <v>Martin</v>
          </cell>
          <cell r="B47">
            <v>8194</v>
          </cell>
          <cell r="C47">
            <v>8439</v>
          </cell>
          <cell r="D47">
            <v>245</v>
          </cell>
          <cell r="E47">
            <v>0</v>
          </cell>
          <cell r="F47">
            <v>22449</v>
          </cell>
          <cell r="G47">
            <v>3537</v>
          </cell>
        </row>
        <row r="48">
          <cell r="A48" t="str">
            <v>Monroe</v>
          </cell>
          <cell r="B48">
            <v>13740</v>
          </cell>
          <cell r="C48">
            <v>14193</v>
          </cell>
          <cell r="D48">
            <v>453</v>
          </cell>
          <cell r="E48">
            <v>0</v>
          </cell>
          <cell r="F48">
            <v>23063</v>
          </cell>
          <cell r="G48">
            <v>7677</v>
          </cell>
        </row>
        <row r="49">
          <cell r="A49" t="str">
            <v>Nassau</v>
          </cell>
          <cell r="B49">
            <v>3750</v>
          </cell>
          <cell r="C49">
            <v>3750</v>
          </cell>
          <cell r="D49">
            <v>0</v>
          </cell>
          <cell r="E49">
            <v>0</v>
          </cell>
          <cell r="F49">
            <v>8899</v>
          </cell>
          <cell r="G49">
            <v>2725</v>
          </cell>
        </row>
        <row r="50">
          <cell r="A50" t="str">
            <v>Okaloosa</v>
          </cell>
          <cell r="B50">
            <v>9105</v>
          </cell>
          <cell r="C50">
            <v>9466</v>
          </cell>
          <cell r="D50">
            <v>361</v>
          </cell>
          <cell r="E50">
            <v>0</v>
          </cell>
          <cell r="F50">
            <v>12640</v>
          </cell>
          <cell r="G50">
            <v>1057</v>
          </cell>
        </row>
        <row r="51">
          <cell r="A51" t="str">
            <v>Okeechobee</v>
          </cell>
          <cell r="B51">
            <v>2805</v>
          </cell>
          <cell r="C51">
            <v>2805</v>
          </cell>
          <cell r="D51">
            <v>0</v>
          </cell>
          <cell r="E51">
            <v>0</v>
          </cell>
          <cell r="F51">
            <v>11108</v>
          </cell>
          <cell r="G51">
            <v>1767</v>
          </cell>
        </row>
        <row r="52">
          <cell r="A52" t="str">
            <v>Orange</v>
          </cell>
          <cell r="B52">
            <v>90000</v>
          </cell>
          <cell r="C52">
            <v>100000</v>
          </cell>
          <cell r="D52">
            <v>10000</v>
          </cell>
          <cell r="E52">
            <v>0</v>
          </cell>
          <cell r="F52">
            <v>54761</v>
          </cell>
          <cell r="G52">
            <v>34294</v>
          </cell>
        </row>
        <row r="53">
          <cell r="A53" t="str">
            <v>Osceola</v>
          </cell>
          <cell r="B53">
            <v>24510</v>
          </cell>
          <cell r="C53">
            <v>24937</v>
          </cell>
          <cell r="D53">
            <v>427</v>
          </cell>
          <cell r="E53">
            <v>0</v>
          </cell>
          <cell r="F53">
            <v>42416</v>
          </cell>
          <cell r="G53">
            <v>0</v>
          </cell>
        </row>
        <row r="54">
          <cell r="A54" t="str">
            <v>Palm Beach</v>
          </cell>
          <cell r="B54">
            <v>109425</v>
          </cell>
          <cell r="C54">
            <v>115450</v>
          </cell>
          <cell r="D54">
            <v>6025</v>
          </cell>
          <cell r="E54">
            <v>0</v>
          </cell>
          <cell r="F54">
            <v>58683</v>
          </cell>
          <cell r="G54">
            <v>30675</v>
          </cell>
        </row>
        <row r="55">
          <cell r="A55" t="str">
            <v>Pasco</v>
          </cell>
          <cell r="B55">
            <v>3795</v>
          </cell>
          <cell r="C55">
            <v>3863</v>
          </cell>
          <cell r="D55">
            <v>68</v>
          </cell>
          <cell r="E55">
            <v>0</v>
          </cell>
          <cell r="F55">
            <v>23559</v>
          </cell>
          <cell r="G55">
            <v>3325</v>
          </cell>
        </row>
        <row r="56">
          <cell r="A56" t="str">
            <v>Pinellas</v>
          </cell>
          <cell r="B56">
            <v>77650</v>
          </cell>
          <cell r="C56">
            <v>80503</v>
          </cell>
          <cell r="D56">
            <v>2853</v>
          </cell>
          <cell r="E56">
            <v>0</v>
          </cell>
          <cell r="F56">
            <v>70722</v>
          </cell>
          <cell r="G56">
            <v>14485</v>
          </cell>
        </row>
        <row r="57">
          <cell r="A57" t="str">
            <v>Polk</v>
          </cell>
          <cell r="B57">
            <v>45000</v>
          </cell>
          <cell r="C57">
            <v>46800</v>
          </cell>
          <cell r="D57">
            <v>1800</v>
          </cell>
          <cell r="E57">
            <v>0</v>
          </cell>
          <cell r="F57">
            <v>22500</v>
          </cell>
          <cell r="G57">
            <v>16300</v>
          </cell>
        </row>
        <row r="58">
          <cell r="A58" t="str">
            <v>Putnam</v>
          </cell>
          <cell r="B58">
            <v>5600</v>
          </cell>
          <cell r="C58">
            <v>7800</v>
          </cell>
          <cell r="D58">
            <v>2200</v>
          </cell>
          <cell r="E58">
            <v>0</v>
          </cell>
          <cell r="F58">
            <v>17000</v>
          </cell>
          <cell r="G58">
            <v>2800</v>
          </cell>
        </row>
        <row r="59">
          <cell r="A59" t="str">
            <v>Santa Rosa</v>
          </cell>
          <cell r="B59">
            <v>10450</v>
          </cell>
          <cell r="C59">
            <v>11760</v>
          </cell>
          <cell r="D59">
            <v>1310</v>
          </cell>
          <cell r="E59">
            <v>0</v>
          </cell>
          <cell r="F59">
            <v>23497</v>
          </cell>
          <cell r="G59">
            <v>3573</v>
          </cell>
        </row>
        <row r="60">
          <cell r="A60" t="str">
            <v>Sarasota</v>
          </cell>
          <cell r="B60">
            <v>36442</v>
          </cell>
          <cell r="C60">
            <v>36656</v>
          </cell>
          <cell r="D60">
            <v>214</v>
          </cell>
          <cell r="E60">
            <v>0</v>
          </cell>
          <cell r="F60">
            <v>37182</v>
          </cell>
          <cell r="G60">
            <v>14090</v>
          </cell>
        </row>
        <row r="61">
          <cell r="A61" t="str">
            <v>Seminole</v>
          </cell>
          <cell r="B61">
            <v>22180</v>
          </cell>
          <cell r="C61">
            <v>22414</v>
          </cell>
          <cell r="D61">
            <v>234</v>
          </cell>
          <cell r="E61">
            <v>0</v>
          </cell>
          <cell r="F61">
            <v>30223</v>
          </cell>
          <cell r="G61">
            <v>6594</v>
          </cell>
        </row>
        <row r="62">
          <cell r="A62" t="str">
            <v>St. Johns</v>
          </cell>
          <cell r="B62">
            <v>4500</v>
          </cell>
          <cell r="C62">
            <v>4950</v>
          </cell>
          <cell r="D62">
            <v>450</v>
          </cell>
          <cell r="E62">
            <v>0</v>
          </cell>
          <cell r="F62">
            <v>14000</v>
          </cell>
          <cell r="G62">
            <v>750</v>
          </cell>
        </row>
        <row r="63">
          <cell r="A63" t="str">
            <v>St. Lucie</v>
          </cell>
          <cell r="B63">
            <v>31250</v>
          </cell>
          <cell r="C63">
            <v>31900</v>
          </cell>
          <cell r="D63">
            <v>650</v>
          </cell>
          <cell r="E63">
            <v>0</v>
          </cell>
          <cell r="F63">
            <v>31800</v>
          </cell>
          <cell r="G63">
            <v>14275</v>
          </cell>
        </row>
        <row r="64">
          <cell r="A64" t="str">
            <v>Sumter</v>
          </cell>
          <cell r="B64">
            <v>3200</v>
          </cell>
          <cell r="C64">
            <v>3725</v>
          </cell>
          <cell r="D64">
            <v>525</v>
          </cell>
          <cell r="E64">
            <v>0</v>
          </cell>
          <cell r="F64">
            <v>12000</v>
          </cell>
          <cell r="G64">
            <v>400</v>
          </cell>
        </row>
        <row r="65">
          <cell r="A65" t="str">
            <v>Suwannee</v>
          </cell>
          <cell r="B65">
            <v>825</v>
          </cell>
          <cell r="C65">
            <v>825</v>
          </cell>
          <cell r="D65">
            <v>0</v>
          </cell>
          <cell r="E65">
            <v>0</v>
          </cell>
          <cell r="F65">
            <v>3882</v>
          </cell>
          <cell r="G65">
            <v>555</v>
          </cell>
        </row>
        <row r="66">
          <cell r="A66" t="str">
            <v>Taylor</v>
          </cell>
          <cell r="B66">
            <v>1050</v>
          </cell>
          <cell r="C66">
            <v>1100</v>
          </cell>
          <cell r="D66">
            <v>50</v>
          </cell>
          <cell r="E66">
            <v>0</v>
          </cell>
          <cell r="F66">
            <v>1290</v>
          </cell>
          <cell r="G66">
            <v>588</v>
          </cell>
        </row>
        <row r="67">
          <cell r="A67" t="str">
            <v>Union</v>
          </cell>
          <cell r="B67">
            <v>739.87</v>
          </cell>
          <cell r="C67">
            <v>0</v>
          </cell>
          <cell r="D67">
            <v>140.91999999999999</v>
          </cell>
          <cell r="E67">
            <v>0</v>
          </cell>
          <cell r="F67">
            <v>786.84</v>
          </cell>
          <cell r="G67">
            <v>132.1</v>
          </cell>
        </row>
        <row r="68">
          <cell r="A68" t="str">
            <v>Volusia</v>
          </cell>
          <cell r="B68">
            <v>35000</v>
          </cell>
          <cell r="C68">
            <v>35450</v>
          </cell>
          <cell r="D68">
            <v>450</v>
          </cell>
          <cell r="E68">
            <v>0</v>
          </cell>
          <cell r="F68">
            <v>49500</v>
          </cell>
          <cell r="G68">
            <v>150</v>
          </cell>
        </row>
        <row r="69">
          <cell r="A69" t="str">
            <v>Wakulla</v>
          </cell>
          <cell r="B69">
            <v>150</v>
          </cell>
          <cell r="C69">
            <v>150</v>
          </cell>
          <cell r="D69">
            <v>0</v>
          </cell>
          <cell r="E69">
            <v>0</v>
          </cell>
          <cell r="F69">
            <v>9427</v>
          </cell>
          <cell r="G69">
            <v>132</v>
          </cell>
        </row>
        <row r="70">
          <cell r="A70" t="str">
            <v>Walton</v>
          </cell>
          <cell r="B70">
            <v>1500</v>
          </cell>
          <cell r="C70">
            <v>1900</v>
          </cell>
          <cell r="D70">
            <v>400</v>
          </cell>
          <cell r="E70">
            <v>0</v>
          </cell>
          <cell r="F70">
            <v>10000</v>
          </cell>
          <cell r="G70">
            <v>1500</v>
          </cell>
        </row>
        <row r="71">
          <cell r="A71" t="str">
            <v>Washington</v>
          </cell>
          <cell r="B71">
            <v>2355</v>
          </cell>
          <cell r="C71">
            <v>2355</v>
          </cell>
          <cell r="D71">
            <v>0</v>
          </cell>
          <cell r="E71">
            <v>0</v>
          </cell>
          <cell r="F71">
            <v>7170</v>
          </cell>
          <cell r="G71">
            <v>1014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ReportInfo"/>
      <sheetName val="LookupData"/>
      <sheetName val="EstimatingTool"/>
    </sheetNames>
    <sheetDataSet>
      <sheetData sheetId="0">
        <row r="52">
          <cell r="F52">
            <v>0</v>
          </cell>
        </row>
        <row r="55">
          <cell r="F55">
            <v>6563.0899999999965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ocation Options "/>
      <sheetName val="Cost per WC"/>
      <sheetName val="COL-LW"/>
    </sheetNames>
    <sheetDataSet>
      <sheetData sheetId="0"/>
      <sheetData sheetId="1">
        <row r="76">
          <cell r="A76">
            <v>1</v>
          </cell>
          <cell r="B76">
            <v>64.968244726962041</v>
          </cell>
        </row>
        <row r="77">
          <cell r="A77">
            <v>2</v>
          </cell>
          <cell r="B77">
            <v>43.99332990136768</v>
          </cell>
        </row>
        <row r="78">
          <cell r="A78">
            <v>3</v>
          </cell>
          <cell r="B78">
            <v>36.794184137530962</v>
          </cell>
        </row>
        <row r="79">
          <cell r="A79">
            <v>4</v>
          </cell>
          <cell r="B79">
            <v>32.252231614720145</v>
          </cell>
        </row>
        <row r="80">
          <cell r="A80">
            <v>5</v>
          </cell>
          <cell r="B80">
            <v>29.773537053543588</v>
          </cell>
        </row>
        <row r="81">
          <cell r="A81">
            <v>6</v>
          </cell>
          <cell r="B81">
            <v>31.400439850594687</v>
          </cell>
        </row>
        <row r="82">
          <cell r="A82">
            <v>7</v>
          </cell>
          <cell r="B82">
            <v>27.312907092625288</v>
          </cell>
        </row>
        <row r="83">
          <cell r="A83">
            <v>8</v>
          </cell>
          <cell r="B83">
            <v>25.453421692425682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4C0A-F60A-4239-AFA9-6EAC61A4109B}">
  <sheetPr>
    <pageSetUpPr fitToPage="1"/>
  </sheetPr>
  <dimension ref="A1:C24"/>
  <sheetViews>
    <sheetView tabSelected="1" zoomScaleNormal="100" workbookViewId="0">
      <selection activeCell="B13" sqref="B13"/>
    </sheetView>
  </sheetViews>
  <sheetFormatPr defaultRowHeight="21" x14ac:dyDescent="0.35"/>
  <cols>
    <col min="1" max="1" width="84" style="1" customWidth="1"/>
    <col min="2" max="2" width="28.42578125" style="1" customWidth="1"/>
    <col min="3" max="3" width="3.85546875" style="1" customWidth="1"/>
    <col min="4" max="16384" width="9.140625" style="1"/>
  </cols>
  <sheetData>
    <row r="1" spans="1:3" x14ac:dyDescent="0.35">
      <c r="A1" s="480" t="s">
        <v>193</v>
      </c>
      <c r="B1" s="480"/>
    </row>
    <row r="2" spans="1:3" ht="37.5" customHeight="1" x14ac:dyDescent="0.35"/>
    <row r="3" spans="1:3" x14ac:dyDescent="0.35">
      <c r="A3" s="1" t="s">
        <v>196</v>
      </c>
      <c r="B3" s="2">
        <v>516691576</v>
      </c>
    </row>
    <row r="4" spans="1:3" x14ac:dyDescent="0.35">
      <c r="A4" s="1" t="s">
        <v>197</v>
      </c>
      <c r="B4" s="2">
        <v>10855958</v>
      </c>
    </row>
    <row r="5" spans="1:3" ht="21" customHeight="1" x14ac:dyDescent="0.35">
      <c r="A5" s="1" t="s">
        <v>0</v>
      </c>
      <c r="B5" s="3">
        <v>-1085596</v>
      </c>
    </row>
    <row r="6" spans="1:3" ht="21.75" thickBot="1" x14ac:dyDescent="0.4">
      <c r="A6" s="1" t="s">
        <v>170</v>
      </c>
      <c r="B6" s="2">
        <v>6013550</v>
      </c>
      <c r="C6" s="187"/>
    </row>
    <row r="7" spans="1:3" ht="21.75" thickTop="1" x14ac:dyDescent="0.35">
      <c r="B7" s="188">
        <f>SUM(B3:B6)</f>
        <v>532475488</v>
      </c>
      <c r="C7" s="4"/>
    </row>
    <row r="8" spans="1:3" x14ac:dyDescent="0.35">
      <c r="B8" s="5"/>
      <c r="C8" s="4"/>
    </row>
    <row r="9" spans="1:3" ht="21.75" thickBot="1" x14ac:dyDescent="0.4">
      <c r="A9" s="1" t="s">
        <v>1</v>
      </c>
      <c r="B9" s="6">
        <v>11700000</v>
      </c>
      <c r="C9" s="4"/>
    </row>
    <row r="10" spans="1:3" ht="21.75" thickTop="1" x14ac:dyDescent="0.35">
      <c r="A10" s="7" t="s">
        <v>198</v>
      </c>
      <c r="B10" s="188">
        <f>SUM(B7:B9)</f>
        <v>544175488</v>
      </c>
      <c r="C10" s="4"/>
    </row>
    <row r="11" spans="1:3" x14ac:dyDescent="0.35">
      <c r="B11" s="5"/>
      <c r="C11" s="4"/>
    </row>
    <row r="12" spans="1:3" x14ac:dyDescent="0.35">
      <c r="B12" s="6"/>
      <c r="C12" s="4"/>
    </row>
    <row r="13" spans="1:3" x14ac:dyDescent="0.35">
      <c r="B13" s="6"/>
      <c r="C13" s="4"/>
    </row>
    <row r="14" spans="1:3" x14ac:dyDescent="0.35">
      <c r="B14" s="6"/>
      <c r="C14" s="4"/>
    </row>
    <row r="15" spans="1:3" x14ac:dyDescent="0.35">
      <c r="B15" s="6"/>
    </row>
    <row r="16" spans="1:3" x14ac:dyDescent="0.35">
      <c r="A16" s="123" t="s">
        <v>199</v>
      </c>
      <c r="B16" s="124">
        <v>518781741</v>
      </c>
    </row>
    <row r="17" spans="1:2" x14ac:dyDescent="0.35">
      <c r="A17" s="413" t="s">
        <v>194</v>
      </c>
      <c r="B17" s="414">
        <f>B7-B16</f>
        <v>13693747</v>
      </c>
    </row>
    <row r="18" spans="1:2" x14ac:dyDescent="0.35">
      <c r="B18" s="415">
        <f>B17/B16</f>
        <v>2.6395969475726016E-2</v>
      </c>
    </row>
    <row r="19" spans="1:2" x14ac:dyDescent="0.35">
      <c r="B19" s="189"/>
    </row>
    <row r="20" spans="1:2" x14ac:dyDescent="0.35">
      <c r="B20" s="189"/>
    </row>
    <row r="21" spans="1:2" x14ac:dyDescent="0.35">
      <c r="A21" s="123" t="s">
        <v>200</v>
      </c>
      <c r="B21" s="124">
        <v>530657741</v>
      </c>
    </row>
    <row r="22" spans="1:2" x14ac:dyDescent="0.35">
      <c r="A22" s="413" t="s">
        <v>195</v>
      </c>
      <c r="B22" s="414">
        <f>B10-B21</f>
        <v>13517747</v>
      </c>
    </row>
    <row r="23" spans="1:2" x14ac:dyDescent="0.35">
      <c r="B23" s="415">
        <f>B22/B21</f>
        <v>2.5473569790061726E-2</v>
      </c>
    </row>
    <row r="24" spans="1:2" s="8" customFormat="1" x14ac:dyDescent="0.35"/>
  </sheetData>
  <mergeCells count="1">
    <mergeCell ref="A1:B1"/>
  </mergeCells>
  <printOptions horizontalCentered="1"/>
  <pageMargins left="0.3" right="0.25" top="1.2" bottom="1" header="0.5" footer="0.5"/>
  <pageSetup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A6DB-46A3-4DBD-BE53-398212B25035}">
  <dimension ref="A1:C73"/>
  <sheetViews>
    <sheetView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I26" sqref="I26"/>
    </sheetView>
  </sheetViews>
  <sheetFormatPr defaultColWidth="10.42578125" defaultRowHeight="15.75" x14ac:dyDescent="0.3"/>
  <cols>
    <col min="1" max="1" width="17.42578125" style="100" customWidth="1"/>
    <col min="2" max="2" width="10" style="100" customWidth="1"/>
    <col min="3" max="3" width="23.28515625" style="100" customWidth="1"/>
    <col min="4" max="16384" width="10.42578125" style="100"/>
  </cols>
  <sheetData>
    <row r="1" spans="1:3" ht="47.25" x14ac:dyDescent="0.3">
      <c r="A1" s="329" t="s">
        <v>2</v>
      </c>
      <c r="B1" s="330" t="s">
        <v>246</v>
      </c>
      <c r="C1" s="329" t="s">
        <v>250</v>
      </c>
    </row>
    <row r="2" spans="1:3" x14ac:dyDescent="0.3">
      <c r="A2" s="211" t="s">
        <v>5</v>
      </c>
      <c r="B2" s="331">
        <v>5</v>
      </c>
      <c r="C2" s="336">
        <v>4190000</v>
      </c>
    </row>
    <row r="3" spans="1:3" x14ac:dyDescent="0.3">
      <c r="A3" s="211" t="s">
        <v>6</v>
      </c>
      <c r="B3" s="331">
        <v>2</v>
      </c>
      <c r="C3" s="336">
        <v>396951</v>
      </c>
    </row>
    <row r="4" spans="1:3" x14ac:dyDescent="0.3">
      <c r="A4" s="211" t="s">
        <v>7</v>
      </c>
      <c r="B4" s="331">
        <v>5</v>
      </c>
      <c r="C4" s="336">
        <v>5600000</v>
      </c>
    </row>
    <row r="5" spans="1:3" x14ac:dyDescent="0.3">
      <c r="A5" s="211" t="s">
        <v>8</v>
      </c>
      <c r="B5" s="331">
        <v>3</v>
      </c>
      <c r="C5" s="336">
        <v>776885</v>
      </c>
    </row>
    <row r="6" spans="1:3" x14ac:dyDescent="0.3">
      <c r="A6" s="211" t="s">
        <v>9</v>
      </c>
      <c r="B6" s="331">
        <v>6</v>
      </c>
      <c r="C6" s="336">
        <v>11500000</v>
      </c>
    </row>
    <row r="7" spans="1:3" x14ac:dyDescent="0.3">
      <c r="A7" s="211" t="s">
        <v>10</v>
      </c>
      <c r="B7" s="331">
        <v>8</v>
      </c>
      <c r="C7" s="336">
        <v>43985976</v>
      </c>
    </row>
    <row r="8" spans="1:3" x14ac:dyDescent="0.3">
      <c r="A8" s="211" t="s">
        <v>11</v>
      </c>
      <c r="B8" s="331">
        <v>2</v>
      </c>
      <c r="C8" s="336">
        <v>319740</v>
      </c>
    </row>
    <row r="9" spans="1:3" x14ac:dyDescent="0.3">
      <c r="A9" s="211" t="s">
        <v>12</v>
      </c>
      <c r="B9" s="331">
        <v>5</v>
      </c>
      <c r="C9" s="336">
        <v>4444517</v>
      </c>
    </row>
    <row r="10" spans="1:3" x14ac:dyDescent="0.3">
      <c r="A10" s="211" t="s">
        <v>13</v>
      </c>
      <c r="B10" s="331">
        <v>4</v>
      </c>
      <c r="C10" s="336">
        <v>3787178</v>
      </c>
    </row>
    <row r="11" spans="1:3" x14ac:dyDescent="0.3">
      <c r="A11" s="211" t="s">
        <v>14</v>
      </c>
      <c r="B11" s="331">
        <v>5</v>
      </c>
      <c r="C11" s="336">
        <v>4476150</v>
      </c>
    </row>
    <row r="12" spans="1:3" x14ac:dyDescent="0.3">
      <c r="A12" s="211" t="s">
        <v>15</v>
      </c>
      <c r="B12" s="331">
        <v>5</v>
      </c>
      <c r="C12" s="336">
        <v>8546300</v>
      </c>
    </row>
    <row r="13" spans="1:3" x14ac:dyDescent="0.3">
      <c r="A13" s="211" t="s">
        <v>16</v>
      </c>
      <c r="B13" s="331">
        <v>4</v>
      </c>
      <c r="C13" s="336">
        <v>1517484</v>
      </c>
    </row>
    <row r="14" spans="1:3" x14ac:dyDescent="0.3">
      <c r="A14" s="211" t="s">
        <v>17</v>
      </c>
      <c r="B14" s="331">
        <v>3</v>
      </c>
      <c r="C14" s="336">
        <v>605300</v>
      </c>
    </row>
    <row r="15" spans="1:3" x14ac:dyDescent="0.3">
      <c r="A15" s="211" t="s">
        <v>18</v>
      </c>
      <c r="B15" s="331">
        <v>2</v>
      </c>
      <c r="C15" s="336">
        <v>243150</v>
      </c>
    </row>
    <row r="16" spans="1:3" x14ac:dyDescent="0.3">
      <c r="A16" s="211" t="s">
        <v>19</v>
      </c>
      <c r="B16" s="331">
        <v>8</v>
      </c>
      <c r="C16" s="336">
        <v>21782940.120000005</v>
      </c>
    </row>
    <row r="17" spans="1:3" x14ac:dyDescent="0.3">
      <c r="A17" s="211" t="s">
        <v>20</v>
      </c>
      <c r="B17" s="331">
        <v>6</v>
      </c>
      <c r="C17" s="336">
        <v>7463619</v>
      </c>
    </row>
    <row r="18" spans="1:3" x14ac:dyDescent="0.3">
      <c r="A18" s="211" t="s">
        <v>21</v>
      </c>
      <c r="B18" s="331">
        <v>4</v>
      </c>
      <c r="C18" s="336">
        <v>2225300</v>
      </c>
    </row>
    <row r="19" spans="1:3" x14ac:dyDescent="0.3">
      <c r="A19" s="211" t="s">
        <v>22</v>
      </c>
      <c r="B19" s="331">
        <v>2</v>
      </c>
      <c r="C19" s="336">
        <v>285839</v>
      </c>
    </row>
    <row r="20" spans="1:3" x14ac:dyDescent="0.3">
      <c r="A20" s="211" t="s">
        <v>23</v>
      </c>
      <c r="B20" s="331">
        <v>3</v>
      </c>
      <c r="C20" s="336">
        <v>751752</v>
      </c>
    </row>
    <row r="21" spans="1:3" x14ac:dyDescent="0.3">
      <c r="A21" s="211" t="s">
        <v>24</v>
      </c>
      <c r="B21" s="331">
        <v>2</v>
      </c>
      <c r="C21" s="336">
        <v>313800</v>
      </c>
    </row>
    <row r="22" spans="1:3" x14ac:dyDescent="0.3">
      <c r="A22" s="211" t="s">
        <v>25</v>
      </c>
      <c r="B22" s="331">
        <v>2</v>
      </c>
      <c r="C22" s="336">
        <v>518530</v>
      </c>
    </row>
    <row r="23" spans="1:3" x14ac:dyDescent="0.3">
      <c r="A23" s="211" t="s">
        <v>26</v>
      </c>
      <c r="B23" s="331">
        <v>1</v>
      </c>
      <c r="C23" s="336">
        <v>353220</v>
      </c>
    </row>
    <row r="24" spans="1:3" x14ac:dyDescent="0.3">
      <c r="A24" s="211" t="s">
        <v>27</v>
      </c>
      <c r="B24" s="331">
        <v>2</v>
      </c>
      <c r="C24" s="336">
        <v>362066</v>
      </c>
    </row>
    <row r="25" spans="1:3" x14ac:dyDescent="0.3">
      <c r="A25" s="211" t="s">
        <v>28</v>
      </c>
      <c r="B25" s="331">
        <v>2</v>
      </c>
      <c r="C25" s="336">
        <v>654373</v>
      </c>
    </row>
    <row r="26" spans="1:3" x14ac:dyDescent="0.3">
      <c r="A26" s="211" t="s">
        <v>29</v>
      </c>
      <c r="B26" s="331">
        <v>3</v>
      </c>
      <c r="C26" s="336">
        <v>1070800</v>
      </c>
    </row>
    <row r="27" spans="1:3" x14ac:dyDescent="0.3">
      <c r="A27" s="211" t="s">
        <v>30</v>
      </c>
      <c r="B27" s="331">
        <v>5</v>
      </c>
      <c r="C27" s="336">
        <v>4955701</v>
      </c>
    </row>
    <row r="28" spans="1:3" x14ac:dyDescent="0.3">
      <c r="A28" s="211" t="s">
        <v>31</v>
      </c>
      <c r="B28" s="331">
        <v>4</v>
      </c>
      <c r="C28" s="336">
        <v>2040000</v>
      </c>
    </row>
    <row r="29" spans="1:3" x14ac:dyDescent="0.3">
      <c r="A29" s="211" t="s">
        <v>32</v>
      </c>
      <c r="B29" s="331">
        <v>8</v>
      </c>
      <c r="C29" s="336">
        <v>30000000</v>
      </c>
    </row>
    <row r="30" spans="1:3" x14ac:dyDescent="0.3">
      <c r="A30" s="211" t="s">
        <v>33</v>
      </c>
      <c r="B30" s="331">
        <v>2</v>
      </c>
      <c r="C30" s="336">
        <v>523394</v>
      </c>
    </row>
    <row r="31" spans="1:3" x14ac:dyDescent="0.3">
      <c r="A31" s="211" t="s">
        <v>34</v>
      </c>
      <c r="B31" s="331">
        <v>4</v>
      </c>
      <c r="C31" s="336">
        <v>3879499</v>
      </c>
    </row>
    <row r="32" spans="1:3" x14ac:dyDescent="0.3">
      <c r="A32" s="211" t="s">
        <v>35</v>
      </c>
      <c r="B32" s="331">
        <v>3</v>
      </c>
      <c r="C32" s="336">
        <v>797600</v>
      </c>
    </row>
    <row r="33" spans="1:3" x14ac:dyDescent="0.3">
      <c r="A33" s="211" t="s">
        <v>36</v>
      </c>
      <c r="B33" s="331">
        <v>2</v>
      </c>
      <c r="C33" s="336">
        <v>386652</v>
      </c>
    </row>
    <row r="34" spans="1:3" x14ac:dyDescent="0.3">
      <c r="A34" s="211" t="s">
        <v>37</v>
      </c>
      <c r="B34" s="331">
        <v>1</v>
      </c>
      <c r="C34" s="336">
        <v>116200</v>
      </c>
    </row>
    <row r="35" spans="1:3" x14ac:dyDescent="0.3">
      <c r="A35" s="211" t="s">
        <v>38</v>
      </c>
      <c r="B35" s="331">
        <v>5</v>
      </c>
      <c r="C35" s="336">
        <v>7712880</v>
      </c>
    </row>
    <row r="36" spans="1:3" x14ac:dyDescent="0.3">
      <c r="A36" s="211" t="s">
        <v>39</v>
      </c>
      <c r="B36" s="331">
        <v>7</v>
      </c>
      <c r="C36" s="336">
        <v>18053000</v>
      </c>
    </row>
    <row r="37" spans="1:3" x14ac:dyDescent="0.3">
      <c r="A37" s="211" t="s">
        <v>40</v>
      </c>
      <c r="B37" s="331">
        <v>5</v>
      </c>
      <c r="C37" s="336">
        <v>5127500</v>
      </c>
    </row>
    <row r="38" spans="1:3" x14ac:dyDescent="0.3">
      <c r="A38" s="211" t="s">
        <v>41</v>
      </c>
      <c r="B38" s="331">
        <v>3</v>
      </c>
      <c r="C38" s="336">
        <v>899700</v>
      </c>
    </row>
    <row r="39" spans="1:3" x14ac:dyDescent="0.3">
      <c r="A39" s="211" t="s">
        <v>42</v>
      </c>
      <c r="B39" s="331">
        <v>1</v>
      </c>
      <c r="C39" s="336">
        <v>180195</v>
      </c>
    </row>
    <row r="40" spans="1:3" x14ac:dyDescent="0.3">
      <c r="A40" s="211" t="s">
        <v>43</v>
      </c>
      <c r="B40" s="331">
        <v>3</v>
      </c>
      <c r="C40" s="336">
        <v>632040</v>
      </c>
    </row>
    <row r="41" spans="1:3" x14ac:dyDescent="0.3">
      <c r="A41" s="211" t="s">
        <v>44</v>
      </c>
      <c r="B41" s="331">
        <v>6</v>
      </c>
      <c r="C41" s="336">
        <v>7891000</v>
      </c>
    </row>
    <row r="42" spans="1:3" x14ac:dyDescent="0.3">
      <c r="A42" s="211" t="s">
        <v>45</v>
      </c>
      <c r="B42" s="331">
        <v>5</v>
      </c>
      <c r="C42" s="336">
        <v>8833310</v>
      </c>
    </row>
    <row r="43" spans="1:3" x14ac:dyDescent="0.3">
      <c r="A43" s="211" t="s">
        <v>46</v>
      </c>
      <c r="B43" s="331">
        <v>4</v>
      </c>
      <c r="C43" s="336">
        <v>3895808.4499999997</v>
      </c>
    </row>
    <row r="44" spans="1:3" x14ac:dyDescent="0.3">
      <c r="A44" s="211" t="s">
        <v>47</v>
      </c>
      <c r="B44" s="331">
        <v>8</v>
      </c>
      <c r="C44" s="336">
        <v>84749000</v>
      </c>
    </row>
    <row r="45" spans="1:3" x14ac:dyDescent="0.3">
      <c r="A45" s="211" t="s">
        <v>48</v>
      </c>
      <c r="B45" s="331">
        <v>5</v>
      </c>
      <c r="C45" s="336">
        <v>2988917.52</v>
      </c>
    </row>
    <row r="46" spans="1:3" x14ac:dyDescent="0.3">
      <c r="A46" s="211" t="s">
        <v>49</v>
      </c>
      <c r="B46" s="331">
        <v>4</v>
      </c>
      <c r="C46" s="336">
        <v>1414218.89</v>
      </c>
    </row>
    <row r="47" spans="1:3" x14ac:dyDescent="0.3">
      <c r="A47" s="211" t="s">
        <v>50</v>
      </c>
      <c r="B47" s="331">
        <v>5</v>
      </c>
      <c r="C47" s="336">
        <v>3651513</v>
      </c>
    </row>
    <row r="48" spans="1:3" x14ac:dyDescent="0.3">
      <c r="A48" s="211" t="s">
        <v>51</v>
      </c>
      <c r="B48" s="331">
        <v>3</v>
      </c>
      <c r="C48" s="336">
        <v>1235175</v>
      </c>
    </row>
    <row r="49" spans="1:3" x14ac:dyDescent="0.3">
      <c r="A49" s="211" t="s">
        <v>52</v>
      </c>
      <c r="B49" s="331">
        <v>8</v>
      </c>
      <c r="C49" s="336">
        <v>41604000</v>
      </c>
    </row>
    <row r="50" spans="1:3" x14ac:dyDescent="0.3">
      <c r="A50" s="211" t="s">
        <v>53</v>
      </c>
      <c r="B50" s="331">
        <v>6</v>
      </c>
      <c r="C50" s="336">
        <v>9500004</v>
      </c>
    </row>
    <row r="51" spans="1:3" x14ac:dyDescent="0.3">
      <c r="A51" s="211" t="s">
        <v>54</v>
      </c>
      <c r="B51" s="331">
        <v>8</v>
      </c>
      <c r="C51" s="336">
        <v>31900005.449999999</v>
      </c>
    </row>
    <row r="52" spans="1:3" x14ac:dyDescent="0.3">
      <c r="A52" s="211" t="s">
        <v>55</v>
      </c>
      <c r="B52" s="331">
        <v>6</v>
      </c>
      <c r="C52" s="336">
        <v>10800000</v>
      </c>
    </row>
    <row r="53" spans="1:3" x14ac:dyDescent="0.3">
      <c r="A53" s="211" t="s">
        <v>56</v>
      </c>
      <c r="B53" s="331">
        <v>7</v>
      </c>
      <c r="C53" s="336">
        <v>19118240</v>
      </c>
    </row>
    <row r="54" spans="1:3" x14ac:dyDescent="0.3">
      <c r="A54" s="211" t="s">
        <v>57</v>
      </c>
      <c r="B54" s="331">
        <v>7</v>
      </c>
      <c r="C54" s="336">
        <v>19000000</v>
      </c>
    </row>
    <row r="55" spans="1:3" x14ac:dyDescent="0.3">
      <c r="A55" s="211" t="s">
        <v>58</v>
      </c>
      <c r="B55" s="331">
        <v>4</v>
      </c>
      <c r="C55" s="336">
        <v>1107318.51</v>
      </c>
    </row>
    <row r="56" spans="1:3" x14ac:dyDescent="0.3">
      <c r="A56" s="211" t="s">
        <v>59</v>
      </c>
      <c r="B56" s="331">
        <v>5</v>
      </c>
      <c r="C56" s="336">
        <v>5205000</v>
      </c>
    </row>
    <row r="57" spans="1:3" x14ac:dyDescent="0.3">
      <c r="A57" s="211" t="s">
        <v>60</v>
      </c>
      <c r="B57" s="331">
        <v>5</v>
      </c>
      <c r="C57" s="336">
        <v>7455480</v>
      </c>
    </row>
    <row r="58" spans="1:3" x14ac:dyDescent="0.3">
      <c r="A58" s="211" t="s">
        <v>61</v>
      </c>
      <c r="B58" s="331">
        <v>5</v>
      </c>
      <c r="C58" s="336">
        <v>4013135</v>
      </c>
    </row>
    <row r="59" spans="1:3" x14ac:dyDescent="0.3">
      <c r="A59" s="211" t="s">
        <v>62</v>
      </c>
      <c r="B59" s="331">
        <v>6</v>
      </c>
      <c r="C59" s="336">
        <v>8111876</v>
      </c>
    </row>
    <row r="60" spans="1:3" x14ac:dyDescent="0.3">
      <c r="A60" s="211" t="s">
        <v>63</v>
      </c>
      <c r="B60" s="331">
        <v>6</v>
      </c>
      <c r="C60" s="336">
        <v>9824600</v>
      </c>
    </row>
    <row r="61" spans="1:3" x14ac:dyDescent="0.3">
      <c r="A61" s="211" t="s">
        <v>64</v>
      </c>
      <c r="B61" s="331">
        <v>4</v>
      </c>
      <c r="C61" s="336">
        <v>3058305</v>
      </c>
    </row>
    <row r="62" spans="1:3" x14ac:dyDescent="0.3">
      <c r="A62" s="211" t="s">
        <v>65</v>
      </c>
      <c r="B62" s="331">
        <v>3</v>
      </c>
      <c r="C62" s="336">
        <v>1057776</v>
      </c>
    </row>
    <row r="63" spans="1:3" x14ac:dyDescent="0.3">
      <c r="A63" s="211" t="s">
        <v>66</v>
      </c>
      <c r="B63" s="331">
        <v>2</v>
      </c>
      <c r="C63" s="336">
        <v>414701</v>
      </c>
    </row>
    <row r="64" spans="1:3" x14ac:dyDescent="0.3">
      <c r="A64" s="211" t="s">
        <v>67</v>
      </c>
      <c r="B64" s="331">
        <v>1</v>
      </c>
      <c r="C64" s="336">
        <v>38196</v>
      </c>
    </row>
    <row r="65" spans="1:3" x14ac:dyDescent="0.3">
      <c r="A65" s="211" t="s">
        <v>68</v>
      </c>
      <c r="B65" s="331">
        <v>7</v>
      </c>
      <c r="C65" s="336">
        <v>12156780.84</v>
      </c>
    </row>
    <row r="66" spans="1:3" x14ac:dyDescent="0.3">
      <c r="A66" s="211" t="s">
        <v>69</v>
      </c>
      <c r="B66" s="331">
        <v>3</v>
      </c>
      <c r="C66" s="336">
        <v>618499</v>
      </c>
    </row>
    <row r="67" spans="1:3" x14ac:dyDescent="0.3">
      <c r="A67" s="211" t="s">
        <v>70</v>
      </c>
      <c r="B67" s="331">
        <v>4</v>
      </c>
      <c r="C67" s="336">
        <v>1626804</v>
      </c>
    </row>
    <row r="68" spans="1:3" x14ac:dyDescent="0.3">
      <c r="A68" s="211" t="s">
        <v>71</v>
      </c>
      <c r="B68" s="331">
        <v>2</v>
      </c>
      <c r="C68" s="336">
        <v>481967</v>
      </c>
    </row>
    <row r="69" spans="1:3" ht="10.5" customHeight="1" x14ac:dyDescent="0.3">
      <c r="B69" s="332"/>
      <c r="C69" s="333"/>
    </row>
    <row r="70" spans="1:3" ht="16.5" x14ac:dyDescent="0.3">
      <c r="A70" s="334" t="s">
        <v>247</v>
      </c>
      <c r="B70" s="254"/>
      <c r="C70" s="335">
        <f>SUM($C$2:$C$68)</f>
        <v>503227861.77999991</v>
      </c>
    </row>
    <row r="72" spans="1:3" x14ac:dyDescent="0.3">
      <c r="C72" s="419"/>
    </row>
    <row r="73" spans="1:3" x14ac:dyDescent="0.3">
      <c r="C73" s="419"/>
    </row>
  </sheetData>
  <autoFilter ref="A1:C1" xr:uid="{5918C03B-95D8-45D5-843A-E5317B803B9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671B-132A-429D-906B-BB4CDA1B443E}">
  <sheetPr>
    <pageSetUpPr fitToPage="1"/>
  </sheetPr>
  <dimension ref="A1:F78"/>
  <sheetViews>
    <sheetView zoomScale="140" zoomScaleNormal="140" zoomScalePageLayoutView="55" workbookViewId="0">
      <pane ySplit="2" topLeftCell="A51" activePane="bottomLeft" state="frozen"/>
      <selection pane="bottomLeft" activeCell="A76" sqref="A76:F76"/>
    </sheetView>
  </sheetViews>
  <sheetFormatPr defaultColWidth="2.28515625" defaultRowHeight="13.5" x14ac:dyDescent="0.25"/>
  <cols>
    <col min="1" max="1" width="14" style="21" customWidth="1"/>
    <col min="2" max="2" width="6.28515625" style="21" customWidth="1"/>
    <col min="3" max="3" width="17.42578125" style="21" customWidth="1"/>
    <col min="4" max="4" width="17" style="62" customWidth="1"/>
    <col min="5" max="5" width="19.42578125" style="21" customWidth="1"/>
    <col min="6" max="6" width="10" style="69" customWidth="1"/>
    <col min="7" max="16384" width="2.28515625" style="21"/>
  </cols>
  <sheetData>
    <row r="1" spans="1:6" ht="14.25" hidden="1" thickBot="1" x14ac:dyDescent="0.3">
      <c r="A1" s="373" t="s">
        <v>252</v>
      </c>
      <c r="D1" s="374">
        <f>ROUND((C71*0.1),0)</f>
        <v>51878174</v>
      </c>
      <c r="E1" s="375">
        <v>0.1</v>
      </c>
    </row>
    <row r="2" spans="1:6" s="12" customFormat="1" ht="54.75" thickBot="1" x14ac:dyDescent="0.3">
      <c r="A2" s="9" t="s">
        <v>2</v>
      </c>
      <c r="B2" s="10" t="s">
        <v>3</v>
      </c>
      <c r="C2" s="35" t="s">
        <v>90</v>
      </c>
      <c r="D2" s="376" t="s">
        <v>257</v>
      </c>
      <c r="E2" s="377" t="s">
        <v>261</v>
      </c>
      <c r="F2" s="378" t="s">
        <v>258</v>
      </c>
    </row>
    <row r="3" spans="1:6" s="16" customFormat="1" x14ac:dyDescent="0.25">
      <c r="A3" s="13" t="s">
        <v>26</v>
      </c>
      <c r="B3" s="14">
        <v>1</v>
      </c>
      <c r="C3" s="379">
        <v>558057</v>
      </c>
      <c r="D3" s="380">
        <f t="shared" ref="D3:D65" si="0">-(C3*E$1)</f>
        <v>-55805.700000000004</v>
      </c>
      <c r="E3" s="381">
        <f>C3+D3</f>
        <v>502251.3</v>
      </c>
      <c r="F3" s="382">
        <f>E3/C3-1</f>
        <v>-9.9999999999999978E-2</v>
      </c>
    </row>
    <row r="4" spans="1:6" customFormat="1" ht="13.5" customHeight="1" x14ac:dyDescent="0.25">
      <c r="A4" s="13" t="s">
        <v>37</v>
      </c>
      <c r="B4" s="14">
        <v>1</v>
      </c>
      <c r="C4" s="383">
        <v>343958</v>
      </c>
      <c r="D4" s="384">
        <f t="shared" si="0"/>
        <v>-34395.800000000003</v>
      </c>
      <c r="E4" s="385">
        <f t="shared" ref="E4:E67" si="1">C4+D4</f>
        <v>309562.2</v>
      </c>
      <c r="F4" s="386">
        <f t="shared" ref="F4:F67" si="2">E4/C4-1</f>
        <v>-9.9999999999999978E-2</v>
      </c>
    </row>
    <row r="5" spans="1:6" s="17" customFormat="1" x14ac:dyDescent="0.25">
      <c r="A5" s="13" t="s">
        <v>42</v>
      </c>
      <c r="B5" s="14">
        <v>1</v>
      </c>
      <c r="C5" s="383">
        <v>360605</v>
      </c>
      <c r="D5" s="384">
        <f t="shared" si="0"/>
        <v>-36060.5</v>
      </c>
      <c r="E5" s="385">
        <f t="shared" si="1"/>
        <v>324544.5</v>
      </c>
      <c r="F5" s="386">
        <f t="shared" si="2"/>
        <v>-9.9999999999999978E-2</v>
      </c>
    </row>
    <row r="6" spans="1:6" s="16" customFormat="1" x14ac:dyDescent="0.25">
      <c r="A6" s="13" t="s">
        <v>67</v>
      </c>
      <c r="B6" s="14">
        <v>1</v>
      </c>
      <c r="C6" s="383">
        <v>544515</v>
      </c>
      <c r="D6" s="384">
        <f t="shared" si="0"/>
        <v>-54451.5</v>
      </c>
      <c r="E6" s="385">
        <f t="shared" si="1"/>
        <v>490063.5</v>
      </c>
      <c r="F6" s="386">
        <f t="shared" si="2"/>
        <v>-9.9999999999999978E-2</v>
      </c>
    </row>
    <row r="7" spans="1:6" s="16" customFormat="1" x14ac:dyDescent="0.25">
      <c r="A7" s="13" t="s">
        <v>6</v>
      </c>
      <c r="B7" s="14">
        <v>2</v>
      </c>
      <c r="C7" s="383">
        <v>816730</v>
      </c>
      <c r="D7" s="384">
        <f t="shared" si="0"/>
        <v>-81673</v>
      </c>
      <c r="E7" s="385">
        <f t="shared" si="1"/>
        <v>735057</v>
      </c>
      <c r="F7" s="386">
        <f t="shared" si="2"/>
        <v>-9.9999999999999978E-2</v>
      </c>
    </row>
    <row r="8" spans="1:6" s="16" customFormat="1" x14ac:dyDescent="0.25">
      <c r="A8" s="18" t="s">
        <v>11</v>
      </c>
      <c r="B8" s="19">
        <v>2</v>
      </c>
      <c r="C8" s="383">
        <v>509417</v>
      </c>
      <c r="D8" s="384">
        <f t="shared" si="0"/>
        <v>-50941.700000000004</v>
      </c>
      <c r="E8" s="385">
        <f t="shared" si="1"/>
        <v>458475.3</v>
      </c>
      <c r="F8" s="386">
        <f t="shared" si="2"/>
        <v>-9.9999999999999978E-2</v>
      </c>
    </row>
    <row r="9" spans="1:6" s="16" customFormat="1" x14ac:dyDescent="0.25">
      <c r="A9" s="13" t="s">
        <v>18</v>
      </c>
      <c r="B9" s="14">
        <v>2</v>
      </c>
      <c r="C9" s="383">
        <v>561107</v>
      </c>
      <c r="D9" s="384">
        <f t="shared" si="0"/>
        <v>-56110.700000000004</v>
      </c>
      <c r="E9" s="385">
        <f t="shared" si="1"/>
        <v>504996.3</v>
      </c>
      <c r="F9" s="386">
        <f t="shared" si="2"/>
        <v>-9.9999999999999978E-2</v>
      </c>
    </row>
    <row r="10" spans="1:6" s="16" customFormat="1" x14ac:dyDescent="0.25">
      <c r="A10" s="13" t="s">
        <v>22</v>
      </c>
      <c r="B10" s="14">
        <v>2</v>
      </c>
      <c r="C10" s="383">
        <v>729233</v>
      </c>
      <c r="D10" s="384">
        <f t="shared" si="0"/>
        <v>-72923.3</v>
      </c>
      <c r="E10" s="385">
        <f t="shared" si="1"/>
        <v>656309.69999999995</v>
      </c>
      <c r="F10" s="386">
        <f t="shared" si="2"/>
        <v>-0.10000000000000009</v>
      </c>
    </row>
    <row r="11" spans="1:6" s="16" customFormat="1" x14ac:dyDescent="0.25">
      <c r="A11" s="13" t="s">
        <v>24</v>
      </c>
      <c r="B11" s="14">
        <v>2</v>
      </c>
      <c r="C11" s="383">
        <v>614496</v>
      </c>
      <c r="D11" s="384">
        <f t="shared" si="0"/>
        <v>-61449.600000000006</v>
      </c>
      <c r="E11" s="385">
        <f t="shared" si="1"/>
        <v>553046.4</v>
      </c>
      <c r="F11" s="386">
        <f t="shared" si="2"/>
        <v>-9.9999999999999978E-2</v>
      </c>
    </row>
    <row r="12" spans="1:6" s="16" customFormat="1" x14ac:dyDescent="0.25">
      <c r="A12" s="13" t="s">
        <v>25</v>
      </c>
      <c r="B12" s="14">
        <v>2</v>
      </c>
      <c r="C12" s="383">
        <v>638127</v>
      </c>
      <c r="D12" s="384">
        <f t="shared" si="0"/>
        <v>-63812.700000000004</v>
      </c>
      <c r="E12" s="385">
        <f t="shared" si="1"/>
        <v>574314.30000000005</v>
      </c>
      <c r="F12" s="386">
        <f t="shared" si="2"/>
        <v>-9.9999999999999978E-2</v>
      </c>
    </row>
    <row r="13" spans="1:6" s="16" customFormat="1" ht="12.75" customHeight="1" x14ac:dyDescent="0.25">
      <c r="A13" s="13" t="s">
        <v>27</v>
      </c>
      <c r="B13" s="14">
        <v>2</v>
      </c>
      <c r="C13" s="383">
        <v>669639</v>
      </c>
      <c r="D13" s="384">
        <f t="shared" si="0"/>
        <v>-66963.900000000009</v>
      </c>
      <c r="E13" s="385">
        <f t="shared" si="1"/>
        <v>602675.1</v>
      </c>
      <c r="F13" s="386">
        <f t="shared" si="2"/>
        <v>-0.10000000000000009</v>
      </c>
    </row>
    <row r="14" spans="1:6" s="16" customFormat="1" x14ac:dyDescent="0.25">
      <c r="A14" s="13" t="s">
        <v>28</v>
      </c>
      <c r="B14" s="14">
        <v>2</v>
      </c>
      <c r="C14" s="383">
        <v>1021928</v>
      </c>
      <c r="D14" s="384">
        <f t="shared" si="0"/>
        <v>-102192.8</v>
      </c>
      <c r="E14" s="385">
        <f t="shared" si="1"/>
        <v>919735.2</v>
      </c>
      <c r="F14" s="386">
        <f t="shared" si="2"/>
        <v>-0.10000000000000009</v>
      </c>
    </row>
    <row r="15" spans="1:6" s="16" customFormat="1" x14ac:dyDescent="0.25">
      <c r="A15" s="13" t="s">
        <v>33</v>
      </c>
      <c r="B15" s="14">
        <v>2</v>
      </c>
      <c r="C15" s="383">
        <v>670053</v>
      </c>
      <c r="D15" s="384">
        <f t="shared" si="0"/>
        <v>-67005.3</v>
      </c>
      <c r="E15" s="385">
        <f t="shared" si="1"/>
        <v>603047.69999999995</v>
      </c>
      <c r="F15" s="386">
        <f t="shared" si="2"/>
        <v>-0.10000000000000009</v>
      </c>
    </row>
    <row r="16" spans="1:6" s="16" customFormat="1" x14ac:dyDescent="0.25">
      <c r="A16" s="13" t="s">
        <v>36</v>
      </c>
      <c r="B16" s="14">
        <v>2</v>
      </c>
      <c r="C16" s="383">
        <v>565956</v>
      </c>
      <c r="D16" s="384">
        <f t="shared" si="0"/>
        <v>-56595.600000000006</v>
      </c>
      <c r="E16" s="385">
        <f t="shared" si="1"/>
        <v>509360.4</v>
      </c>
      <c r="F16" s="386">
        <f t="shared" si="2"/>
        <v>-9.9999999999999978E-2</v>
      </c>
    </row>
    <row r="17" spans="1:6" s="16" customFormat="1" x14ac:dyDescent="0.25">
      <c r="A17" s="13" t="s">
        <v>66</v>
      </c>
      <c r="B17" s="14">
        <v>2</v>
      </c>
      <c r="C17" s="383">
        <v>648825</v>
      </c>
      <c r="D17" s="384">
        <f t="shared" si="0"/>
        <v>-64882.5</v>
      </c>
      <c r="E17" s="385">
        <f t="shared" si="1"/>
        <v>583942.5</v>
      </c>
      <c r="F17" s="386">
        <f t="shared" si="2"/>
        <v>-9.9999999999999978E-2</v>
      </c>
    </row>
    <row r="18" spans="1:6" s="16" customFormat="1" x14ac:dyDescent="0.25">
      <c r="A18" s="13" t="s">
        <v>71</v>
      </c>
      <c r="B18" s="14">
        <v>2</v>
      </c>
      <c r="C18" s="383">
        <v>899753</v>
      </c>
      <c r="D18" s="384">
        <f t="shared" si="0"/>
        <v>-89975.3</v>
      </c>
      <c r="E18" s="385">
        <f t="shared" si="1"/>
        <v>809777.7</v>
      </c>
      <c r="F18" s="386">
        <f t="shared" si="2"/>
        <v>-0.10000000000000009</v>
      </c>
    </row>
    <row r="19" spans="1:6" s="16" customFormat="1" x14ac:dyDescent="0.25">
      <c r="A19" s="13" t="s">
        <v>8</v>
      </c>
      <c r="B19" s="14">
        <v>3</v>
      </c>
      <c r="C19" s="383">
        <v>1000951</v>
      </c>
      <c r="D19" s="384">
        <f t="shared" si="0"/>
        <v>-100095.1</v>
      </c>
      <c r="E19" s="385">
        <f t="shared" si="1"/>
        <v>900855.9</v>
      </c>
      <c r="F19" s="386">
        <f t="shared" si="2"/>
        <v>-9.9999999999999978E-2</v>
      </c>
    </row>
    <row r="20" spans="1:6" s="16" customFormat="1" x14ac:dyDescent="0.25">
      <c r="A20" s="13" t="s">
        <v>17</v>
      </c>
      <c r="B20" s="14">
        <v>3</v>
      </c>
      <c r="C20" s="383">
        <v>939304</v>
      </c>
      <c r="D20" s="384">
        <f t="shared" si="0"/>
        <v>-93930.400000000009</v>
      </c>
      <c r="E20" s="385">
        <f t="shared" si="1"/>
        <v>845373.6</v>
      </c>
      <c r="F20" s="386">
        <f t="shared" si="2"/>
        <v>-9.9999999999999978E-2</v>
      </c>
    </row>
    <row r="21" spans="1:6" s="16" customFormat="1" x14ac:dyDescent="0.25">
      <c r="A21" s="13" t="s">
        <v>23</v>
      </c>
      <c r="B21" s="14">
        <v>3</v>
      </c>
      <c r="C21" s="383">
        <v>1526249</v>
      </c>
      <c r="D21" s="384">
        <f t="shared" si="0"/>
        <v>-152624.9</v>
      </c>
      <c r="E21" s="385">
        <f t="shared" si="1"/>
        <v>1373624.1</v>
      </c>
      <c r="F21" s="386">
        <f t="shared" si="2"/>
        <v>-9.9999999999999978E-2</v>
      </c>
    </row>
    <row r="22" spans="1:6" s="16" customFormat="1" x14ac:dyDescent="0.25">
      <c r="A22" s="13" t="s">
        <v>29</v>
      </c>
      <c r="B22" s="14">
        <v>3</v>
      </c>
      <c r="C22" s="383">
        <v>1438886</v>
      </c>
      <c r="D22" s="384">
        <f t="shared" si="0"/>
        <v>-143888.6</v>
      </c>
      <c r="E22" s="385">
        <f t="shared" si="1"/>
        <v>1294997.3999999999</v>
      </c>
      <c r="F22" s="386">
        <f t="shared" si="2"/>
        <v>-0.10000000000000009</v>
      </c>
    </row>
    <row r="23" spans="1:6" s="16" customFormat="1" x14ac:dyDescent="0.25">
      <c r="A23" s="13" t="s">
        <v>35</v>
      </c>
      <c r="B23" s="14">
        <v>3</v>
      </c>
      <c r="C23" s="383">
        <v>1255824</v>
      </c>
      <c r="D23" s="384">
        <f t="shared" si="0"/>
        <v>-125582.40000000001</v>
      </c>
      <c r="E23" s="385">
        <f t="shared" si="1"/>
        <v>1130241.6000000001</v>
      </c>
      <c r="F23" s="386">
        <f t="shared" si="2"/>
        <v>-9.9999999999999978E-2</v>
      </c>
    </row>
    <row r="24" spans="1:6" s="16" customFormat="1" x14ac:dyDescent="0.25">
      <c r="A24" s="13" t="s">
        <v>41</v>
      </c>
      <c r="B24" s="14">
        <v>3</v>
      </c>
      <c r="C24" s="383">
        <v>1307660</v>
      </c>
      <c r="D24" s="384">
        <f t="shared" si="0"/>
        <v>-130766</v>
      </c>
      <c r="E24" s="385">
        <f t="shared" si="1"/>
        <v>1176894</v>
      </c>
      <c r="F24" s="386">
        <f t="shared" si="2"/>
        <v>-9.9999999999999978E-2</v>
      </c>
    </row>
    <row r="25" spans="1:6" s="16" customFormat="1" x14ac:dyDescent="0.25">
      <c r="A25" s="13" t="s">
        <v>43</v>
      </c>
      <c r="B25" s="14">
        <v>3</v>
      </c>
      <c r="C25" s="383">
        <v>648064</v>
      </c>
      <c r="D25" s="384">
        <f t="shared" si="0"/>
        <v>-64806.400000000001</v>
      </c>
      <c r="E25" s="385">
        <f t="shared" si="1"/>
        <v>583257.59999999998</v>
      </c>
      <c r="F25" s="386">
        <f t="shared" si="2"/>
        <v>-0.10000000000000009</v>
      </c>
    </row>
    <row r="26" spans="1:6" s="16" customFormat="1" x14ac:dyDescent="0.25">
      <c r="A26" s="13" t="s">
        <v>51</v>
      </c>
      <c r="B26" s="14">
        <v>3</v>
      </c>
      <c r="C26" s="383">
        <v>1472937</v>
      </c>
      <c r="D26" s="384">
        <f t="shared" si="0"/>
        <v>-147293.70000000001</v>
      </c>
      <c r="E26" s="385">
        <f t="shared" si="1"/>
        <v>1325643.3</v>
      </c>
      <c r="F26" s="386">
        <f t="shared" si="2"/>
        <v>-9.9999999999999978E-2</v>
      </c>
    </row>
    <row r="27" spans="1:6" s="16" customFormat="1" x14ac:dyDescent="0.25">
      <c r="A27" s="13" t="s">
        <v>65</v>
      </c>
      <c r="B27" s="14">
        <v>3</v>
      </c>
      <c r="C27" s="383">
        <v>1344959</v>
      </c>
      <c r="D27" s="384">
        <f t="shared" si="0"/>
        <v>-134495.9</v>
      </c>
      <c r="E27" s="385">
        <f t="shared" si="1"/>
        <v>1210463.1000000001</v>
      </c>
      <c r="F27" s="386">
        <f t="shared" si="2"/>
        <v>-9.9999999999999978E-2</v>
      </c>
    </row>
    <row r="28" spans="1:6" s="16" customFormat="1" x14ac:dyDescent="0.25">
      <c r="A28" s="13" t="s">
        <v>69</v>
      </c>
      <c r="B28" s="14">
        <v>3</v>
      </c>
      <c r="C28" s="383">
        <v>804879</v>
      </c>
      <c r="D28" s="384">
        <f t="shared" si="0"/>
        <v>-80487.900000000009</v>
      </c>
      <c r="E28" s="385">
        <f t="shared" si="1"/>
        <v>724391.1</v>
      </c>
      <c r="F28" s="386">
        <f t="shared" si="2"/>
        <v>-9.9999999999999978E-2</v>
      </c>
    </row>
    <row r="29" spans="1:6" s="16" customFormat="1" x14ac:dyDescent="0.25">
      <c r="A29" s="13" t="s">
        <v>13</v>
      </c>
      <c r="B29" s="14">
        <v>4</v>
      </c>
      <c r="C29" s="383">
        <v>3525784</v>
      </c>
      <c r="D29" s="384">
        <f t="shared" si="0"/>
        <v>-352578.4</v>
      </c>
      <c r="E29" s="385">
        <f t="shared" si="1"/>
        <v>3173205.6</v>
      </c>
      <c r="F29" s="386">
        <f t="shared" si="2"/>
        <v>-9.9999999999999978E-2</v>
      </c>
    </row>
    <row r="30" spans="1:6" s="16" customFormat="1" x14ac:dyDescent="0.25">
      <c r="A30" s="13" t="s">
        <v>16</v>
      </c>
      <c r="B30" s="14">
        <v>4</v>
      </c>
      <c r="C30" s="383">
        <v>1846836</v>
      </c>
      <c r="D30" s="384">
        <f t="shared" si="0"/>
        <v>-184683.6</v>
      </c>
      <c r="E30" s="385">
        <f t="shared" si="1"/>
        <v>1662152.4</v>
      </c>
      <c r="F30" s="386">
        <f t="shared" si="2"/>
        <v>-0.10000000000000009</v>
      </c>
    </row>
    <row r="31" spans="1:6" s="16" customFormat="1" x14ac:dyDescent="0.25">
      <c r="A31" s="13" t="s">
        <v>21</v>
      </c>
      <c r="B31" s="14">
        <v>4</v>
      </c>
      <c r="C31" s="383">
        <v>2140390</v>
      </c>
      <c r="D31" s="384">
        <f t="shared" si="0"/>
        <v>-214039</v>
      </c>
      <c r="E31" s="385">
        <f t="shared" si="1"/>
        <v>1926351</v>
      </c>
      <c r="F31" s="386">
        <f t="shared" si="2"/>
        <v>-9.9999999999999978E-2</v>
      </c>
    </row>
    <row r="32" spans="1:6" s="16" customFormat="1" x14ac:dyDescent="0.25">
      <c r="A32" s="13" t="s">
        <v>31</v>
      </c>
      <c r="B32" s="14">
        <v>4</v>
      </c>
      <c r="C32" s="383">
        <v>2287647</v>
      </c>
      <c r="D32" s="384">
        <f t="shared" si="0"/>
        <v>-228764.7</v>
      </c>
      <c r="E32" s="385">
        <f t="shared" si="1"/>
        <v>2058882.3</v>
      </c>
      <c r="F32" s="386">
        <f t="shared" si="2"/>
        <v>-9.9999999999999978E-2</v>
      </c>
    </row>
    <row r="33" spans="1:6" s="16" customFormat="1" x14ac:dyDescent="0.25">
      <c r="A33" s="13" t="s">
        <v>34</v>
      </c>
      <c r="B33" s="14">
        <v>4</v>
      </c>
      <c r="C33" s="383">
        <v>3299276</v>
      </c>
      <c r="D33" s="384">
        <f t="shared" si="0"/>
        <v>-329927.60000000003</v>
      </c>
      <c r="E33" s="385">
        <f t="shared" si="1"/>
        <v>2969348.4</v>
      </c>
      <c r="F33" s="386">
        <f t="shared" si="2"/>
        <v>-9.9999999999999978E-2</v>
      </c>
    </row>
    <row r="34" spans="1:6" s="16" customFormat="1" x14ac:dyDescent="0.25">
      <c r="A34" s="13" t="s">
        <v>46</v>
      </c>
      <c r="B34" s="14">
        <v>4</v>
      </c>
      <c r="C34" s="383">
        <v>4008040</v>
      </c>
      <c r="D34" s="384">
        <f t="shared" si="0"/>
        <v>-400804</v>
      </c>
      <c r="E34" s="385">
        <f t="shared" si="1"/>
        <v>3607236</v>
      </c>
      <c r="F34" s="386">
        <f t="shared" si="2"/>
        <v>-9.9999999999999978E-2</v>
      </c>
    </row>
    <row r="35" spans="1:6" s="16" customFormat="1" x14ac:dyDescent="0.25">
      <c r="A35" s="13" t="s">
        <v>49</v>
      </c>
      <c r="B35" s="14">
        <v>4</v>
      </c>
      <c r="C35" s="383">
        <v>1820759</v>
      </c>
      <c r="D35" s="384">
        <f t="shared" si="0"/>
        <v>-182075.90000000002</v>
      </c>
      <c r="E35" s="385">
        <f t="shared" si="1"/>
        <v>1638683.1</v>
      </c>
      <c r="F35" s="386">
        <f t="shared" si="2"/>
        <v>-9.9999999999999978E-2</v>
      </c>
    </row>
    <row r="36" spans="1:6" s="16" customFormat="1" x14ac:dyDescent="0.25">
      <c r="A36" s="13" t="s">
        <v>58</v>
      </c>
      <c r="B36" s="14">
        <v>4</v>
      </c>
      <c r="C36" s="383">
        <v>2469317</v>
      </c>
      <c r="D36" s="384">
        <f t="shared" si="0"/>
        <v>-246931.7</v>
      </c>
      <c r="E36" s="385">
        <f t="shared" si="1"/>
        <v>2222385.2999999998</v>
      </c>
      <c r="F36" s="386">
        <f t="shared" si="2"/>
        <v>-0.10000000000000009</v>
      </c>
    </row>
    <row r="37" spans="1:6" s="16" customFormat="1" x14ac:dyDescent="0.25">
      <c r="A37" s="13" t="s">
        <v>64</v>
      </c>
      <c r="B37" s="14">
        <v>4</v>
      </c>
      <c r="C37" s="383">
        <v>2255831</v>
      </c>
      <c r="D37" s="384">
        <f t="shared" si="0"/>
        <v>-225583.1</v>
      </c>
      <c r="E37" s="385">
        <f t="shared" si="1"/>
        <v>2030247.9</v>
      </c>
      <c r="F37" s="386">
        <f t="shared" si="2"/>
        <v>-0.10000000000000009</v>
      </c>
    </row>
    <row r="38" spans="1:6" s="16" customFormat="1" x14ac:dyDescent="0.25">
      <c r="A38" s="13" t="s">
        <v>70</v>
      </c>
      <c r="B38" s="14">
        <v>4</v>
      </c>
      <c r="C38" s="383">
        <v>1995185</v>
      </c>
      <c r="D38" s="384">
        <f t="shared" si="0"/>
        <v>-199518.5</v>
      </c>
      <c r="E38" s="385">
        <f t="shared" si="1"/>
        <v>1795666.5</v>
      </c>
      <c r="F38" s="386">
        <f t="shared" si="2"/>
        <v>-9.9999999999999978E-2</v>
      </c>
    </row>
    <row r="39" spans="1:6" s="16" customFormat="1" x14ac:dyDescent="0.25">
      <c r="A39" s="13" t="s">
        <v>5</v>
      </c>
      <c r="B39" s="14">
        <v>5</v>
      </c>
      <c r="C39" s="383">
        <v>6676129</v>
      </c>
      <c r="D39" s="384">
        <f t="shared" si="0"/>
        <v>-667612.9</v>
      </c>
      <c r="E39" s="385">
        <f t="shared" si="1"/>
        <v>6008516.0999999996</v>
      </c>
      <c r="F39" s="386">
        <f t="shared" si="2"/>
        <v>-0.10000000000000009</v>
      </c>
    </row>
    <row r="40" spans="1:6" s="16" customFormat="1" x14ac:dyDescent="0.25">
      <c r="A40" s="13" t="s">
        <v>7</v>
      </c>
      <c r="B40" s="14">
        <v>5</v>
      </c>
      <c r="C40" s="383">
        <v>4553732</v>
      </c>
      <c r="D40" s="384">
        <f t="shared" si="0"/>
        <v>-455373.2</v>
      </c>
      <c r="E40" s="385">
        <f t="shared" si="1"/>
        <v>4098358.8</v>
      </c>
      <c r="F40" s="386">
        <f t="shared" si="2"/>
        <v>-0.10000000000000009</v>
      </c>
    </row>
    <row r="41" spans="1:6" s="16" customFormat="1" x14ac:dyDescent="0.25">
      <c r="A41" s="13" t="s">
        <v>12</v>
      </c>
      <c r="B41" s="14">
        <v>5</v>
      </c>
      <c r="C41" s="383">
        <v>4115050</v>
      </c>
      <c r="D41" s="384">
        <f t="shared" si="0"/>
        <v>-411505</v>
      </c>
      <c r="E41" s="385">
        <f t="shared" si="1"/>
        <v>3703545</v>
      </c>
      <c r="F41" s="386">
        <f t="shared" si="2"/>
        <v>-9.9999999999999978E-2</v>
      </c>
    </row>
    <row r="42" spans="1:6" s="16" customFormat="1" x14ac:dyDescent="0.25">
      <c r="A42" s="13" t="s">
        <v>14</v>
      </c>
      <c r="B42" s="14">
        <v>5</v>
      </c>
      <c r="C42" s="383">
        <v>4276738</v>
      </c>
      <c r="D42" s="384">
        <f t="shared" si="0"/>
        <v>-427673.80000000005</v>
      </c>
      <c r="E42" s="385">
        <f t="shared" si="1"/>
        <v>3849064.2</v>
      </c>
      <c r="F42" s="386">
        <f t="shared" si="2"/>
        <v>-9.9999999999999978E-2</v>
      </c>
    </row>
    <row r="43" spans="1:6" s="16" customFormat="1" x14ac:dyDescent="0.25">
      <c r="A43" s="13" t="s">
        <v>15</v>
      </c>
      <c r="B43" s="14">
        <v>5</v>
      </c>
      <c r="C43" s="383">
        <v>7477231</v>
      </c>
      <c r="D43" s="384">
        <f t="shared" si="0"/>
        <v>-747723.10000000009</v>
      </c>
      <c r="E43" s="385">
        <f t="shared" si="1"/>
        <v>6729507.9000000004</v>
      </c>
      <c r="F43" s="386">
        <f t="shared" si="2"/>
        <v>-9.9999999999999978E-2</v>
      </c>
    </row>
    <row r="44" spans="1:6" s="16" customFormat="1" x14ac:dyDescent="0.25">
      <c r="A44" s="13" t="s">
        <v>30</v>
      </c>
      <c r="B44" s="14">
        <v>5</v>
      </c>
      <c r="C44" s="383">
        <v>4003407</v>
      </c>
      <c r="D44" s="384">
        <f t="shared" si="0"/>
        <v>-400340.7</v>
      </c>
      <c r="E44" s="385">
        <f t="shared" si="1"/>
        <v>3603066.3</v>
      </c>
      <c r="F44" s="386">
        <f t="shared" si="2"/>
        <v>-0.10000000000000009</v>
      </c>
    </row>
    <row r="45" spans="1:6" s="16" customFormat="1" x14ac:dyDescent="0.25">
      <c r="A45" s="13" t="s">
        <v>38</v>
      </c>
      <c r="B45" s="14">
        <v>5</v>
      </c>
      <c r="C45" s="383">
        <v>7214798</v>
      </c>
      <c r="D45" s="384">
        <f t="shared" si="0"/>
        <v>-721479.8</v>
      </c>
      <c r="E45" s="385">
        <f t="shared" si="1"/>
        <v>6493318.2000000002</v>
      </c>
      <c r="F45" s="386">
        <f t="shared" si="2"/>
        <v>-9.9999999999999978E-2</v>
      </c>
    </row>
    <row r="46" spans="1:6" s="16" customFormat="1" x14ac:dyDescent="0.25">
      <c r="A46" s="13" t="s">
        <v>40</v>
      </c>
      <c r="B46" s="14">
        <v>5</v>
      </c>
      <c r="C46" s="383">
        <v>6810411</v>
      </c>
      <c r="D46" s="384">
        <f t="shared" si="0"/>
        <v>-681041.10000000009</v>
      </c>
      <c r="E46" s="385">
        <f t="shared" si="1"/>
        <v>6129369.9000000004</v>
      </c>
      <c r="F46" s="386">
        <f t="shared" si="2"/>
        <v>-9.9999999999999978E-2</v>
      </c>
    </row>
    <row r="47" spans="1:6" s="16" customFormat="1" x14ac:dyDescent="0.25">
      <c r="A47" s="13" t="s">
        <v>45</v>
      </c>
      <c r="B47" s="14">
        <v>5</v>
      </c>
      <c r="C47" s="383">
        <v>7612138</v>
      </c>
      <c r="D47" s="384">
        <f t="shared" si="0"/>
        <v>-761213.8</v>
      </c>
      <c r="E47" s="385">
        <f t="shared" si="1"/>
        <v>6850924.2000000002</v>
      </c>
      <c r="F47" s="386">
        <f t="shared" si="2"/>
        <v>-9.9999999999999978E-2</v>
      </c>
    </row>
    <row r="48" spans="1:6" s="16" customFormat="1" x14ac:dyDescent="0.25">
      <c r="A48" s="13" t="s">
        <v>48</v>
      </c>
      <c r="B48" s="14">
        <v>5</v>
      </c>
      <c r="C48" s="383">
        <v>4130386</v>
      </c>
      <c r="D48" s="384">
        <f t="shared" si="0"/>
        <v>-413038.60000000003</v>
      </c>
      <c r="E48" s="385">
        <f t="shared" si="1"/>
        <v>3717347.4</v>
      </c>
      <c r="F48" s="386">
        <f t="shared" si="2"/>
        <v>-9.9999999999999978E-2</v>
      </c>
    </row>
    <row r="49" spans="1:6" s="16" customFormat="1" x14ac:dyDescent="0.25">
      <c r="A49" s="13" t="s">
        <v>50</v>
      </c>
      <c r="B49" s="14">
        <v>5</v>
      </c>
      <c r="C49" s="383">
        <v>4274112</v>
      </c>
      <c r="D49" s="384">
        <f t="shared" si="0"/>
        <v>-427411.20000000001</v>
      </c>
      <c r="E49" s="385">
        <f t="shared" si="1"/>
        <v>3846700.8</v>
      </c>
      <c r="F49" s="386">
        <f t="shared" si="2"/>
        <v>-0.10000000000000009</v>
      </c>
    </row>
    <row r="50" spans="1:6" s="16" customFormat="1" x14ac:dyDescent="0.25">
      <c r="A50" s="13" t="s">
        <v>59</v>
      </c>
      <c r="B50" s="14">
        <v>5</v>
      </c>
      <c r="C50" s="383">
        <v>4249289</v>
      </c>
      <c r="D50" s="384">
        <f t="shared" si="0"/>
        <v>-424928.9</v>
      </c>
      <c r="E50" s="385">
        <f t="shared" si="1"/>
        <v>3824360.1</v>
      </c>
      <c r="F50" s="386">
        <f t="shared" si="2"/>
        <v>-9.9999999999999978E-2</v>
      </c>
    </row>
    <row r="51" spans="1:6" s="16" customFormat="1" x14ac:dyDescent="0.25">
      <c r="A51" s="13" t="s">
        <v>60</v>
      </c>
      <c r="B51" s="14">
        <v>5</v>
      </c>
      <c r="C51" s="383">
        <v>7712313</v>
      </c>
      <c r="D51" s="384">
        <f t="shared" si="0"/>
        <v>-771231.3</v>
      </c>
      <c r="E51" s="385">
        <f t="shared" si="1"/>
        <v>6941081.7000000002</v>
      </c>
      <c r="F51" s="386">
        <f t="shared" si="2"/>
        <v>-9.9999999999999978E-2</v>
      </c>
    </row>
    <row r="52" spans="1:6" s="16" customFormat="1" x14ac:dyDescent="0.25">
      <c r="A52" s="13" t="s">
        <v>61</v>
      </c>
      <c r="B52" s="14">
        <v>5</v>
      </c>
      <c r="C52" s="383">
        <v>3914945</v>
      </c>
      <c r="D52" s="384">
        <f t="shared" si="0"/>
        <v>-391494.5</v>
      </c>
      <c r="E52" s="385">
        <f t="shared" si="1"/>
        <v>3523450.5</v>
      </c>
      <c r="F52" s="386">
        <f t="shared" si="2"/>
        <v>-9.9999999999999978E-2</v>
      </c>
    </row>
    <row r="53" spans="1:6" s="16" customFormat="1" x14ac:dyDescent="0.25">
      <c r="A53" s="13" t="s">
        <v>9</v>
      </c>
      <c r="B53" s="14">
        <v>6</v>
      </c>
      <c r="C53" s="383">
        <v>13042941</v>
      </c>
      <c r="D53" s="384">
        <f t="shared" si="0"/>
        <v>-1304294.1000000001</v>
      </c>
      <c r="E53" s="385">
        <f t="shared" si="1"/>
        <v>11738646.9</v>
      </c>
      <c r="F53" s="386">
        <f t="shared" si="2"/>
        <v>-9.9999999999999978E-2</v>
      </c>
    </row>
    <row r="54" spans="1:6" s="16" customFormat="1" x14ac:dyDescent="0.25">
      <c r="A54" s="13" t="s">
        <v>20</v>
      </c>
      <c r="B54" s="14">
        <v>6</v>
      </c>
      <c r="C54" s="383">
        <v>7976162</v>
      </c>
      <c r="D54" s="384">
        <f t="shared" si="0"/>
        <v>-797616.20000000007</v>
      </c>
      <c r="E54" s="385">
        <f t="shared" si="1"/>
        <v>7178545.7999999998</v>
      </c>
      <c r="F54" s="386">
        <f t="shared" si="2"/>
        <v>-9.9999999999999978E-2</v>
      </c>
    </row>
    <row r="55" spans="1:6" s="16" customFormat="1" x14ac:dyDescent="0.25">
      <c r="A55" s="13" t="s">
        <v>44</v>
      </c>
      <c r="B55" s="14">
        <v>6</v>
      </c>
      <c r="C55" s="383">
        <v>6884221</v>
      </c>
      <c r="D55" s="384">
        <f t="shared" si="0"/>
        <v>-688422.10000000009</v>
      </c>
      <c r="E55" s="385">
        <f t="shared" si="1"/>
        <v>6195798.9000000004</v>
      </c>
      <c r="F55" s="386">
        <f t="shared" si="2"/>
        <v>-9.9999999999999978E-2</v>
      </c>
    </row>
    <row r="56" spans="1:6" s="16" customFormat="1" x14ac:dyDescent="0.25">
      <c r="A56" s="13" t="s">
        <v>53</v>
      </c>
      <c r="B56" s="14">
        <v>6</v>
      </c>
      <c r="C56" s="383">
        <v>8991338</v>
      </c>
      <c r="D56" s="384">
        <f t="shared" si="0"/>
        <v>-899133.8</v>
      </c>
      <c r="E56" s="385">
        <f t="shared" si="1"/>
        <v>8092204.2000000002</v>
      </c>
      <c r="F56" s="386">
        <f t="shared" si="2"/>
        <v>-9.9999999999999978E-2</v>
      </c>
    </row>
    <row r="57" spans="1:6" s="16" customFormat="1" x14ac:dyDescent="0.25">
      <c r="A57" s="13" t="s">
        <v>55</v>
      </c>
      <c r="B57" s="14">
        <v>6</v>
      </c>
      <c r="C57" s="383">
        <v>13281406</v>
      </c>
      <c r="D57" s="384">
        <f t="shared" si="0"/>
        <v>-1328140.6000000001</v>
      </c>
      <c r="E57" s="385">
        <f t="shared" si="1"/>
        <v>11953265.4</v>
      </c>
      <c r="F57" s="386">
        <f t="shared" si="2"/>
        <v>-9.9999999999999978E-2</v>
      </c>
    </row>
    <row r="58" spans="1:6" s="16" customFormat="1" x14ac:dyDescent="0.25">
      <c r="A58" s="13" t="s">
        <v>62</v>
      </c>
      <c r="B58" s="14">
        <v>6</v>
      </c>
      <c r="C58" s="383">
        <v>9443102</v>
      </c>
      <c r="D58" s="384">
        <f t="shared" si="0"/>
        <v>-944310.20000000007</v>
      </c>
      <c r="E58" s="385">
        <f t="shared" si="1"/>
        <v>8498791.8000000007</v>
      </c>
      <c r="F58" s="386">
        <f t="shared" si="2"/>
        <v>-9.9999999999999867E-2</v>
      </c>
    </row>
    <row r="59" spans="1:6" s="16" customFormat="1" x14ac:dyDescent="0.25">
      <c r="A59" s="13" t="s">
        <v>63</v>
      </c>
      <c r="B59" s="14">
        <v>6</v>
      </c>
      <c r="C59" s="383">
        <v>10199230</v>
      </c>
      <c r="D59" s="384">
        <f t="shared" si="0"/>
        <v>-1019923</v>
      </c>
      <c r="E59" s="385">
        <f t="shared" si="1"/>
        <v>9179307</v>
      </c>
      <c r="F59" s="386">
        <f t="shared" si="2"/>
        <v>-9.9999999999999978E-2</v>
      </c>
    </row>
    <row r="60" spans="1:6" s="16" customFormat="1" x14ac:dyDescent="0.25">
      <c r="A60" s="13" t="s">
        <v>39</v>
      </c>
      <c r="B60" s="14">
        <v>7</v>
      </c>
      <c r="C60" s="383">
        <v>13826859</v>
      </c>
      <c r="D60" s="384">
        <f t="shared" si="0"/>
        <v>-1382685.9000000001</v>
      </c>
      <c r="E60" s="385">
        <f t="shared" si="1"/>
        <v>12444173.1</v>
      </c>
      <c r="F60" s="386">
        <f t="shared" si="2"/>
        <v>-9.9999999999999978E-2</v>
      </c>
    </row>
    <row r="61" spans="1:6" s="16" customFormat="1" x14ac:dyDescent="0.25">
      <c r="A61" s="13" t="s">
        <v>56</v>
      </c>
      <c r="B61" s="14">
        <v>7</v>
      </c>
      <c r="C61" s="383">
        <v>25966935</v>
      </c>
      <c r="D61" s="384">
        <f t="shared" si="0"/>
        <v>-2596693.5</v>
      </c>
      <c r="E61" s="385">
        <f t="shared" si="1"/>
        <v>23370241.5</v>
      </c>
      <c r="F61" s="386">
        <f t="shared" si="2"/>
        <v>-9.9999999999999978E-2</v>
      </c>
    </row>
    <row r="62" spans="1:6" s="16" customFormat="1" x14ac:dyDescent="0.25">
      <c r="A62" s="13" t="s">
        <v>57</v>
      </c>
      <c r="B62" s="14">
        <v>7</v>
      </c>
      <c r="C62" s="383">
        <v>14703061</v>
      </c>
      <c r="D62" s="384">
        <f t="shared" si="0"/>
        <v>-1470306.1</v>
      </c>
      <c r="E62" s="385">
        <f t="shared" si="1"/>
        <v>13232754.9</v>
      </c>
      <c r="F62" s="386">
        <f t="shared" si="2"/>
        <v>-9.9999999999999978E-2</v>
      </c>
    </row>
    <row r="63" spans="1:6" s="16" customFormat="1" x14ac:dyDescent="0.25">
      <c r="A63" s="13" t="s">
        <v>68</v>
      </c>
      <c r="B63" s="14">
        <v>7</v>
      </c>
      <c r="C63" s="383">
        <v>13645907</v>
      </c>
      <c r="D63" s="384">
        <f t="shared" si="0"/>
        <v>-1364590.7000000002</v>
      </c>
      <c r="E63" s="385">
        <f t="shared" si="1"/>
        <v>12281316.300000001</v>
      </c>
      <c r="F63" s="386">
        <f t="shared" si="2"/>
        <v>-9.9999999999999978E-2</v>
      </c>
    </row>
    <row r="64" spans="1:6" s="16" customFormat="1" x14ac:dyDescent="0.25">
      <c r="A64" s="13" t="s">
        <v>10</v>
      </c>
      <c r="B64" s="14">
        <v>8</v>
      </c>
      <c r="C64" s="383">
        <v>45017522</v>
      </c>
      <c r="D64" s="384">
        <f t="shared" si="0"/>
        <v>-4501752.2</v>
      </c>
      <c r="E64" s="385">
        <f t="shared" si="1"/>
        <v>40515769.799999997</v>
      </c>
      <c r="F64" s="386">
        <f t="shared" si="2"/>
        <v>-0.10000000000000009</v>
      </c>
    </row>
    <row r="65" spans="1:6" s="16" customFormat="1" x14ac:dyDescent="0.25">
      <c r="A65" s="13" t="s">
        <v>19</v>
      </c>
      <c r="B65" s="14">
        <v>8</v>
      </c>
      <c r="C65" s="383">
        <v>23144597</v>
      </c>
      <c r="D65" s="384">
        <f t="shared" si="0"/>
        <v>-2314459.7000000002</v>
      </c>
      <c r="E65" s="385">
        <f t="shared" si="1"/>
        <v>20830137.300000001</v>
      </c>
      <c r="F65" s="386">
        <f t="shared" si="2"/>
        <v>-9.9999999999999978E-2</v>
      </c>
    </row>
    <row r="66" spans="1:6" s="16" customFormat="1" x14ac:dyDescent="0.25">
      <c r="A66" s="13" t="s">
        <v>32</v>
      </c>
      <c r="B66" s="14">
        <v>8</v>
      </c>
      <c r="C66" s="383">
        <v>35834370</v>
      </c>
      <c r="D66" s="384">
        <f>-(C66*E$1)</f>
        <v>-3583437</v>
      </c>
      <c r="E66" s="385">
        <f t="shared" si="1"/>
        <v>32250933</v>
      </c>
      <c r="F66" s="386">
        <f t="shared" si="2"/>
        <v>-9.9999999999999978E-2</v>
      </c>
    </row>
    <row r="67" spans="1:6" s="16" customFormat="1" x14ac:dyDescent="0.25">
      <c r="A67" s="13" t="s">
        <v>47</v>
      </c>
      <c r="B67" s="14">
        <v>8</v>
      </c>
      <c r="C67" s="383">
        <v>83295613</v>
      </c>
      <c r="D67" s="384">
        <f>-(C67*E$1)</f>
        <v>-8329561.3000000007</v>
      </c>
      <c r="E67" s="385">
        <f t="shared" si="1"/>
        <v>74966051.700000003</v>
      </c>
      <c r="F67" s="386">
        <f t="shared" si="2"/>
        <v>-9.9999999999999978E-2</v>
      </c>
    </row>
    <row r="68" spans="1:6" x14ac:dyDescent="0.25">
      <c r="A68" s="13" t="s">
        <v>52</v>
      </c>
      <c r="B68" s="14">
        <v>8</v>
      </c>
      <c r="C68" s="383">
        <v>34409249</v>
      </c>
      <c r="D68" s="384">
        <f>-(C68*E$1)</f>
        <v>-3440924.9000000004</v>
      </c>
      <c r="E68" s="385">
        <f>C68+D68</f>
        <v>30968324.100000001</v>
      </c>
      <c r="F68" s="386">
        <f>E68/C68-1</f>
        <v>-9.9999999999999978E-2</v>
      </c>
    </row>
    <row r="69" spans="1:6" ht="14.25" thickBot="1" x14ac:dyDescent="0.3">
      <c r="A69" s="22" t="s">
        <v>54</v>
      </c>
      <c r="B69" s="23">
        <v>8</v>
      </c>
      <c r="C69" s="387">
        <v>34557372</v>
      </c>
      <c r="D69" s="388">
        <f>-(C69*E$1)</f>
        <v>-3455737.2</v>
      </c>
      <c r="E69" s="389">
        <f>C69+D69</f>
        <v>31101634.800000001</v>
      </c>
      <c r="F69" s="390">
        <f>E69/C69-1</f>
        <v>-9.9999999999999978E-2</v>
      </c>
    </row>
    <row r="70" spans="1:6" ht="14.25" thickBot="1" x14ac:dyDescent="0.3">
      <c r="A70" s="25"/>
      <c r="B70" s="26"/>
      <c r="C70" s="49"/>
      <c r="D70" s="391"/>
      <c r="E70" s="50"/>
      <c r="F70" s="347"/>
    </row>
    <row r="71" spans="1:6" s="16" customFormat="1" ht="14.25" thickBot="1" x14ac:dyDescent="0.3">
      <c r="A71" s="481" t="s">
        <v>259</v>
      </c>
      <c r="B71" s="481"/>
      <c r="C71" s="392">
        <f>SUM(C3:C69)</f>
        <v>518781741</v>
      </c>
      <c r="D71" s="393">
        <f>SUM(D3:D69)</f>
        <v>-51878174.100000001</v>
      </c>
      <c r="E71" s="394">
        <f>SUM(E3:E69)</f>
        <v>466903566.90000004</v>
      </c>
      <c r="F71" s="395">
        <f>E71/C71-1</f>
        <v>-9.9999999999999978E-2</v>
      </c>
    </row>
    <row r="72" spans="1:6" x14ac:dyDescent="0.25">
      <c r="C72" s="60"/>
      <c r="E72" s="92"/>
    </row>
    <row r="73" spans="1:6" x14ac:dyDescent="0.25">
      <c r="C73" s="60"/>
      <c r="E73" s="92"/>
    </row>
    <row r="74" spans="1:6" ht="42" customHeight="1" x14ac:dyDescent="0.25">
      <c r="A74" s="509" t="s">
        <v>260</v>
      </c>
      <c r="B74" s="510"/>
      <c r="C74" s="510"/>
      <c r="D74" s="510"/>
      <c r="E74" s="510"/>
      <c r="F74" s="511"/>
    </row>
    <row r="75" spans="1:6" ht="9.75" customHeight="1" x14ac:dyDescent="0.25">
      <c r="C75" s="60"/>
      <c r="F75" s="396"/>
    </row>
    <row r="76" spans="1:6" ht="120" customHeight="1" x14ac:dyDescent="0.25">
      <c r="A76" s="512" t="s">
        <v>262</v>
      </c>
      <c r="B76" s="513"/>
      <c r="C76" s="513"/>
      <c r="D76" s="513"/>
      <c r="E76" s="513"/>
      <c r="F76" s="514"/>
    </row>
    <row r="77" spans="1:6" x14ac:dyDescent="0.25">
      <c r="E77" s="369"/>
    </row>
    <row r="78" spans="1:6" x14ac:dyDescent="0.25">
      <c r="E78" s="369"/>
    </row>
  </sheetData>
  <autoFilter ref="A2:F2" xr:uid="{4BF7E378-CACC-44C3-BA3F-7306E55EE6D4}"/>
  <mergeCells count="3">
    <mergeCell ref="A71:B71"/>
    <mergeCell ref="A74:F74"/>
    <mergeCell ref="A76:F76"/>
  </mergeCells>
  <printOptions horizontalCentered="1"/>
  <pageMargins left="0.2" right="0.2" top="0.5" bottom="0.5" header="0.25" footer="0.25"/>
  <pageSetup scale="84" fitToHeight="0" pageOrder="overThenDown" orientation="landscape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614F8-093F-47B6-8C2E-632DFF7A5DF9}">
  <sheetPr>
    <pageSetUpPr fitToPage="1"/>
  </sheetPr>
  <dimension ref="A1:D91"/>
  <sheetViews>
    <sheetView topLeftCell="A38" zoomScale="130" zoomScaleNormal="130" workbookViewId="0">
      <selection activeCell="D8" sqref="D8"/>
    </sheetView>
  </sheetViews>
  <sheetFormatPr defaultColWidth="9.140625" defaultRowHeight="13.5" outlineLevelRow="2" x14ac:dyDescent="0.25"/>
  <cols>
    <col min="1" max="1" width="13.140625" style="441" customWidth="1"/>
    <col min="2" max="2" width="7.5703125" style="441" customWidth="1"/>
    <col min="3" max="3" width="17.7109375" style="441" customWidth="1"/>
    <col min="4" max="4" width="13.85546875" style="441" customWidth="1"/>
    <col min="5" max="5" width="6.5703125" style="441" customWidth="1"/>
    <col min="6" max="16384" width="9.140625" style="441"/>
  </cols>
  <sheetData>
    <row r="1" spans="1:4" ht="28.5" customHeight="1" thickBot="1" x14ac:dyDescent="0.3">
      <c r="A1" s="520" t="s">
        <v>270</v>
      </c>
      <c r="B1" s="521"/>
      <c r="C1" s="521"/>
      <c r="D1" s="522"/>
    </row>
    <row r="2" spans="1:4" ht="45.75" customHeight="1" thickBot="1" x14ac:dyDescent="0.3">
      <c r="A2" s="442" t="s">
        <v>2</v>
      </c>
      <c r="B2" s="443" t="s">
        <v>271</v>
      </c>
      <c r="C2" s="444" t="s">
        <v>267</v>
      </c>
      <c r="D2" s="445" t="s">
        <v>272</v>
      </c>
    </row>
    <row r="3" spans="1:4" outlineLevel="2" x14ac:dyDescent="0.25">
      <c r="A3" s="446" t="s">
        <v>26</v>
      </c>
      <c r="B3" s="447">
        <v>1</v>
      </c>
      <c r="C3" s="448">
        <v>565939</v>
      </c>
      <c r="D3" s="449">
        <f>C3/$C$7-1</f>
        <v>0.23212558585341236</v>
      </c>
    </row>
    <row r="4" spans="1:4" outlineLevel="2" x14ac:dyDescent="0.25">
      <c r="A4" s="446" t="s">
        <v>37</v>
      </c>
      <c r="B4" s="447">
        <v>1</v>
      </c>
      <c r="C4" s="448">
        <v>346312</v>
      </c>
      <c r="D4" s="450">
        <f>C4/$C$7-1</f>
        <v>-0.24603203545246577</v>
      </c>
    </row>
    <row r="5" spans="1:4" outlineLevel="2" x14ac:dyDescent="0.25">
      <c r="A5" s="446" t="s">
        <v>42</v>
      </c>
      <c r="B5" s="447">
        <v>1</v>
      </c>
      <c r="C5" s="448">
        <v>363332</v>
      </c>
      <c r="D5" s="450">
        <f>C5/$C$7-1</f>
        <v>-0.2089771983212112</v>
      </c>
    </row>
    <row r="6" spans="1:4" ht="14.25" outlineLevel="2" thickBot="1" x14ac:dyDescent="0.3">
      <c r="A6" s="451" t="s">
        <v>67</v>
      </c>
      <c r="B6" s="452">
        <v>1</v>
      </c>
      <c r="C6" s="453">
        <v>561694</v>
      </c>
      <c r="D6" s="454">
        <f>C6/$C$7-1</f>
        <v>0.22288364792026472</v>
      </c>
    </row>
    <row r="7" spans="1:4" ht="15" customHeight="1" outlineLevel="1" thickBot="1" x14ac:dyDescent="0.3">
      <c r="A7" s="515" t="s">
        <v>273</v>
      </c>
      <c r="B7" s="516"/>
      <c r="C7" s="455">
        <f>SUBTOTAL(1,C3:C6)</f>
        <v>459319.25</v>
      </c>
      <c r="D7" s="456"/>
    </row>
    <row r="8" spans="1:4" outlineLevel="2" x14ac:dyDescent="0.25">
      <c r="A8" s="457" t="s">
        <v>6</v>
      </c>
      <c r="B8" s="458">
        <v>2</v>
      </c>
      <c r="C8" s="448">
        <v>840473</v>
      </c>
      <c r="D8" s="459">
        <f>C8/$C$20-1</f>
        <v>0.19022693870075358</v>
      </c>
    </row>
    <row r="9" spans="1:4" outlineLevel="2" x14ac:dyDescent="0.25">
      <c r="A9" s="457" t="s">
        <v>11</v>
      </c>
      <c r="B9" s="458">
        <v>2</v>
      </c>
      <c r="C9" s="448">
        <v>516189</v>
      </c>
      <c r="D9" s="460">
        <f t="shared" ref="D9:D19" si="0">C9/$C$20-1</f>
        <v>-0.26900441387051899</v>
      </c>
    </row>
    <row r="10" spans="1:4" outlineLevel="2" x14ac:dyDescent="0.25">
      <c r="A10" s="446" t="s">
        <v>18</v>
      </c>
      <c r="B10" s="447">
        <v>2</v>
      </c>
      <c r="C10" s="448">
        <v>568423</v>
      </c>
      <c r="D10" s="461">
        <f t="shared" si="0"/>
        <v>-0.19503378790621662</v>
      </c>
    </row>
    <row r="11" spans="1:4" outlineLevel="2" x14ac:dyDescent="0.25">
      <c r="A11" s="446" t="s">
        <v>22</v>
      </c>
      <c r="B11" s="447">
        <v>2</v>
      </c>
      <c r="C11" s="448">
        <v>736345</v>
      </c>
      <c r="D11" s="462">
        <f t="shared" si="0"/>
        <v>4.2767174171694178E-2</v>
      </c>
    </row>
    <row r="12" spans="1:4" outlineLevel="2" x14ac:dyDescent="0.25">
      <c r="A12" s="446" t="s">
        <v>24</v>
      </c>
      <c r="B12" s="447">
        <v>2</v>
      </c>
      <c r="C12" s="448">
        <v>633503</v>
      </c>
      <c r="D12" s="461">
        <f t="shared" si="0"/>
        <v>-0.10287143507555452</v>
      </c>
    </row>
    <row r="13" spans="1:4" outlineLevel="2" x14ac:dyDescent="0.25">
      <c r="A13" s="446" t="s">
        <v>25</v>
      </c>
      <c r="B13" s="447">
        <v>2</v>
      </c>
      <c r="C13" s="448">
        <v>646188</v>
      </c>
      <c r="D13" s="461">
        <f t="shared" si="0"/>
        <v>-8.4907706654273829E-2</v>
      </c>
    </row>
    <row r="14" spans="1:4" outlineLevel="2" x14ac:dyDescent="0.25">
      <c r="A14" s="446" t="s">
        <v>27</v>
      </c>
      <c r="B14" s="447">
        <v>2</v>
      </c>
      <c r="C14" s="448">
        <v>676981</v>
      </c>
      <c r="D14" s="461">
        <f t="shared" si="0"/>
        <v>-4.1300525788960707E-2</v>
      </c>
    </row>
    <row r="15" spans="1:4" outlineLevel="2" x14ac:dyDescent="0.25">
      <c r="A15" s="446" t="s">
        <v>28</v>
      </c>
      <c r="B15" s="447">
        <v>2</v>
      </c>
      <c r="C15" s="448">
        <v>1034691</v>
      </c>
      <c r="D15" s="463">
        <f t="shared" si="0"/>
        <v>0.46526670271528214</v>
      </c>
    </row>
    <row r="16" spans="1:4" outlineLevel="2" x14ac:dyDescent="0.25">
      <c r="A16" s="446" t="s">
        <v>33</v>
      </c>
      <c r="B16" s="447">
        <v>2</v>
      </c>
      <c r="C16" s="448">
        <v>678285</v>
      </c>
      <c r="D16" s="461">
        <f t="shared" si="0"/>
        <v>-3.9453879997762398E-2</v>
      </c>
    </row>
    <row r="17" spans="1:4" outlineLevel="2" x14ac:dyDescent="0.25">
      <c r="A17" s="446" t="s">
        <v>36</v>
      </c>
      <c r="B17" s="447">
        <v>2</v>
      </c>
      <c r="C17" s="448">
        <v>573155</v>
      </c>
      <c r="D17" s="461">
        <f t="shared" si="0"/>
        <v>-0.18833261621607078</v>
      </c>
    </row>
    <row r="18" spans="1:4" outlineLevel="2" x14ac:dyDescent="0.25">
      <c r="A18" s="446" t="s">
        <v>66</v>
      </c>
      <c r="B18" s="447">
        <v>2</v>
      </c>
      <c r="C18" s="448">
        <v>659085</v>
      </c>
      <c r="D18" s="461">
        <f t="shared" si="0"/>
        <v>-6.6643756677982391E-2</v>
      </c>
    </row>
    <row r="19" spans="1:4" ht="14.25" outlineLevel="1" thickBot="1" x14ac:dyDescent="0.3">
      <c r="A19" s="451" t="s">
        <v>71</v>
      </c>
      <c r="B19" s="452">
        <v>2</v>
      </c>
      <c r="C19" s="453">
        <v>910424</v>
      </c>
      <c r="D19" s="463">
        <f t="shared" si="0"/>
        <v>0.28928730659961088</v>
      </c>
    </row>
    <row r="20" spans="1:4" ht="14.25" outlineLevel="2" thickBot="1" x14ac:dyDescent="0.3">
      <c r="A20" s="515" t="s">
        <v>274</v>
      </c>
      <c r="B20" s="516" t="s">
        <v>275</v>
      </c>
      <c r="C20" s="455">
        <f>SUBTOTAL(1,C8:C19)</f>
        <v>706145.16666666663</v>
      </c>
      <c r="D20" s="456"/>
    </row>
    <row r="21" spans="1:4" outlineLevel="2" x14ac:dyDescent="0.25">
      <c r="A21" s="457" t="s">
        <v>8</v>
      </c>
      <c r="B21" s="458">
        <v>3</v>
      </c>
      <c r="C21" s="448">
        <v>1029812</v>
      </c>
      <c r="D21" s="450">
        <f>C21/$C$31-1</f>
        <v>-0.13704956343076868</v>
      </c>
    </row>
    <row r="22" spans="1:4" ht="15.75" customHeight="1" outlineLevel="2" x14ac:dyDescent="0.25">
      <c r="A22" s="446" t="s">
        <v>17</v>
      </c>
      <c r="B22" s="447">
        <v>3</v>
      </c>
      <c r="C22" s="448">
        <v>954824</v>
      </c>
      <c r="D22" s="461">
        <f t="shared" ref="D22:D30" si="1">C22/$C$31-1</f>
        <v>-0.19988717586629434</v>
      </c>
    </row>
    <row r="23" spans="1:4" outlineLevel="2" x14ac:dyDescent="0.25">
      <c r="A23" s="446" t="s">
        <v>23</v>
      </c>
      <c r="B23" s="447">
        <v>3</v>
      </c>
      <c r="C23" s="448">
        <v>1542546</v>
      </c>
      <c r="D23" s="464">
        <f t="shared" si="1"/>
        <v>0.29260558638675938</v>
      </c>
    </row>
    <row r="24" spans="1:4" outlineLevel="2" x14ac:dyDescent="0.25">
      <c r="A24" s="446" t="s">
        <v>29</v>
      </c>
      <c r="B24" s="447">
        <v>3</v>
      </c>
      <c r="C24" s="448">
        <v>1457809</v>
      </c>
      <c r="D24" s="464">
        <f t="shared" si="1"/>
        <v>0.22159861507202727</v>
      </c>
    </row>
    <row r="25" spans="1:4" outlineLevel="2" x14ac:dyDescent="0.25">
      <c r="A25" s="446" t="s">
        <v>35</v>
      </c>
      <c r="B25" s="447">
        <v>3</v>
      </c>
      <c r="C25" s="448">
        <v>1271930</v>
      </c>
      <c r="D25" s="461">
        <f t="shared" si="1"/>
        <v>6.5837792515043958E-2</v>
      </c>
    </row>
    <row r="26" spans="1:4" outlineLevel="2" x14ac:dyDescent="0.25">
      <c r="A26" s="446" t="s">
        <v>41</v>
      </c>
      <c r="B26" s="447">
        <v>3</v>
      </c>
      <c r="C26" s="448">
        <v>1339404</v>
      </c>
      <c r="D26" s="464">
        <f t="shared" si="1"/>
        <v>0.12237890657962303</v>
      </c>
    </row>
    <row r="27" spans="1:4" outlineLevel="2" x14ac:dyDescent="0.25">
      <c r="A27" s="446" t="s">
        <v>43</v>
      </c>
      <c r="B27" s="447">
        <v>3</v>
      </c>
      <c r="C27" s="448">
        <v>661706</v>
      </c>
      <c r="D27" s="461">
        <f t="shared" si="1"/>
        <v>-0.44551094609454955</v>
      </c>
    </row>
    <row r="28" spans="1:4" outlineLevel="2" x14ac:dyDescent="0.25">
      <c r="A28" s="446" t="s">
        <v>51</v>
      </c>
      <c r="B28" s="447">
        <v>3</v>
      </c>
      <c r="C28" s="448">
        <v>1496990</v>
      </c>
      <c r="D28" s="464">
        <f t="shared" si="1"/>
        <v>0.25443107483674066</v>
      </c>
    </row>
    <row r="29" spans="1:4" outlineLevel="2" x14ac:dyDescent="0.25">
      <c r="A29" s="446" t="s">
        <v>65</v>
      </c>
      <c r="B29" s="447">
        <v>3</v>
      </c>
      <c r="C29" s="448">
        <v>1361986</v>
      </c>
      <c r="D29" s="464">
        <f t="shared" si="1"/>
        <v>0.14130192044876266</v>
      </c>
    </row>
    <row r="30" spans="1:4" ht="14.25" outlineLevel="2" thickBot="1" x14ac:dyDescent="0.3">
      <c r="A30" s="451" t="s">
        <v>69</v>
      </c>
      <c r="B30" s="452">
        <v>3</v>
      </c>
      <c r="C30" s="453">
        <v>816610</v>
      </c>
      <c r="D30" s="465">
        <f t="shared" si="1"/>
        <v>-0.31570621044734382</v>
      </c>
    </row>
    <row r="31" spans="1:4" ht="15" customHeight="1" outlineLevel="1" thickBot="1" x14ac:dyDescent="0.3">
      <c r="A31" s="515" t="s">
        <v>276</v>
      </c>
      <c r="B31" s="516"/>
      <c r="C31" s="455">
        <f>SUBTOTAL(1,C21:C30)</f>
        <v>1193361.7</v>
      </c>
      <c r="D31" s="456"/>
    </row>
    <row r="32" spans="1:4" outlineLevel="2" x14ac:dyDescent="0.25">
      <c r="A32" s="457" t="s">
        <v>13</v>
      </c>
      <c r="B32" s="458">
        <v>4</v>
      </c>
      <c r="C32" s="448">
        <v>3628527</v>
      </c>
      <c r="D32" s="459">
        <f>C32/$C$42-1</f>
        <v>0.37602870036620639</v>
      </c>
    </row>
    <row r="33" spans="1:4" outlineLevel="2" x14ac:dyDescent="0.25">
      <c r="A33" s="446" t="s">
        <v>16</v>
      </c>
      <c r="B33" s="447">
        <v>4</v>
      </c>
      <c r="C33" s="448">
        <v>1879038</v>
      </c>
      <c r="D33" s="461">
        <f t="shared" ref="D33:D41" si="2">C33/$C$42-1</f>
        <v>-0.28742153025767325</v>
      </c>
    </row>
    <row r="34" spans="1:4" outlineLevel="2" x14ac:dyDescent="0.25">
      <c r="A34" s="446" t="s">
        <v>21</v>
      </c>
      <c r="B34" s="447">
        <v>4</v>
      </c>
      <c r="C34" s="448">
        <v>2180671</v>
      </c>
      <c r="D34" s="461">
        <f t="shared" si="2"/>
        <v>-0.17303471021263572</v>
      </c>
    </row>
    <row r="35" spans="1:4" outlineLevel="2" x14ac:dyDescent="0.25">
      <c r="A35" s="446" t="s">
        <v>31</v>
      </c>
      <c r="B35" s="447">
        <v>4</v>
      </c>
      <c r="C35" s="448">
        <v>2322128</v>
      </c>
      <c r="D35" s="461">
        <f t="shared" si="2"/>
        <v>-0.11939065799318072</v>
      </c>
    </row>
    <row r="36" spans="1:4" outlineLevel="2" x14ac:dyDescent="0.25">
      <c r="A36" s="446" t="s">
        <v>34</v>
      </c>
      <c r="B36" s="447">
        <v>4</v>
      </c>
      <c r="C36" s="448">
        <v>3355013</v>
      </c>
      <c r="D36" s="464">
        <f t="shared" si="2"/>
        <v>0.27230531234898558</v>
      </c>
    </row>
    <row r="37" spans="1:4" outlineLevel="2" x14ac:dyDescent="0.25">
      <c r="A37" s="446" t="s">
        <v>46</v>
      </c>
      <c r="B37" s="447">
        <v>4</v>
      </c>
      <c r="C37" s="448">
        <v>4079800</v>
      </c>
      <c r="D37" s="464">
        <f t="shared" si="2"/>
        <v>0.54716277204332475</v>
      </c>
    </row>
    <row r="38" spans="1:4" outlineLevel="2" x14ac:dyDescent="0.25">
      <c r="A38" s="446" t="s">
        <v>49</v>
      </c>
      <c r="B38" s="447">
        <v>4</v>
      </c>
      <c r="C38" s="448">
        <v>1935030</v>
      </c>
      <c r="D38" s="461">
        <f t="shared" si="2"/>
        <v>-0.26618795558924591</v>
      </c>
    </row>
    <row r="39" spans="1:4" outlineLevel="2" x14ac:dyDescent="0.25">
      <c r="A39" s="446" t="s">
        <v>58</v>
      </c>
      <c r="B39" s="447">
        <v>4</v>
      </c>
      <c r="C39" s="448">
        <v>2502316</v>
      </c>
      <c r="D39" s="461">
        <f t="shared" si="2"/>
        <v>-5.1058836440912803E-2</v>
      </c>
    </row>
    <row r="40" spans="1:4" ht="15.75" customHeight="1" outlineLevel="2" x14ac:dyDescent="0.25">
      <c r="A40" s="446" t="s">
        <v>64</v>
      </c>
      <c r="B40" s="447">
        <v>4</v>
      </c>
      <c r="C40" s="448">
        <v>2418708</v>
      </c>
      <c r="D40" s="461">
        <f t="shared" si="2"/>
        <v>-8.2765092886081248E-2</v>
      </c>
    </row>
    <row r="41" spans="1:4" ht="15" customHeight="1" outlineLevel="1" thickBot="1" x14ac:dyDescent="0.3">
      <c r="A41" s="451" t="s">
        <v>70</v>
      </c>
      <c r="B41" s="452">
        <v>4</v>
      </c>
      <c r="C41" s="453">
        <v>2068328</v>
      </c>
      <c r="D41" s="465">
        <f t="shared" si="2"/>
        <v>-0.21563800137878675</v>
      </c>
    </row>
    <row r="42" spans="1:4" ht="15.75" customHeight="1" outlineLevel="2" thickBot="1" x14ac:dyDescent="0.3">
      <c r="A42" s="515" t="s">
        <v>277</v>
      </c>
      <c r="B42" s="516"/>
      <c r="C42" s="455">
        <f>SUBTOTAL(1,C32:C41)</f>
        <v>2636955.9</v>
      </c>
      <c r="D42" s="456"/>
    </row>
    <row r="43" spans="1:4" outlineLevel="2" x14ac:dyDescent="0.25">
      <c r="A43" s="457" t="s">
        <v>5</v>
      </c>
      <c r="B43" s="458">
        <v>5</v>
      </c>
      <c r="C43" s="448">
        <v>6791555</v>
      </c>
      <c r="D43" s="459">
        <f>C43/$C$57-1</f>
        <v>0.19587590978358338</v>
      </c>
    </row>
    <row r="44" spans="1:4" outlineLevel="2" x14ac:dyDescent="0.25">
      <c r="A44" s="457" t="s">
        <v>7</v>
      </c>
      <c r="B44" s="458">
        <v>5</v>
      </c>
      <c r="C44" s="448">
        <v>4823923</v>
      </c>
      <c r="D44" s="450">
        <f t="shared" ref="D44:D56" si="3">C44/$C$57-1</f>
        <v>-0.15059020999595041</v>
      </c>
    </row>
    <row r="45" spans="1:4" outlineLevel="2" x14ac:dyDescent="0.25">
      <c r="A45" s="446" t="s">
        <v>12</v>
      </c>
      <c r="B45" s="447">
        <v>5</v>
      </c>
      <c r="C45" s="448">
        <v>4276406</v>
      </c>
      <c r="D45" s="461">
        <f t="shared" si="3"/>
        <v>-0.24699852745741224</v>
      </c>
    </row>
    <row r="46" spans="1:4" outlineLevel="2" x14ac:dyDescent="0.25">
      <c r="A46" s="446" t="s">
        <v>14</v>
      </c>
      <c r="B46" s="447">
        <v>5</v>
      </c>
      <c r="C46" s="448">
        <v>4512090</v>
      </c>
      <c r="D46" s="461">
        <f t="shared" si="3"/>
        <v>-0.20549863267316415</v>
      </c>
    </row>
    <row r="47" spans="1:4" outlineLevel="2" x14ac:dyDescent="0.25">
      <c r="A47" s="446" t="s">
        <v>15</v>
      </c>
      <c r="B47" s="447">
        <v>5</v>
      </c>
      <c r="C47" s="448">
        <v>7608908</v>
      </c>
      <c r="D47" s="459">
        <f t="shared" si="3"/>
        <v>0.33979770125686759</v>
      </c>
    </row>
    <row r="48" spans="1:4" outlineLevel="2" x14ac:dyDescent="0.25">
      <c r="A48" s="446" t="s">
        <v>30</v>
      </c>
      <c r="B48" s="447">
        <v>5</v>
      </c>
      <c r="C48" s="448">
        <v>4159167</v>
      </c>
      <c r="D48" s="461">
        <f t="shared" si="3"/>
        <v>-0.26764229693098895</v>
      </c>
    </row>
    <row r="49" spans="1:4" outlineLevel="2" x14ac:dyDescent="0.25">
      <c r="A49" s="446" t="s">
        <v>38</v>
      </c>
      <c r="B49" s="447">
        <v>5</v>
      </c>
      <c r="C49" s="448">
        <v>7509805</v>
      </c>
      <c r="D49" s="459">
        <f t="shared" si="3"/>
        <v>0.3223473691477583</v>
      </c>
    </row>
    <row r="50" spans="1:4" outlineLevel="2" x14ac:dyDescent="0.25">
      <c r="A50" s="446" t="s">
        <v>40</v>
      </c>
      <c r="B50" s="447">
        <v>5</v>
      </c>
      <c r="C50" s="448">
        <v>6999941</v>
      </c>
      <c r="D50" s="459">
        <f t="shared" si="3"/>
        <v>0.23256909673946646</v>
      </c>
    </row>
    <row r="51" spans="1:4" ht="15" customHeight="1" outlineLevel="1" x14ac:dyDescent="0.25">
      <c r="A51" s="446" t="s">
        <v>45</v>
      </c>
      <c r="B51" s="447">
        <v>5</v>
      </c>
      <c r="C51" s="448">
        <v>7923446</v>
      </c>
      <c r="D51" s="459">
        <f t="shared" si="3"/>
        <v>0.39518242786388313</v>
      </c>
    </row>
    <row r="52" spans="1:4" outlineLevel="2" x14ac:dyDescent="0.25">
      <c r="A52" s="446" t="s">
        <v>48</v>
      </c>
      <c r="B52" s="447">
        <v>5</v>
      </c>
      <c r="C52" s="448">
        <v>4198761</v>
      </c>
      <c r="D52" s="461">
        <f t="shared" si="3"/>
        <v>-0.26067047519473396</v>
      </c>
    </row>
    <row r="53" spans="1:4" ht="15.75" customHeight="1" outlineLevel="2" x14ac:dyDescent="0.25">
      <c r="A53" s="446" t="s">
        <v>50</v>
      </c>
      <c r="B53" s="447">
        <v>5</v>
      </c>
      <c r="C53" s="448">
        <v>4355551</v>
      </c>
      <c r="D53" s="461">
        <f t="shared" si="3"/>
        <v>-0.2330624555445997</v>
      </c>
    </row>
    <row r="54" spans="1:4" outlineLevel="2" x14ac:dyDescent="0.25">
      <c r="A54" s="446" t="s">
        <v>59</v>
      </c>
      <c r="B54" s="447">
        <v>5</v>
      </c>
      <c r="C54" s="448">
        <v>4433455</v>
      </c>
      <c r="D54" s="461">
        <f t="shared" si="3"/>
        <v>-0.21934490236630977</v>
      </c>
    </row>
    <row r="55" spans="1:4" outlineLevel="2" x14ac:dyDescent="0.25">
      <c r="A55" s="446" t="s">
        <v>60</v>
      </c>
      <c r="B55" s="447">
        <v>5</v>
      </c>
      <c r="C55" s="448">
        <v>7932423</v>
      </c>
      <c r="D55" s="459">
        <f t="shared" si="3"/>
        <v>0.3967631230128037</v>
      </c>
    </row>
    <row r="56" spans="1:4" ht="14.25" outlineLevel="2" thickBot="1" x14ac:dyDescent="0.3">
      <c r="A56" s="451" t="s">
        <v>61</v>
      </c>
      <c r="B56" s="452">
        <v>5</v>
      </c>
      <c r="C56" s="453">
        <v>3982626</v>
      </c>
      <c r="D56" s="465">
        <f t="shared" si="3"/>
        <v>-0.29872812764120238</v>
      </c>
    </row>
    <row r="57" spans="1:4" ht="15.75" customHeight="1" outlineLevel="2" thickBot="1" x14ac:dyDescent="0.3">
      <c r="A57" s="515" t="s">
        <v>278</v>
      </c>
      <c r="B57" s="516"/>
      <c r="C57" s="455">
        <f>SUBTOTAL(1,C43:C56)</f>
        <v>5679146.9285714282</v>
      </c>
      <c r="D57" s="456"/>
    </row>
    <row r="58" spans="1:4" outlineLevel="2" x14ac:dyDescent="0.25">
      <c r="A58" s="446" t="s">
        <v>9</v>
      </c>
      <c r="B58" s="447">
        <v>6</v>
      </c>
      <c r="C58" s="448">
        <v>13274032</v>
      </c>
      <c r="D58" s="464">
        <f>C58/$C$65-1</f>
        <v>0.30152029356426957</v>
      </c>
    </row>
    <row r="59" spans="1:4" outlineLevel="2" x14ac:dyDescent="0.25">
      <c r="A59" s="446" t="s">
        <v>20</v>
      </c>
      <c r="B59" s="447">
        <v>6</v>
      </c>
      <c r="C59" s="448">
        <v>8076991</v>
      </c>
      <c r="D59" s="461">
        <f t="shared" ref="D59:D64" si="4">C59/$C$65-1</f>
        <v>-0.2080501465239829</v>
      </c>
    </row>
    <row r="60" spans="1:4" outlineLevel="2" x14ac:dyDescent="0.25">
      <c r="A60" s="446" t="s">
        <v>44</v>
      </c>
      <c r="B60" s="447">
        <v>6</v>
      </c>
      <c r="C60" s="448">
        <v>7188994</v>
      </c>
      <c r="D60" s="461">
        <f t="shared" si="4"/>
        <v>-0.29511834977407225</v>
      </c>
    </row>
    <row r="61" spans="1:4" outlineLevel="2" x14ac:dyDescent="0.25">
      <c r="A61" s="446" t="s">
        <v>53</v>
      </c>
      <c r="B61" s="447">
        <v>6</v>
      </c>
      <c r="C61" s="448">
        <v>9255958</v>
      </c>
      <c r="D61" s="461">
        <f t="shared" si="4"/>
        <v>-9.2452302858803681E-2</v>
      </c>
    </row>
    <row r="62" spans="1:4" outlineLevel="2" x14ac:dyDescent="0.25">
      <c r="A62" s="446" t="s">
        <v>55</v>
      </c>
      <c r="B62" s="447">
        <v>6</v>
      </c>
      <c r="C62" s="448">
        <v>13494505</v>
      </c>
      <c r="D62" s="464">
        <f t="shared" si="4"/>
        <v>0.32313769539688497</v>
      </c>
    </row>
    <row r="63" spans="1:4" outlineLevel="2" x14ac:dyDescent="0.25">
      <c r="A63" s="446" t="s">
        <v>62</v>
      </c>
      <c r="B63" s="447">
        <v>6</v>
      </c>
      <c r="C63" s="448">
        <v>9701073</v>
      </c>
      <c r="D63" s="462">
        <f t="shared" si="4"/>
        <v>-4.8808728286295455E-2</v>
      </c>
    </row>
    <row r="64" spans="1:4" ht="14.25" outlineLevel="2" thickBot="1" x14ac:dyDescent="0.3">
      <c r="A64" s="451" t="s">
        <v>63</v>
      </c>
      <c r="B64" s="452">
        <v>6</v>
      </c>
      <c r="C64" s="453">
        <v>10400514</v>
      </c>
      <c r="D64" s="466">
        <f t="shared" si="4"/>
        <v>1.977153848199964E-2</v>
      </c>
    </row>
    <row r="65" spans="1:4" ht="15" customHeight="1" outlineLevel="1" thickBot="1" x14ac:dyDescent="0.3">
      <c r="A65" s="515" t="s">
        <v>279</v>
      </c>
      <c r="B65" s="516"/>
      <c r="C65" s="455">
        <f>SUBTOTAL(1,C58:C64)</f>
        <v>10198866.714285715</v>
      </c>
      <c r="D65" s="456"/>
    </row>
    <row r="66" spans="1:4" ht="15.75" customHeight="1" outlineLevel="2" x14ac:dyDescent="0.25">
      <c r="A66" s="446" t="s">
        <v>39</v>
      </c>
      <c r="B66" s="447">
        <v>7</v>
      </c>
      <c r="C66" s="448">
        <v>14097366</v>
      </c>
      <c r="D66" s="461">
        <f>C66/$C$70-1</f>
        <v>-0.19276861538145285</v>
      </c>
    </row>
    <row r="67" spans="1:4" outlineLevel="2" x14ac:dyDescent="0.25">
      <c r="A67" s="446" t="s">
        <v>56</v>
      </c>
      <c r="B67" s="447">
        <v>7</v>
      </c>
      <c r="C67" s="448">
        <v>26391476</v>
      </c>
      <c r="D67" s="464">
        <f>C67/$C$70-1</f>
        <v>0.51120625750988924</v>
      </c>
    </row>
    <row r="68" spans="1:4" outlineLevel="2" x14ac:dyDescent="0.25">
      <c r="A68" s="446" t="s">
        <v>57</v>
      </c>
      <c r="B68" s="447">
        <v>7</v>
      </c>
      <c r="C68" s="448">
        <v>15326014</v>
      </c>
      <c r="D68" s="461">
        <f>C68/$C$70-1</f>
        <v>-0.12241481834952439</v>
      </c>
    </row>
    <row r="69" spans="1:4" ht="14.25" outlineLevel="2" thickBot="1" x14ac:dyDescent="0.3">
      <c r="A69" s="451" t="s">
        <v>68</v>
      </c>
      <c r="B69" s="452">
        <v>7</v>
      </c>
      <c r="C69" s="453">
        <v>14040535</v>
      </c>
      <c r="D69" s="465">
        <f>C69/$C$70-1</f>
        <v>-0.19602282377891211</v>
      </c>
    </row>
    <row r="70" spans="1:4" ht="15.75" customHeight="1" outlineLevel="2" thickBot="1" x14ac:dyDescent="0.3">
      <c r="A70" s="515" t="s">
        <v>280</v>
      </c>
      <c r="B70" s="516"/>
      <c r="C70" s="455">
        <f>SUBTOTAL(1,C66:C69)</f>
        <v>17463847.75</v>
      </c>
      <c r="D70" s="456"/>
    </row>
    <row r="71" spans="1:4" ht="15" customHeight="1" outlineLevel="1" x14ac:dyDescent="0.25">
      <c r="A71" s="457" t="s">
        <v>10</v>
      </c>
      <c r="B71" s="458">
        <v>8</v>
      </c>
      <c r="C71" s="448">
        <v>45863743</v>
      </c>
      <c r="D71" s="450">
        <f>C71/$C$77-1</f>
        <v>4.590047429517119E-2</v>
      </c>
    </row>
    <row r="72" spans="1:4" ht="15.75" customHeight="1" outlineLevel="2" x14ac:dyDescent="0.25">
      <c r="A72" s="457" t="s">
        <v>19</v>
      </c>
      <c r="B72" s="458">
        <v>8</v>
      </c>
      <c r="C72" s="448">
        <v>23769047</v>
      </c>
      <c r="D72" s="460">
        <f t="shared" ref="D72:D76" si="5">C72/$C$77-1</f>
        <v>-0.45795838052632964</v>
      </c>
    </row>
    <row r="73" spans="1:4" outlineLevel="2" x14ac:dyDescent="0.25">
      <c r="A73" s="446" t="s">
        <v>32</v>
      </c>
      <c r="B73" s="447">
        <v>8</v>
      </c>
      <c r="C73" s="448">
        <v>36625590</v>
      </c>
      <c r="D73" s="461">
        <f t="shared" si="5"/>
        <v>-0.16477113626900275</v>
      </c>
    </row>
    <row r="74" spans="1:4" outlineLevel="2" x14ac:dyDescent="0.25">
      <c r="A74" s="446" t="s">
        <v>47</v>
      </c>
      <c r="B74" s="447">
        <v>8</v>
      </c>
      <c r="C74" s="448">
        <v>85979829</v>
      </c>
      <c r="D74" s="464">
        <f t="shared" si="5"/>
        <v>0.96072841091311956</v>
      </c>
    </row>
    <row r="75" spans="1:4" outlineLevel="2" x14ac:dyDescent="0.25">
      <c r="A75" s="446" t="s">
        <v>52</v>
      </c>
      <c r="B75" s="447">
        <v>8</v>
      </c>
      <c r="C75" s="448">
        <v>35410487</v>
      </c>
      <c r="D75" s="461">
        <f t="shared" si="5"/>
        <v>-0.19248097242471052</v>
      </c>
    </row>
    <row r="76" spans="1:4" ht="14.25" outlineLevel="2" thickBot="1" x14ac:dyDescent="0.3">
      <c r="A76" s="467" t="s">
        <v>54</v>
      </c>
      <c r="B76" s="468">
        <v>8</v>
      </c>
      <c r="C76" s="469">
        <v>35457082</v>
      </c>
      <c r="D76" s="470">
        <f t="shared" si="5"/>
        <v>-0.19141839598824772</v>
      </c>
    </row>
    <row r="77" spans="1:4" ht="15" customHeight="1" outlineLevel="1" thickBot="1" x14ac:dyDescent="0.3">
      <c r="A77" s="515" t="s">
        <v>281</v>
      </c>
      <c r="B77" s="516"/>
      <c r="C77" s="455">
        <f>SUBTOTAL(1,C71:C76)</f>
        <v>43850963</v>
      </c>
      <c r="D77" s="471"/>
    </row>
    <row r="78" spans="1:4" ht="14.25" thickBot="1" x14ac:dyDescent="0.3">
      <c r="B78" s="472"/>
      <c r="C78" s="473"/>
      <c r="D78" s="474"/>
    </row>
    <row r="79" spans="1:4" ht="14.25" thickBot="1" x14ac:dyDescent="0.3">
      <c r="B79" s="475" t="s">
        <v>282</v>
      </c>
      <c r="C79" s="476">
        <f>SUBTOTAL(9,C3:C76)</f>
        <v>532475488</v>
      </c>
      <c r="D79" s="477">
        <f>COUNTIF(D3:D76,"&gt;.10")</f>
        <v>23</v>
      </c>
    </row>
    <row r="80" spans="1:4" ht="14.25" thickBot="1" x14ac:dyDescent="0.3">
      <c r="D80" s="478"/>
    </row>
    <row r="81" spans="1:4" s="21" customFormat="1" ht="65.25" customHeight="1" thickBot="1" x14ac:dyDescent="0.3">
      <c r="A81" s="517" t="s">
        <v>283</v>
      </c>
      <c r="B81" s="518"/>
      <c r="C81" s="518"/>
      <c r="D81" s="519"/>
    </row>
    <row r="82" spans="1:4" s="21" customFormat="1" x14ac:dyDescent="0.25">
      <c r="D82" s="479"/>
    </row>
    <row r="83" spans="1:4" s="21" customFormat="1" x14ac:dyDescent="0.25"/>
    <row r="84" spans="1:4" s="21" customFormat="1" x14ac:dyDescent="0.25"/>
    <row r="85" spans="1:4" s="21" customFormat="1" x14ac:dyDescent="0.25"/>
    <row r="86" spans="1:4" s="21" customFormat="1" x14ac:dyDescent="0.25"/>
    <row r="87" spans="1:4" s="21" customFormat="1" x14ac:dyDescent="0.25"/>
    <row r="88" spans="1:4" s="21" customFormat="1" x14ac:dyDescent="0.25"/>
    <row r="89" spans="1:4" s="21" customFormat="1" x14ac:dyDescent="0.25"/>
    <row r="90" spans="1:4" s="21" customFormat="1" x14ac:dyDescent="0.25"/>
    <row r="91" spans="1:4" s="21" customFormat="1" x14ac:dyDescent="0.25"/>
  </sheetData>
  <mergeCells count="10">
    <mergeCell ref="A65:B65"/>
    <mergeCell ref="A70:B70"/>
    <mergeCell ref="A77:B77"/>
    <mergeCell ref="A81:D81"/>
    <mergeCell ref="A1:D1"/>
    <mergeCell ref="A7:B7"/>
    <mergeCell ref="A20:B20"/>
    <mergeCell ref="A31:B31"/>
    <mergeCell ref="A42:B42"/>
    <mergeCell ref="A57:B57"/>
  </mergeCells>
  <pageMargins left="0.7" right="0.7" top="0.75" bottom="0.75" header="0.3" footer="0.3"/>
  <pageSetup fitToHeight="0" orientation="portrait" horizontalDpi="1200" verticalDpi="1200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3E0E-96EF-4368-8B70-9D4DEEE72128}">
  <sheetPr>
    <pageSetUpPr fitToPage="1"/>
  </sheetPr>
  <dimension ref="A1:U80"/>
  <sheetViews>
    <sheetView zoomScaleNormal="100" zoomScalePageLayoutView="55" workbookViewId="0">
      <pane xSplit="2" ySplit="1" topLeftCell="C50" activePane="bottomRight" state="frozen"/>
      <selection pane="topRight" activeCell="C1" sqref="C1"/>
      <selection pane="bottomLeft" activeCell="A3" sqref="A3"/>
      <selection pane="bottomRight" activeCell="H35" sqref="H35"/>
    </sheetView>
  </sheetViews>
  <sheetFormatPr defaultColWidth="2.28515625" defaultRowHeight="13.5" x14ac:dyDescent="0.25"/>
  <cols>
    <col min="1" max="1" width="12.140625" style="21" customWidth="1"/>
    <col min="2" max="2" width="7.28515625" style="21" customWidth="1"/>
    <col min="3" max="3" width="16.7109375" style="21" customWidth="1"/>
    <col min="4" max="4" width="14.5703125" style="21" customWidth="1"/>
    <col min="5" max="6" width="16.7109375" style="21" customWidth="1"/>
    <col min="7" max="7" width="16.42578125" style="21" customWidth="1"/>
    <col min="8" max="8" width="14.140625" style="21" customWidth="1"/>
    <col min="9" max="9" width="15.42578125" style="21" customWidth="1"/>
    <col min="10" max="10" width="15.140625" style="21" customWidth="1"/>
    <col min="11" max="11" width="15.85546875" style="21" customWidth="1"/>
    <col min="12" max="12" width="13.85546875" style="21" customWidth="1"/>
    <col min="13" max="13" width="14.42578125" style="21" customWidth="1"/>
    <col min="14" max="14" width="14" style="21" customWidth="1"/>
    <col min="15" max="15" width="14.28515625" style="21" bestFit="1" customWidth="1"/>
    <col min="16" max="16" width="10.85546875" style="21" customWidth="1"/>
    <col min="17" max="17" width="15.42578125" style="61" customWidth="1"/>
    <col min="18" max="18" width="10.42578125" style="61" customWidth="1"/>
    <col min="19" max="19" width="17.28515625" style="61" customWidth="1"/>
    <col min="20" max="20" width="7.5703125" style="62" customWidth="1"/>
    <col min="21" max="21" width="8.85546875" style="62" customWidth="1"/>
    <col min="22" max="16384" width="2.28515625" style="21"/>
  </cols>
  <sheetData>
    <row r="1" spans="1:21" s="12" customFormat="1" ht="63.75" customHeight="1" thickBot="1" x14ac:dyDescent="0.3">
      <c r="A1" s="9" t="s">
        <v>2</v>
      </c>
      <c r="B1" s="10" t="s">
        <v>3</v>
      </c>
      <c r="C1" s="328" t="s">
        <v>90</v>
      </c>
      <c r="D1" s="327" t="s">
        <v>74</v>
      </c>
      <c r="E1" s="83" t="s">
        <v>91</v>
      </c>
      <c r="F1" s="326" t="s">
        <v>243</v>
      </c>
      <c r="G1" s="326" t="s">
        <v>244</v>
      </c>
      <c r="H1" s="32" t="s">
        <v>75</v>
      </c>
      <c r="I1" s="32" t="s">
        <v>76</v>
      </c>
      <c r="J1" s="32" t="s">
        <v>77</v>
      </c>
      <c r="K1" s="81" t="s">
        <v>78</v>
      </c>
      <c r="L1" s="32" t="s">
        <v>79</v>
      </c>
      <c r="M1" s="32" t="s">
        <v>80</v>
      </c>
      <c r="N1" s="32" t="s">
        <v>81</v>
      </c>
      <c r="O1" s="32" t="s">
        <v>82</v>
      </c>
      <c r="P1" s="32" t="s">
        <v>83</v>
      </c>
      <c r="Q1" s="33" t="s">
        <v>84</v>
      </c>
      <c r="R1" s="34" t="s">
        <v>85</v>
      </c>
      <c r="S1" s="35" t="s">
        <v>92</v>
      </c>
      <c r="T1" s="36" t="s">
        <v>86</v>
      </c>
      <c r="U1" s="36" t="s">
        <v>87</v>
      </c>
    </row>
    <row r="2" spans="1:21" s="16" customFormat="1" ht="13.5" customHeight="1" x14ac:dyDescent="0.25">
      <c r="A2" s="13" t="s">
        <v>5</v>
      </c>
      <c r="B2" s="14">
        <v>5</v>
      </c>
      <c r="C2" s="37">
        <v>6676129</v>
      </c>
      <c r="D2" s="182">
        <v>6297</v>
      </c>
      <c r="E2" s="38">
        <f t="shared" ref="E2:E65" si="0">C2+D2</f>
        <v>6682426</v>
      </c>
      <c r="F2" s="39">
        <v>78652.645128490287</v>
      </c>
      <c r="G2" s="190">
        <v>40556.351818474446</v>
      </c>
      <c r="H2" s="39"/>
      <c r="I2" s="39">
        <v>17725</v>
      </c>
      <c r="J2" s="39">
        <f>205815+3840</f>
        <v>209655</v>
      </c>
      <c r="K2" s="39"/>
      <c r="L2" s="39"/>
      <c r="M2" s="39"/>
      <c r="N2" s="39"/>
      <c r="O2" s="39"/>
      <c r="P2" s="39"/>
      <c r="Q2" s="40">
        <f t="shared" ref="Q2:Q51" si="1">SUM(F2:P2)</f>
        <v>346588.99694696476</v>
      </c>
      <c r="R2" s="420">
        <v>0.52</v>
      </c>
      <c r="S2" s="40">
        <f t="shared" ref="S2:S65" si="2">E2+Q2</f>
        <v>7029014.9969469644</v>
      </c>
      <c r="T2" s="41">
        <f t="shared" ref="T2:T65" si="3">S2/E2-1</f>
        <v>5.1865744109544032E-2</v>
      </c>
      <c r="U2" s="41">
        <f t="shared" ref="U2:U65" si="4">S2/C2-1</f>
        <v>5.2857875716146863E-2</v>
      </c>
    </row>
    <row r="3" spans="1:21" customFormat="1" ht="13.5" customHeight="1" x14ac:dyDescent="0.25">
      <c r="A3" s="13" t="s">
        <v>6</v>
      </c>
      <c r="B3" s="14">
        <v>2</v>
      </c>
      <c r="C3" s="37">
        <v>816730</v>
      </c>
      <c r="D3" s="182"/>
      <c r="E3" s="38">
        <f t="shared" si="0"/>
        <v>816730</v>
      </c>
      <c r="F3" s="39">
        <v>11871.567605082864</v>
      </c>
      <c r="G3" s="190">
        <v>34831.58078931534</v>
      </c>
      <c r="H3" s="39"/>
      <c r="I3" s="39">
        <v>13000</v>
      </c>
      <c r="J3" s="39">
        <v>15000</v>
      </c>
      <c r="K3" s="323"/>
      <c r="L3" s="190">
        <v>95000</v>
      </c>
      <c r="M3" s="190">
        <v>60000</v>
      </c>
      <c r="N3" s="39"/>
      <c r="O3" s="39"/>
      <c r="P3" s="39"/>
      <c r="Q3" s="40">
        <f t="shared" si="1"/>
        <v>229703.14839439822</v>
      </c>
      <c r="R3" s="420">
        <f>2+1+0.45</f>
        <v>3.45</v>
      </c>
      <c r="S3" s="40">
        <f t="shared" si="2"/>
        <v>1046433.1483943982</v>
      </c>
      <c r="T3" s="41">
        <f t="shared" si="3"/>
        <v>0.28124735028026171</v>
      </c>
      <c r="U3" s="41">
        <f t="shared" si="4"/>
        <v>0.28124735028026171</v>
      </c>
    </row>
    <row r="4" spans="1:21" s="17" customFormat="1" ht="13.5" customHeight="1" x14ac:dyDescent="0.25">
      <c r="A4" s="13" t="s">
        <v>7</v>
      </c>
      <c r="B4" s="14">
        <v>5</v>
      </c>
      <c r="C4" s="37">
        <v>4553732</v>
      </c>
      <c r="D4" s="182">
        <v>3873</v>
      </c>
      <c r="E4" s="38">
        <f t="shared" si="0"/>
        <v>4557605</v>
      </c>
      <c r="F4" s="39">
        <v>59657.136923478531</v>
      </c>
      <c r="G4" s="190">
        <v>535038.48</v>
      </c>
      <c r="H4" s="39"/>
      <c r="I4" s="39">
        <v>134161</v>
      </c>
      <c r="J4" s="39">
        <f>134439+21482+5507</f>
        <v>161428</v>
      </c>
      <c r="K4" s="39"/>
      <c r="L4" s="39"/>
      <c r="M4" s="39"/>
      <c r="N4" s="39"/>
      <c r="O4" s="39"/>
      <c r="P4" s="39"/>
      <c r="Q4" s="40">
        <f t="shared" si="1"/>
        <v>890284.61692347855</v>
      </c>
      <c r="R4" s="420">
        <v>6.84</v>
      </c>
      <c r="S4" s="40">
        <f t="shared" si="2"/>
        <v>5447889.6169234784</v>
      </c>
      <c r="T4" s="41">
        <f t="shared" si="3"/>
        <v>0.1953404511631609</v>
      </c>
      <c r="U4" s="41">
        <f t="shared" si="4"/>
        <v>0.19635710158689146</v>
      </c>
    </row>
    <row r="5" spans="1:21" s="16" customFormat="1" ht="13.5" customHeight="1" x14ac:dyDescent="0.25">
      <c r="A5" s="13" t="s">
        <v>8</v>
      </c>
      <c r="B5" s="14">
        <v>3</v>
      </c>
      <c r="C5" s="37">
        <v>1000951</v>
      </c>
      <c r="D5" s="182"/>
      <c r="E5" s="38">
        <f t="shared" si="0"/>
        <v>1000951</v>
      </c>
      <c r="F5" s="39">
        <v>9928.7796131665073</v>
      </c>
      <c r="G5" s="190">
        <v>37546.559999999998</v>
      </c>
      <c r="H5" s="39"/>
      <c r="I5" s="39"/>
      <c r="J5" s="39">
        <v>23035</v>
      </c>
      <c r="K5" s="39"/>
      <c r="L5" s="39"/>
      <c r="M5" s="39"/>
      <c r="N5" s="39"/>
      <c r="O5" s="39"/>
      <c r="P5" s="39"/>
      <c r="Q5" s="40">
        <f t="shared" si="1"/>
        <v>70510.339613166507</v>
      </c>
      <c r="R5" s="420">
        <v>0.48</v>
      </c>
      <c r="S5" s="40">
        <f t="shared" si="2"/>
        <v>1071461.3396131664</v>
      </c>
      <c r="T5" s="41">
        <f t="shared" si="3"/>
        <v>7.0443347989228577E-2</v>
      </c>
      <c r="U5" s="41">
        <f t="shared" si="4"/>
        <v>7.0443347989228577E-2</v>
      </c>
    </row>
    <row r="6" spans="1:21" s="16" customFormat="1" ht="13.5" customHeight="1" x14ac:dyDescent="0.25">
      <c r="A6" s="13" t="s">
        <v>9</v>
      </c>
      <c r="B6" s="14">
        <v>6</v>
      </c>
      <c r="C6" s="43">
        <v>13042941</v>
      </c>
      <c r="D6" s="183">
        <v>27376</v>
      </c>
      <c r="E6" s="40">
        <f t="shared" si="0"/>
        <v>13070317</v>
      </c>
      <c r="F6" s="44">
        <v>146035.89630104959</v>
      </c>
      <c r="G6" s="44"/>
      <c r="H6" s="44"/>
      <c r="I6" s="44">
        <v>145000</v>
      </c>
      <c r="J6" s="44">
        <v>500000</v>
      </c>
      <c r="K6" s="324"/>
      <c r="L6" s="39"/>
      <c r="M6" s="39"/>
      <c r="N6" s="44"/>
      <c r="O6" s="44"/>
      <c r="P6" s="44"/>
      <c r="Q6" s="40">
        <f t="shared" si="1"/>
        <v>791035.89630104962</v>
      </c>
      <c r="R6" s="420"/>
      <c r="S6" s="40">
        <f t="shared" si="2"/>
        <v>13861352.89630105</v>
      </c>
      <c r="T6" s="41">
        <f t="shared" si="3"/>
        <v>6.0521554014416834E-2</v>
      </c>
      <c r="U6" s="41">
        <f t="shared" si="4"/>
        <v>6.2747496619132814E-2</v>
      </c>
    </row>
    <row r="7" spans="1:21" s="16" customFormat="1" ht="13.5" customHeight="1" x14ac:dyDescent="0.25">
      <c r="A7" s="18" t="s">
        <v>10</v>
      </c>
      <c r="B7" s="19">
        <v>8</v>
      </c>
      <c r="C7" s="37">
        <v>45017522</v>
      </c>
      <c r="D7" s="182">
        <v>87359</v>
      </c>
      <c r="E7" s="38">
        <f t="shared" si="0"/>
        <v>45104881</v>
      </c>
      <c r="F7" s="39">
        <v>317932.81841542799</v>
      </c>
      <c r="G7" s="39"/>
      <c r="H7" s="39"/>
      <c r="I7" s="39">
        <v>803266</v>
      </c>
      <c r="J7" s="39"/>
      <c r="K7" s="39"/>
      <c r="L7" s="39"/>
      <c r="M7" s="39"/>
      <c r="N7" s="39"/>
      <c r="O7" s="39"/>
      <c r="P7" s="39"/>
      <c r="Q7" s="38">
        <f t="shared" si="1"/>
        <v>1121198.818415428</v>
      </c>
      <c r="R7" s="421"/>
      <c r="S7" s="38">
        <f t="shared" si="2"/>
        <v>46226079.818415426</v>
      </c>
      <c r="T7" s="41">
        <f t="shared" si="3"/>
        <v>2.4857593980026849E-2</v>
      </c>
      <c r="U7" s="41">
        <f t="shared" si="4"/>
        <v>2.684638702271136E-2</v>
      </c>
    </row>
    <row r="8" spans="1:21" s="16" customFormat="1" ht="13.5" customHeight="1" x14ac:dyDescent="0.25">
      <c r="A8" s="13" t="s">
        <v>11</v>
      </c>
      <c r="B8" s="14">
        <v>2</v>
      </c>
      <c r="C8" s="37">
        <v>509417</v>
      </c>
      <c r="D8" s="182"/>
      <c r="E8" s="38">
        <f t="shared" si="0"/>
        <v>509417</v>
      </c>
      <c r="F8" s="39">
        <v>2653.2649139017058</v>
      </c>
      <c r="G8" s="39"/>
      <c r="H8" s="39">
        <v>20549</v>
      </c>
      <c r="I8" s="39">
        <v>12206</v>
      </c>
      <c r="J8" s="39">
        <v>27169</v>
      </c>
      <c r="K8" s="39"/>
      <c r="L8" s="39"/>
      <c r="M8" s="39"/>
      <c r="N8" s="39">
        <v>18000</v>
      </c>
      <c r="O8" s="39">
        <v>1800</v>
      </c>
      <c r="P8" s="39"/>
      <c r="Q8" s="40">
        <f t="shared" si="1"/>
        <v>82377.264913901701</v>
      </c>
      <c r="R8" s="420"/>
      <c r="S8" s="40">
        <f t="shared" si="2"/>
        <v>591794.26491390169</v>
      </c>
      <c r="T8" s="41">
        <f t="shared" si="3"/>
        <v>0.16170890432376961</v>
      </c>
      <c r="U8" s="41">
        <f t="shared" si="4"/>
        <v>0.16170890432376961</v>
      </c>
    </row>
    <row r="9" spans="1:21" s="16" customFormat="1" ht="13.5" customHeight="1" x14ac:dyDescent="0.25">
      <c r="A9" s="13" t="s">
        <v>12</v>
      </c>
      <c r="B9" s="14">
        <v>5</v>
      </c>
      <c r="C9" s="37">
        <v>4188137</v>
      </c>
      <c r="D9" s="182">
        <v>3805</v>
      </c>
      <c r="E9" s="38">
        <f t="shared" si="0"/>
        <v>4191942</v>
      </c>
      <c r="F9" s="39">
        <v>51405.678781635776</v>
      </c>
      <c r="G9" s="39"/>
      <c r="H9" s="39"/>
      <c r="I9" s="39"/>
      <c r="J9" s="39">
        <f>42979+22826</f>
        <v>65805</v>
      </c>
      <c r="K9" s="39"/>
      <c r="L9" s="39"/>
      <c r="M9" s="39"/>
      <c r="N9" s="39"/>
      <c r="O9" s="39"/>
      <c r="P9" s="39"/>
      <c r="Q9" s="40">
        <f t="shared" si="1"/>
        <v>117210.67878163577</v>
      </c>
      <c r="R9" s="420"/>
      <c r="S9" s="40">
        <f t="shared" si="2"/>
        <v>4309152.6787816361</v>
      </c>
      <c r="T9" s="41">
        <f t="shared" si="3"/>
        <v>2.7960949550741798E-2</v>
      </c>
      <c r="U9" s="41">
        <f t="shared" si="4"/>
        <v>2.8894871104177433E-2</v>
      </c>
    </row>
    <row r="10" spans="1:21" s="16" customFormat="1" ht="13.5" customHeight="1" x14ac:dyDescent="0.25">
      <c r="A10" s="13" t="s">
        <v>13</v>
      </c>
      <c r="B10" s="14">
        <v>4</v>
      </c>
      <c r="C10" s="37">
        <v>3525784</v>
      </c>
      <c r="D10" s="182">
        <v>7664</v>
      </c>
      <c r="E10" s="38">
        <f t="shared" si="0"/>
        <v>3533448</v>
      </c>
      <c r="F10" s="39">
        <v>32962.135042440539</v>
      </c>
      <c r="G10" s="190">
        <v>125155.20000000001</v>
      </c>
      <c r="H10" s="39"/>
      <c r="I10" s="39"/>
      <c r="J10" s="39">
        <f>57330+26394</f>
        <v>83724</v>
      </c>
      <c r="K10" s="39"/>
      <c r="L10" s="39"/>
      <c r="M10" s="39">
        <v>1162275</v>
      </c>
      <c r="N10" s="39"/>
      <c r="O10" s="39">
        <v>9000</v>
      </c>
      <c r="P10" s="39"/>
      <c r="Q10" s="40">
        <f t="shared" si="1"/>
        <v>1413116.3350424406</v>
      </c>
      <c r="R10" s="420">
        <v>1.6</v>
      </c>
      <c r="S10" s="40">
        <f t="shared" si="2"/>
        <v>4946564.3350424403</v>
      </c>
      <c r="T10" s="41">
        <f t="shared" si="3"/>
        <v>0.3999256066715684</v>
      </c>
      <c r="U10" s="41">
        <f t="shared" si="4"/>
        <v>0.40296862628069108</v>
      </c>
    </row>
    <row r="11" spans="1:21" s="16" customFormat="1" ht="13.5" customHeight="1" x14ac:dyDescent="0.25">
      <c r="A11" s="13" t="s">
        <v>14</v>
      </c>
      <c r="B11" s="14">
        <v>5</v>
      </c>
      <c r="C11" s="37">
        <v>4276738</v>
      </c>
      <c r="D11" s="182">
        <v>43</v>
      </c>
      <c r="E11" s="38">
        <f t="shared" si="0"/>
        <v>4276781</v>
      </c>
      <c r="F11" s="39">
        <v>27228.63333904259</v>
      </c>
      <c r="G11" s="190">
        <v>574931.69999999995</v>
      </c>
      <c r="H11" s="39"/>
      <c r="I11" s="39"/>
      <c r="J11" s="39">
        <f>129210+779333</f>
        <v>908543</v>
      </c>
      <c r="K11" s="190">
        <v>53540</v>
      </c>
      <c r="L11" s="39"/>
      <c r="M11" s="39">
        <v>813370</v>
      </c>
      <c r="N11" s="39"/>
      <c r="O11" s="39"/>
      <c r="P11" s="39"/>
      <c r="Q11" s="40">
        <f t="shared" si="1"/>
        <v>2377613.3333390425</v>
      </c>
      <c r="R11" s="420">
        <f>0.8+7.35</f>
        <v>8.15</v>
      </c>
      <c r="S11" s="40">
        <f t="shared" si="2"/>
        <v>6654394.333339043</v>
      </c>
      <c r="T11" s="41">
        <f t="shared" si="3"/>
        <v>0.55593525442126746</v>
      </c>
      <c r="U11" s="41">
        <f t="shared" si="4"/>
        <v>0.55595089840412082</v>
      </c>
    </row>
    <row r="12" spans="1:21" s="16" customFormat="1" ht="13.5" customHeight="1" x14ac:dyDescent="0.25">
      <c r="A12" s="13" t="s">
        <v>15</v>
      </c>
      <c r="B12" s="14">
        <v>5</v>
      </c>
      <c r="C12" s="37">
        <v>7477231</v>
      </c>
      <c r="D12" s="182">
        <v>16296</v>
      </c>
      <c r="E12" s="38">
        <f t="shared" si="0"/>
        <v>7493527</v>
      </c>
      <c r="F12" s="39">
        <v>70854.007171240271</v>
      </c>
      <c r="G12" s="39"/>
      <c r="H12" s="39"/>
      <c r="I12" s="39">
        <v>120950</v>
      </c>
      <c r="J12" s="39">
        <v>103819</v>
      </c>
      <c r="K12" s="39"/>
      <c r="L12" s="39"/>
      <c r="M12" s="39"/>
      <c r="N12" s="39"/>
      <c r="O12" s="39">
        <v>844300</v>
      </c>
      <c r="P12" s="39"/>
      <c r="Q12" s="40">
        <f t="shared" si="1"/>
        <v>1139923.0071712402</v>
      </c>
      <c r="R12" s="420"/>
      <c r="S12" s="40">
        <f t="shared" si="2"/>
        <v>8633450.0071712397</v>
      </c>
      <c r="T12" s="41">
        <f t="shared" si="3"/>
        <v>0.15212102487536772</v>
      </c>
      <c r="U12" s="41">
        <f t="shared" si="4"/>
        <v>0.15463197635210668</v>
      </c>
    </row>
    <row r="13" spans="1:21" s="16" customFormat="1" ht="13.5" customHeight="1" x14ac:dyDescent="0.25">
      <c r="A13" s="13" t="s">
        <v>16</v>
      </c>
      <c r="B13" s="14">
        <v>4</v>
      </c>
      <c r="C13" s="37">
        <v>1846836</v>
      </c>
      <c r="D13" s="182">
        <v>1062</v>
      </c>
      <c r="E13" s="38">
        <f t="shared" si="0"/>
        <v>1847898</v>
      </c>
      <c r="F13" s="39">
        <v>0</v>
      </c>
      <c r="G13" s="39"/>
      <c r="H13" s="39"/>
      <c r="I13" s="39">
        <v>35370</v>
      </c>
      <c r="J13" s="39">
        <v>38876</v>
      </c>
      <c r="K13" s="39"/>
      <c r="L13" s="39"/>
      <c r="M13" s="39"/>
      <c r="N13" s="39"/>
      <c r="O13" s="39"/>
      <c r="P13" s="39"/>
      <c r="Q13" s="40">
        <f t="shared" si="1"/>
        <v>74246</v>
      </c>
      <c r="R13" s="420"/>
      <c r="S13" s="40">
        <f t="shared" si="2"/>
        <v>1922144</v>
      </c>
      <c r="T13" s="41">
        <f t="shared" si="3"/>
        <v>4.0178624577763555E-2</v>
      </c>
      <c r="U13" s="41">
        <f t="shared" si="4"/>
        <v>4.0776766318178836E-2</v>
      </c>
    </row>
    <row r="14" spans="1:21" s="16" customFormat="1" ht="13.5" customHeight="1" x14ac:dyDescent="0.25">
      <c r="A14" s="13" t="s">
        <v>17</v>
      </c>
      <c r="B14" s="14">
        <v>3</v>
      </c>
      <c r="C14" s="37">
        <v>939304</v>
      </c>
      <c r="D14" s="182"/>
      <c r="E14" s="38">
        <f t="shared" si="0"/>
        <v>939304</v>
      </c>
      <c r="F14" s="39">
        <v>18154.467573892238</v>
      </c>
      <c r="G14" s="39"/>
      <c r="H14" s="39"/>
      <c r="I14" s="39"/>
      <c r="J14" s="39">
        <f>23300+21000</f>
        <v>44300</v>
      </c>
      <c r="K14" s="190">
        <v>54457</v>
      </c>
      <c r="L14" s="39"/>
      <c r="M14" s="39"/>
      <c r="N14" s="39"/>
      <c r="O14" s="39"/>
      <c r="P14" s="39"/>
      <c r="Q14" s="40">
        <f t="shared" si="1"/>
        <v>116911.46757389224</v>
      </c>
      <c r="R14" s="420">
        <f>1</f>
        <v>1</v>
      </c>
      <c r="S14" s="40">
        <f t="shared" si="2"/>
        <v>1056215.4675738923</v>
      </c>
      <c r="T14" s="41">
        <f t="shared" si="3"/>
        <v>0.12446605952268097</v>
      </c>
      <c r="U14" s="41">
        <f t="shared" si="4"/>
        <v>0.12446605952268097</v>
      </c>
    </row>
    <row r="15" spans="1:21" s="16" customFormat="1" ht="13.5" customHeight="1" x14ac:dyDescent="0.25">
      <c r="A15" s="13" t="s">
        <v>18</v>
      </c>
      <c r="B15" s="14">
        <v>2</v>
      </c>
      <c r="C15" s="37">
        <v>561107</v>
      </c>
      <c r="D15" s="182"/>
      <c r="E15" s="38">
        <f t="shared" si="0"/>
        <v>561107</v>
      </c>
      <c r="F15" s="39">
        <v>10660.843869706972</v>
      </c>
      <c r="G15" s="39"/>
      <c r="H15" s="39"/>
      <c r="I15" s="39">
        <v>6500</v>
      </c>
      <c r="J15" s="39">
        <v>15000</v>
      </c>
      <c r="K15" s="39"/>
      <c r="L15" s="39"/>
      <c r="M15" s="39"/>
      <c r="N15" s="39"/>
      <c r="O15" s="39"/>
      <c r="P15" s="39"/>
      <c r="Q15" s="40">
        <f t="shared" si="1"/>
        <v>32160.843869706972</v>
      </c>
      <c r="R15" s="420"/>
      <c r="S15" s="40">
        <f t="shared" si="2"/>
        <v>593267.84386970697</v>
      </c>
      <c r="T15" s="41">
        <f t="shared" si="3"/>
        <v>5.7316775356049732E-2</v>
      </c>
      <c r="U15" s="41">
        <f t="shared" si="4"/>
        <v>5.7316775356049732E-2</v>
      </c>
    </row>
    <row r="16" spans="1:21" s="16" customFormat="1" ht="13.5" customHeight="1" x14ac:dyDescent="0.25">
      <c r="A16" s="13" t="s">
        <v>19</v>
      </c>
      <c r="B16" s="14">
        <v>8</v>
      </c>
      <c r="C16" s="37">
        <v>23144597</v>
      </c>
      <c r="D16" s="182">
        <v>45928</v>
      </c>
      <c r="E16" s="38">
        <f t="shared" si="0"/>
        <v>23190525</v>
      </c>
      <c r="F16" s="39">
        <v>203618.96935779141</v>
      </c>
      <c r="G16" s="190">
        <v>368425.62</v>
      </c>
      <c r="H16" s="39">
        <v>2028934</v>
      </c>
      <c r="I16" s="39"/>
      <c r="J16" s="39">
        <v>874266.63606299995</v>
      </c>
      <c r="K16" s="39"/>
      <c r="L16" s="190">
        <v>434436</v>
      </c>
      <c r="M16" s="39"/>
      <c r="N16" s="39">
        <f>236838+70000+400000+345000</f>
        <v>1051838</v>
      </c>
      <c r="O16" s="39">
        <f>152023+50000+22938</f>
        <v>224961</v>
      </c>
      <c r="P16" s="39"/>
      <c r="Q16" s="40">
        <f t="shared" si="1"/>
        <v>5186480.2254207917</v>
      </c>
      <c r="R16" s="420">
        <f>6+4.71</f>
        <v>10.71</v>
      </c>
      <c r="S16" s="40">
        <f t="shared" si="2"/>
        <v>28377005.225420792</v>
      </c>
      <c r="T16" s="41">
        <f t="shared" si="3"/>
        <v>0.22364652052598166</v>
      </c>
      <c r="U16" s="41">
        <f t="shared" si="4"/>
        <v>0.22607471737014007</v>
      </c>
    </row>
    <row r="17" spans="1:21" s="16" customFormat="1" ht="13.5" customHeight="1" x14ac:dyDescent="0.25">
      <c r="A17" s="13" t="s">
        <v>20</v>
      </c>
      <c r="B17" s="14">
        <v>6</v>
      </c>
      <c r="C17" s="37">
        <v>7939619</v>
      </c>
      <c r="D17" s="182">
        <v>12001</v>
      </c>
      <c r="E17" s="38">
        <f t="shared" si="0"/>
        <v>7951620</v>
      </c>
      <c r="F17" s="39">
        <v>91223.730717763043</v>
      </c>
      <c r="G17" s="39"/>
      <c r="H17" s="39"/>
      <c r="I17" s="39"/>
      <c r="J17" s="39">
        <v>365246</v>
      </c>
      <c r="K17" s="190">
        <v>73087</v>
      </c>
      <c r="L17" s="39"/>
      <c r="M17" s="39"/>
      <c r="N17" s="39"/>
      <c r="O17" s="39"/>
      <c r="P17" s="39"/>
      <c r="Q17" s="40">
        <f t="shared" si="1"/>
        <v>529556.73071776307</v>
      </c>
      <c r="R17" s="420">
        <v>1</v>
      </c>
      <c r="S17" s="40">
        <f t="shared" si="2"/>
        <v>8481176.7307177633</v>
      </c>
      <c r="T17" s="41">
        <f t="shared" si="3"/>
        <v>6.6597338745785661E-2</v>
      </c>
      <c r="U17" s="41">
        <f t="shared" si="4"/>
        <v>6.8209536341449439E-2</v>
      </c>
    </row>
    <row r="18" spans="1:21" s="16" customFormat="1" ht="13.5" customHeight="1" x14ac:dyDescent="0.25">
      <c r="A18" s="13" t="s">
        <v>21</v>
      </c>
      <c r="B18" s="14">
        <v>4</v>
      </c>
      <c r="C18" s="37">
        <v>2140390</v>
      </c>
      <c r="D18" s="182">
        <v>82</v>
      </c>
      <c r="E18" s="38">
        <f t="shared" si="0"/>
        <v>2140472</v>
      </c>
      <c r="F18" s="39">
        <v>31567.513299347691</v>
      </c>
      <c r="G18" s="39"/>
      <c r="H18" s="39"/>
      <c r="I18" s="39">
        <v>34550</v>
      </c>
      <c r="J18" s="39">
        <f>127850+67600</f>
        <v>195450</v>
      </c>
      <c r="K18" s="190">
        <v>235900</v>
      </c>
      <c r="L18" s="39"/>
      <c r="M18" s="39">
        <v>157700</v>
      </c>
      <c r="N18" s="39"/>
      <c r="O18" s="39"/>
      <c r="P18" s="39"/>
      <c r="Q18" s="40">
        <f t="shared" si="1"/>
        <v>655167.51329934772</v>
      </c>
      <c r="R18" s="420">
        <f>3</f>
        <v>3</v>
      </c>
      <c r="S18" s="40">
        <f t="shared" si="2"/>
        <v>2795639.5132993478</v>
      </c>
      <c r="T18" s="41">
        <f t="shared" si="3"/>
        <v>0.30608553314378684</v>
      </c>
      <c r="U18" s="41">
        <f t="shared" si="4"/>
        <v>0.30613557029295957</v>
      </c>
    </row>
    <row r="19" spans="1:21" s="16" customFormat="1" ht="13.5" customHeight="1" x14ac:dyDescent="0.25">
      <c r="A19" s="13" t="s">
        <v>22</v>
      </c>
      <c r="B19" s="14">
        <v>2</v>
      </c>
      <c r="C19" s="37">
        <v>729233</v>
      </c>
      <c r="D19" s="182"/>
      <c r="E19" s="38">
        <f t="shared" si="0"/>
        <v>729233</v>
      </c>
      <c r="F19" s="39">
        <v>5241.9661487595304</v>
      </c>
      <c r="G19" s="39"/>
      <c r="H19" s="39"/>
      <c r="I19" s="39">
        <v>5519</v>
      </c>
      <c r="J19" s="39">
        <v>16958</v>
      </c>
      <c r="K19" s="39"/>
      <c r="L19" s="39"/>
      <c r="M19" s="39"/>
      <c r="N19" s="39"/>
      <c r="O19" s="39"/>
      <c r="P19" s="39"/>
      <c r="Q19" s="40">
        <f t="shared" si="1"/>
        <v>27718.966148759529</v>
      </c>
      <c r="R19" s="420"/>
      <c r="S19" s="40">
        <f t="shared" si="2"/>
        <v>756951.96614875947</v>
      </c>
      <c r="T19" s="41">
        <f t="shared" si="3"/>
        <v>3.8011124220598269E-2</v>
      </c>
      <c r="U19" s="41">
        <f t="shared" si="4"/>
        <v>3.8011124220598269E-2</v>
      </c>
    </row>
    <row r="20" spans="1:21" s="16" customFormat="1" ht="13.5" customHeight="1" x14ac:dyDescent="0.25">
      <c r="A20" s="13" t="s">
        <v>23</v>
      </c>
      <c r="B20" s="14">
        <v>3</v>
      </c>
      <c r="C20" s="37">
        <v>1526249</v>
      </c>
      <c r="D20" s="182">
        <v>195</v>
      </c>
      <c r="E20" s="38">
        <f t="shared" si="0"/>
        <v>1526444</v>
      </c>
      <c r="F20" s="39">
        <v>18586.397565023512</v>
      </c>
      <c r="G20" s="39"/>
      <c r="H20" s="39"/>
      <c r="I20" s="39">
        <v>23577</v>
      </c>
      <c r="J20" s="39">
        <v>45046</v>
      </c>
      <c r="K20" s="39"/>
      <c r="L20" s="39"/>
      <c r="M20" s="39">
        <v>15000</v>
      </c>
      <c r="N20" s="39"/>
      <c r="O20" s="39"/>
      <c r="P20" s="39"/>
      <c r="Q20" s="40">
        <f t="shared" si="1"/>
        <v>102209.39756502351</v>
      </c>
      <c r="R20" s="420"/>
      <c r="S20" s="40">
        <f t="shared" si="2"/>
        <v>1628653.3975650235</v>
      </c>
      <c r="T20" s="41">
        <f t="shared" si="3"/>
        <v>6.6959153146151085E-2</v>
      </c>
      <c r="U20" s="41">
        <f t="shared" si="4"/>
        <v>6.7095472341029305E-2</v>
      </c>
    </row>
    <row r="21" spans="1:21" s="16" customFormat="1" ht="13.5" customHeight="1" x14ac:dyDescent="0.25">
      <c r="A21" s="13" t="s">
        <v>24</v>
      </c>
      <c r="B21" s="14">
        <v>2</v>
      </c>
      <c r="C21" s="37">
        <v>614496</v>
      </c>
      <c r="D21" s="182"/>
      <c r="E21" s="38">
        <f t="shared" si="0"/>
        <v>614496</v>
      </c>
      <c r="F21" s="39">
        <v>2133.8076564951753</v>
      </c>
      <c r="G21" s="190">
        <v>26595.480000000003</v>
      </c>
      <c r="H21" s="39"/>
      <c r="I21" s="39">
        <v>8855</v>
      </c>
      <c r="J21" s="39">
        <f>11875+28831</f>
        <v>40706</v>
      </c>
      <c r="K21" s="39"/>
      <c r="L21" s="39"/>
      <c r="M21" s="39"/>
      <c r="N21" s="39"/>
      <c r="O21" s="39"/>
      <c r="P21" s="39"/>
      <c r="Q21" s="40">
        <f t="shared" si="1"/>
        <v>78290.287656495173</v>
      </c>
      <c r="R21" s="420">
        <v>0.34</v>
      </c>
      <c r="S21" s="40">
        <f t="shared" si="2"/>
        <v>692786.28765649511</v>
      </c>
      <c r="T21" s="41">
        <f t="shared" si="3"/>
        <v>0.12740569125998391</v>
      </c>
      <c r="U21" s="41">
        <f t="shared" si="4"/>
        <v>0.12740569125998391</v>
      </c>
    </row>
    <row r="22" spans="1:21" s="16" customFormat="1" ht="13.5" customHeight="1" x14ac:dyDescent="0.25">
      <c r="A22" s="13" t="s">
        <v>25</v>
      </c>
      <c r="B22" s="14">
        <v>2</v>
      </c>
      <c r="C22" s="37">
        <v>638127</v>
      </c>
      <c r="D22" s="182"/>
      <c r="E22" s="38">
        <f t="shared" si="0"/>
        <v>638127</v>
      </c>
      <c r="F22" s="39">
        <v>11428.925079473724</v>
      </c>
      <c r="G22" s="39"/>
      <c r="H22" s="39"/>
      <c r="I22" s="39">
        <v>7257</v>
      </c>
      <c r="J22" s="39">
        <v>24730</v>
      </c>
      <c r="K22" s="39"/>
      <c r="L22" s="39"/>
      <c r="M22" s="39"/>
      <c r="N22" s="39">
        <v>46816</v>
      </c>
      <c r="O22" s="39"/>
      <c r="P22" s="39"/>
      <c r="Q22" s="40">
        <f t="shared" si="1"/>
        <v>90231.925079473731</v>
      </c>
      <c r="R22" s="420"/>
      <c r="S22" s="40">
        <f t="shared" si="2"/>
        <v>728358.92507947376</v>
      </c>
      <c r="T22" s="41">
        <f t="shared" si="3"/>
        <v>0.1414012023930562</v>
      </c>
      <c r="U22" s="41">
        <f t="shared" si="4"/>
        <v>0.1414012023930562</v>
      </c>
    </row>
    <row r="23" spans="1:21" s="16" customFormat="1" ht="13.5" customHeight="1" x14ac:dyDescent="0.25">
      <c r="A23" s="13" t="s">
        <v>26</v>
      </c>
      <c r="B23" s="14">
        <v>1</v>
      </c>
      <c r="C23" s="37">
        <v>558057</v>
      </c>
      <c r="D23" s="182">
        <v>1676</v>
      </c>
      <c r="E23" s="38">
        <f t="shared" si="0"/>
        <v>559733</v>
      </c>
      <c r="F23" s="39">
        <v>10086.063057665941</v>
      </c>
      <c r="G23" s="39"/>
      <c r="H23" s="39"/>
      <c r="I23" s="39">
        <v>5497</v>
      </c>
      <c r="J23" s="39">
        <v>10644</v>
      </c>
      <c r="K23" s="39"/>
      <c r="L23" s="190">
        <v>55741</v>
      </c>
      <c r="M23" s="39"/>
      <c r="N23" s="39"/>
      <c r="O23" s="39"/>
      <c r="P23" s="39"/>
      <c r="Q23" s="40">
        <f t="shared" si="1"/>
        <v>81968.063057665946</v>
      </c>
      <c r="R23" s="420">
        <f>1</f>
        <v>1</v>
      </c>
      <c r="S23" s="40">
        <f t="shared" si="2"/>
        <v>641701.06305766595</v>
      </c>
      <c r="T23" s="41">
        <f t="shared" si="3"/>
        <v>0.14644136232394001</v>
      </c>
      <c r="U23" s="41">
        <f t="shared" si="4"/>
        <v>0.14988444380711274</v>
      </c>
    </row>
    <row r="24" spans="1:21" s="16" customFormat="1" ht="13.5" customHeight="1" x14ac:dyDescent="0.25">
      <c r="A24" s="13" t="s">
        <v>27</v>
      </c>
      <c r="B24" s="14">
        <v>2</v>
      </c>
      <c r="C24" s="37">
        <v>669639</v>
      </c>
      <c r="D24" s="182"/>
      <c r="E24" s="38">
        <f t="shared" si="0"/>
        <v>669639</v>
      </c>
      <c r="F24" s="39">
        <v>2854.8769162181061</v>
      </c>
      <c r="G24" s="39"/>
      <c r="H24" s="39"/>
      <c r="I24" s="39">
        <v>6659</v>
      </c>
      <c r="J24" s="39"/>
      <c r="K24" s="39"/>
      <c r="L24" s="39"/>
      <c r="M24" s="39"/>
      <c r="N24" s="39">
        <v>45255</v>
      </c>
      <c r="O24" s="39"/>
      <c r="P24" s="39"/>
      <c r="Q24" s="40">
        <f t="shared" si="1"/>
        <v>54768.876916218105</v>
      </c>
      <c r="R24" s="420"/>
      <c r="S24" s="40">
        <f t="shared" si="2"/>
        <v>724407.87691621808</v>
      </c>
      <c r="T24" s="41">
        <f t="shared" si="3"/>
        <v>8.1788660630904175E-2</v>
      </c>
      <c r="U24" s="41">
        <f t="shared" si="4"/>
        <v>8.1788660630904175E-2</v>
      </c>
    </row>
    <row r="25" spans="1:21" s="16" customFormat="1" ht="13.5" customHeight="1" x14ac:dyDescent="0.25">
      <c r="A25" s="13" t="s">
        <v>28</v>
      </c>
      <c r="B25" s="14">
        <v>2</v>
      </c>
      <c r="C25" s="37">
        <v>1021928</v>
      </c>
      <c r="D25" s="182"/>
      <c r="E25" s="38">
        <f t="shared" si="0"/>
        <v>1021928</v>
      </c>
      <c r="F25" s="39">
        <v>12750.704593035585</v>
      </c>
      <c r="G25" s="39"/>
      <c r="H25" s="39"/>
      <c r="I25" s="39">
        <v>23100</v>
      </c>
      <c r="J25" s="39">
        <v>39800</v>
      </c>
      <c r="K25" s="39"/>
      <c r="L25" s="39"/>
      <c r="M25" s="39"/>
      <c r="N25" s="39"/>
      <c r="O25" s="39"/>
      <c r="P25" s="39"/>
      <c r="Q25" s="40">
        <f t="shared" si="1"/>
        <v>75650.704593035582</v>
      </c>
      <c r="R25" s="420"/>
      <c r="S25" s="40">
        <f t="shared" si="2"/>
        <v>1097578.7045930356</v>
      </c>
      <c r="T25" s="41">
        <f t="shared" si="3"/>
        <v>7.4027431084220829E-2</v>
      </c>
      <c r="U25" s="41">
        <f t="shared" si="4"/>
        <v>7.4027431084220829E-2</v>
      </c>
    </row>
    <row r="26" spans="1:21" s="16" customFormat="1" ht="13.5" customHeight="1" x14ac:dyDescent="0.25">
      <c r="A26" s="13" t="s">
        <v>29</v>
      </c>
      <c r="B26" s="14">
        <v>3</v>
      </c>
      <c r="C26" s="37">
        <v>1438886</v>
      </c>
      <c r="D26" s="182"/>
      <c r="E26" s="38">
        <f t="shared" si="0"/>
        <v>1438886</v>
      </c>
      <c r="F26" s="39">
        <v>16241.166847286204</v>
      </c>
      <c r="G26" s="39"/>
      <c r="H26" s="39"/>
      <c r="I26" s="39">
        <v>14909</v>
      </c>
      <c r="J26" s="39">
        <v>33814</v>
      </c>
      <c r="K26" s="190">
        <f>50582+50582</f>
        <v>101164</v>
      </c>
      <c r="L26" s="39"/>
      <c r="M26" s="39"/>
      <c r="N26" s="39"/>
      <c r="O26" s="39"/>
      <c r="P26" s="39"/>
      <c r="Q26" s="40">
        <f t="shared" si="1"/>
        <v>166128.16684728622</v>
      </c>
      <c r="R26" s="420">
        <f>1+1</f>
        <v>2</v>
      </c>
      <c r="S26" s="40">
        <f t="shared" si="2"/>
        <v>1605014.1668472863</v>
      </c>
      <c r="T26" s="41">
        <f t="shared" si="3"/>
        <v>0.11545610065515</v>
      </c>
      <c r="U26" s="41">
        <f t="shared" si="4"/>
        <v>0.11545610065515</v>
      </c>
    </row>
    <row r="27" spans="1:21" s="16" customFormat="1" x14ac:dyDescent="0.25">
      <c r="A27" s="13" t="s">
        <v>30</v>
      </c>
      <c r="B27" s="14">
        <v>5</v>
      </c>
      <c r="C27" s="37">
        <v>4003407</v>
      </c>
      <c r="D27" s="182">
        <v>4374</v>
      </c>
      <c r="E27" s="38">
        <f t="shared" si="0"/>
        <v>4007781</v>
      </c>
      <c r="F27" s="39">
        <v>49670.915288130003</v>
      </c>
      <c r="G27" s="190">
        <v>323056.86</v>
      </c>
      <c r="H27" s="39"/>
      <c r="I27" s="39">
        <v>71068</v>
      </c>
      <c r="J27" s="39">
        <v>134540</v>
      </c>
      <c r="K27" s="39"/>
      <c r="L27" s="39"/>
      <c r="M27" s="39"/>
      <c r="N27" s="39"/>
      <c r="O27" s="39"/>
      <c r="P27" s="39"/>
      <c r="Q27" s="40">
        <f t="shared" si="1"/>
        <v>578335.77528812992</v>
      </c>
      <c r="R27" s="420">
        <v>4.13</v>
      </c>
      <c r="S27" s="40">
        <f t="shared" si="2"/>
        <v>4586116.7752881302</v>
      </c>
      <c r="T27" s="41">
        <f t="shared" si="3"/>
        <v>0.14430323794841349</v>
      </c>
      <c r="U27" s="41">
        <f t="shared" si="4"/>
        <v>0.14555346865510566</v>
      </c>
    </row>
    <row r="28" spans="1:21" s="16" customFormat="1" ht="13.5" customHeight="1" x14ac:dyDescent="0.25">
      <c r="A28" s="13" t="s">
        <v>31</v>
      </c>
      <c r="B28" s="14">
        <v>4</v>
      </c>
      <c r="C28" s="37">
        <v>2287647</v>
      </c>
      <c r="D28" s="182">
        <v>693</v>
      </c>
      <c r="E28" s="38">
        <f t="shared" si="0"/>
        <v>2288340</v>
      </c>
      <c r="F28" s="39">
        <v>30178.324448915711</v>
      </c>
      <c r="G28" s="39"/>
      <c r="H28" s="39"/>
      <c r="I28" s="39">
        <v>21477</v>
      </c>
      <c r="J28" s="39">
        <v>68081</v>
      </c>
      <c r="K28" s="190">
        <f>59294+59294+59294+75142+59294</f>
        <v>312318</v>
      </c>
      <c r="L28" s="190">
        <v>59294</v>
      </c>
      <c r="M28" s="39"/>
      <c r="N28" s="39"/>
      <c r="O28" s="39"/>
      <c r="P28" s="39"/>
      <c r="Q28" s="40">
        <f t="shared" si="1"/>
        <v>491348.32444891572</v>
      </c>
      <c r="R28" s="420">
        <f>1+1+1+1+1+1</f>
        <v>6</v>
      </c>
      <c r="S28" s="40">
        <f t="shared" si="2"/>
        <v>2779688.3244489157</v>
      </c>
      <c r="T28" s="41">
        <f t="shared" si="3"/>
        <v>0.21471823437466275</v>
      </c>
      <c r="U28" s="41">
        <f t="shared" si="4"/>
        <v>0.2150862106124396</v>
      </c>
    </row>
    <row r="29" spans="1:21" s="16" customFormat="1" ht="13.5" customHeight="1" x14ac:dyDescent="0.25">
      <c r="A29" s="13" t="s">
        <v>32</v>
      </c>
      <c r="B29" s="14">
        <v>8</v>
      </c>
      <c r="C29" s="37">
        <v>35834370</v>
      </c>
      <c r="D29" s="182">
        <v>84588</v>
      </c>
      <c r="E29" s="38">
        <f t="shared" si="0"/>
        <v>35918958</v>
      </c>
      <c r="F29" s="39">
        <v>190824.38994963345</v>
      </c>
      <c r="G29" s="39"/>
      <c r="H29" s="39"/>
      <c r="I29" s="39">
        <v>90505</v>
      </c>
      <c r="J29" s="39">
        <v>753729</v>
      </c>
      <c r="K29" s="39"/>
      <c r="L29" s="39"/>
      <c r="M29" s="39"/>
      <c r="N29" s="39"/>
      <c r="O29" s="39"/>
      <c r="P29" s="39"/>
      <c r="Q29" s="40">
        <f t="shared" si="1"/>
        <v>1035058.3899496335</v>
      </c>
      <c r="R29" s="420"/>
      <c r="S29" s="40">
        <f t="shared" si="2"/>
        <v>36954016.389949635</v>
      </c>
      <c r="T29" s="41">
        <f t="shared" si="3"/>
        <v>2.8816492670796112E-2</v>
      </c>
      <c r="U29" s="41">
        <f t="shared" si="4"/>
        <v>3.1245041839709664E-2</v>
      </c>
    </row>
    <row r="30" spans="1:21" s="16" customFormat="1" ht="13.5" customHeight="1" x14ac:dyDescent="0.25">
      <c r="A30" s="13" t="s">
        <v>33</v>
      </c>
      <c r="B30" s="14">
        <v>2</v>
      </c>
      <c r="C30" s="37">
        <v>670053</v>
      </c>
      <c r="D30" s="182"/>
      <c r="E30" s="38">
        <f t="shared" si="0"/>
        <v>670053</v>
      </c>
      <c r="F30" s="39">
        <v>5692.5927428420764</v>
      </c>
      <c r="G30" s="39"/>
      <c r="H30" s="39"/>
      <c r="I30" s="39">
        <v>12239</v>
      </c>
      <c r="J30" s="39">
        <v>11688</v>
      </c>
      <c r="K30" s="190">
        <v>53850</v>
      </c>
      <c r="L30" s="39"/>
      <c r="M30" s="39"/>
      <c r="N30" s="39"/>
      <c r="O30" s="39">
        <v>8715</v>
      </c>
      <c r="P30" s="39"/>
      <c r="Q30" s="40">
        <f t="shared" si="1"/>
        <v>92184.592742842069</v>
      </c>
      <c r="R30" s="420">
        <f>0.7</f>
        <v>0.7</v>
      </c>
      <c r="S30" s="40">
        <f t="shared" si="2"/>
        <v>762237.59274284204</v>
      </c>
      <c r="T30" s="41">
        <f t="shared" si="3"/>
        <v>0.13757806135162753</v>
      </c>
      <c r="U30" s="41">
        <f t="shared" si="4"/>
        <v>0.13757806135162753</v>
      </c>
    </row>
    <row r="31" spans="1:21" s="16" customFormat="1" ht="13.5" customHeight="1" x14ac:dyDescent="0.25">
      <c r="A31" s="13" t="s">
        <v>34</v>
      </c>
      <c r="B31" s="14">
        <v>4</v>
      </c>
      <c r="C31" s="37">
        <v>3299276</v>
      </c>
      <c r="D31" s="182">
        <v>5043</v>
      </c>
      <c r="E31" s="38">
        <f t="shared" si="0"/>
        <v>3304319</v>
      </c>
      <c r="F31" s="39">
        <v>52824.493123629414</v>
      </c>
      <c r="G31" s="39"/>
      <c r="H31" s="39"/>
      <c r="I31" s="39"/>
      <c r="J31" s="39">
        <v>308510</v>
      </c>
      <c r="K31" s="39"/>
      <c r="L31" s="39"/>
      <c r="M31" s="190">
        <v>150109</v>
      </c>
      <c r="N31" s="39"/>
      <c r="O31" s="39"/>
      <c r="P31" s="39"/>
      <c r="Q31" s="40">
        <f t="shared" si="1"/>
        <v>511443.49312362942</v>
      </c>
      <c r="R31" s="420">
        <f>2</f>
        <v>2</v>
      </c>
      <c r="S31" s="40">
        <f t="shared" si="2"/>
        <v>3815762.4931236296</v>
      </c>
      <c r="T31" s="41">
        <f t="shared" si="3"/>
        <v>0.15478030212083937</v>
      </c>
      <c r="U31" s="41">
        <f t="shared" si="4"/>
        <v>0.15654540363510949</v>
      </c>
    </row>
    <row r="32" spans="1:21" s="16" customFormat="1" ht="13.5" customHeight="1" x14ac:dyDescent="0.25">
      <c r="A32" s="13" t="s">
        <v>35</v>
      </c>
      <c r="B32" s="14">
        <v>3</v>
      </c>
      <c r="C32" s="37">
        <v>1255824</v>
      </c>
      <c r="D32" s="182"/>
      <c r="E32" s="38">
        <f t="shared" si="0"/>
        <v>1255824</v>
      </c>
      <c r="F32" s="39">
        <v>9940.5799281439486</v>
      </c>
      <c r="G32" s="39"/>
      <c r="H32" s="39">
        <v>13577</v>
      </c>
      <c r="I32" s="39">
        <v>21804</v>
      </c>
      <c r="J32" s="39">
        <v>48446</v>
      </c>
      <c r="K32" s="39"/>
      <c r="L32" s="39"/>
      <c r="M32" s="39"/>
      <c r="N32" s="39"/>
      <c r="O32" s="39"/>
      <c r="P32" s="39"/>
      <c r="Q32" s="40">
        <f t="shared" si="1"/>
        <v>93767.579928143939</v>
      </c>
      <c r="R32" s="420"/>
      <c r="S32" s="40">
        <f t="shared" si="2"/>
        <v>1349591.5799281439</v>
      </c>
      <c r="T32" s="41">
        <f t="shared" si="3"/>
        <v>7.4666179280013623E-2</v>
      </c>
      <c r="U32" s="41">
        <f t="shared" si="4"/>
        <v>7.4666179280013623E-2</v>
      </c>
    </row>
    <row r="33" spans="1:21" s="16" customFormat="1" ht="13.5" customHeight="1" x14ac:dyDescent="0.25">
      <c r="A33" s="13" t="s">
        <v>36</v>
      </c>
      <c r="B33" s="14">
        <v>2</v>
      </c>
      <c r="C33" s="37">
        <v>565956</v>
      </c>
      <c r="D33" s="182"/>
      <c r="E33" s="38">
        <f t="shared" si="0"/>
        <v>565956</v>
      </c>
      <c r="F33" s="39">
        <v>6077.1742330567331</v>
      </c>
      <c r="G33" s="39"/>
      <c r="H33" s="39">
        <v>27000</v>
      </c>
      <c r="I33" s="39"/>
      <c r="J33" s="39">
        <v>9000</v>
      </c>
      <c r="K33" s="39"/>
      <c r="L33" s="39"/>
      <c r="M33" s="39"/>
      <c r="N33" s="39"/>
      <c r="O33" s="39">
        <f>6000+16000</f>
        <v>22000</v>
      </c>
      <c r="P33" s="39"/>
      <c r="Q33" s="40">
        <f t="shared" si="1"/>
        <v>64077.174233056736</v>
      </c>
      <c r="R33" s="420"/>
      <c r="S33" s="40">
        <f t="shared" si="2"/>
        <v>630033.17423305672</v>
      </c>
      <c r="T33" s="41">
        <f t="shared" si="3"/>
        <v>0.11321935668683913</v>
      </c>
      <c r="U33" s="41">
        <f t="shared" si="4"/>
        <v>0.11321935668683913</v>
      </c>
    </row>
    <row r="34" spans="1:21" s="16" customFormat="1" ht="13.5" customHeight="1" x14ac:dyDescent="0.25">
      <c r="A34" s="13" t="s">
        <v>37</v>
      </c>
      <c r="B34" s="14">
        <v>1</v>
      </c>
      <c r="C34" s="37">
        <v>343958</v>
      </c>
      <c r="D34" s="182"/>
      <c r="E34" s="38">
        <f t="shared" si="0"/>
        <v>343958</v>
      </c>
      <c r="F34" s="39">
        <v>571.96219848135797</v>
      </c>
      <c r="G34" s="39"/>
      <c r="H34" s="39"/>
      <c r="I34" s="39">
        <v>5147</v>
      </c>
      <c r="J34" s="39">
        <f>7757+3713</f>
        <v>11470</v>
      </c>
      <c r="K34" s="39"/>
      <c r="L34" s="39"/>
      <c r="M34" s="39"/>
      <c r="N34" s="39"/>
      <c r="O34" s="39"/>
      <c r="P34" s="39"/>
      <c r="Q34" s="42">
        <f t="shared" si="1"/>
        <v>17188.962198481357</v>
      </c>
      <c r="R34" s="420"/>
      <c r="S34" s="42">
        <f t="shared" si="2"/>
        <v>361146.96219848137</v>
      </c>
      <c r="T34" s="41">
        <f t="shared" si="3"/>
        <v>4.9974014846235315E-2</v>
      </c>
      <c r="U34" s="41">
        <f t="shared" si="4"/>
        <v>4.9974014846235315E-2</v>
      </c>
    </row>
    <row r="35" spans="1:21" s="16" customFormat="1" ht="13.5" customHeight="1" x14ac:dyDescent="0.25">
      <c r="A35" s="13" t="s">
        <v>38</v>
      </c>
      <c r="B35" s="14">
        <v>5</v>
      </c>
      <c r="C35" s="37">
        <v>7214798</v>
      </c>
      <c r="D35" s="182">
        <v>15437</v>
      </c>
      <c r="E35" s="38">
        <f t="shared" si="0"/>
        <v>7230235</v>
      </c>
      <c r="F35" s="39">
        <v>95232.126735737096</v>
      </c>
      <c r="G35" s="190">
        <v>621864.9</v>
      </c>
      <c r="H35" s="39">
        <f>49998-D35</f>
        <v>34561</v>
      </c>
      <c r="I35" s="39">
        <v>65504</v>
      </c>
      <c r="J35" s="39">
        <v>553439</v>
      </c>
      <c r="K35" s="39"/>
      <c r="L35" s="190">
        <v>121228</v>
      </c>
      <c r="M35" s="39">
        <v>561982</v>
      </c>
      <c r="N35" s="39"/>
      <c r="O35" s="39"/>
      <c r="P35" s="39"/>
      <c r="Q35" s="40">
        <f t="shared" si="1"/>
        <v>2053811.026735737</v>
      </c>
      <c r="R35" s="420">
        <f>2+7.95</f>
        <v>9.9499999999999993</v>
      </c>
      <c r="S35" s="40">
        <f t="shared" si="2"/>
        <v>9284046.0267357379</v>
      </c>
      <c r="T35" s="41">
        <f t="shared" si="3"/>
        <v>0.284058682288437</v>
      </c>
      <c r="U35" s="41">
        <f t="shared" si="4"/>
        <v>0.28680609307921556</v>
      </c>
    </row>
    <row r="36" spans="1:21" s="16" customFormat="1" ht="13.5" customHeight="1" x14ac:dyDescent="0.25">
      <c r="A36" s="13" t="s">
        <v>39</v>
      </c>
      <c r="B36" s="14">
        <v>7</v>
      </c>
      <c r="C36" s="37">
        <v>13753772</v>
      </c>
      <c r="D36" s="182">
        <v>29967</v>
      </c>
      <c r="E36" s="38">
        <f t="shared" si="0"/>
        <v>13783739</v>
      </c>
      <c r="F36" s="39">
        <v>89978.780960591132</v>
      </c>
      <c r="G36" s="39"/>
      <c r="H36" s="39"/>
      <c r="I36" s="39">
        <v>481290</v>
      </c>
      <c r="J36" s="39"/>
      <c r="K36" s="190">
        <v>399600</v>
      </c>
      <c r="L36" s="39"/>
      <c r="M36" s="39"/>
      <c r="N36" s="39"/>
      <c r="O36" s="39"/>
      <c r="P36" s="39"/>
      <c r="Q36" s="40">
        <f t="shared" si="1"/>
        <v>970868.78096059116</v>
      </c>
      <c r="R36" s="420">
        <v>6</v>
      </c>
      <c r="S36" s="40">
        <f t="shared" si="2"/>
        <v>14754607.780960592</v>
      </c>
      <c r="T36" s="41">
        <f t="shared" si="3"/>
        <v>7.0435807073871093E-2</v>
      </c>
      <c r="U36" s="41">
        <f t="shared" si="4"/>
        <v>7.2768094524221505E-2</v>
      </c>
    </row>
    <row r="37" spans="1:21" s="16" customFormat="1" ht="13.5" customHeight="1" x14ac:dyDescent="0.25">
      <c r="A37" s="13" t="s">
        <v>40</v>
      </c>
      <c r="B37" s="14">
        <v>5</v>
      </c>
      <c r="C37" s="37">
        <v>6810411</v>
      </c>
      <c r="D37" s="182">
        <v>6260</v>
      </c>
      <c r="E37" s="38">
        <f t="shared" si="0"/>
        <v>6816671</v>
      </c>
      <c r="F37" s="39">
        <v>88385.615236977654</v>
      </c>
      <c r="G37" s="190">
        <v>224497.14</v>
      </c>
      <c r="H37" s="39"/>
      <c r="I37" s="39">
        <v>87672</v>
      </c>
      <c r="J37" s="39">
        <v>342067</v>
      </c>
      <c r="K37" s="39"/>
      <c r="L37" s="39"/>
      <c r="M37" s="39"/>
      <c r="N37" s="39"/>
      <c r="O37" s="39"/>
      <c r="P37" s="39"/>
      <c r="Q37" s="40">
        <f t="shared" si="1"/>
        <v>742621.75523697771</v>
      </c>
      <c r="R37" s="420">
        <v>2.87</v>
      </c>
      <c r="S37" s="40">
        <f t="shared" si="2"/>
        <v>7559292.7552369777</v>
      </c>
      <c r="T37" s="41">
        <f t="shared" si="3"/>
        <v>0.10894199752884925</v>
      </c>
      <c r="U37" s="41">
        <f t="shared" si="4"/>
        <v>0.1099613158790238</v>
      </c>
    </row>
    <row r="38" spans="1:21" s="16" customFormat="1" ht="13.5" customHeight="1" x14ac:dyDescent="0.25">
      <c r="A38" s="13" t="s">
        <v>41</v>
      </c>
      <c r="B38" s="14">
        <v>3</v>
      </c>
      <c r="C38" s="37">
        <v>1307660</v>
      </c>
      <c r="D38" s="182"/>
      <c r="E38" s="38">
        <f t="shared" si="0"/>
        <v>1307660</v>
      </c>
      <c r="F38" s="39">
        <v>26828.991197270272</v>
      </c>
      <c r="G38" s="190">
        <v>48497.64</v>
      </c>
      <c r="H38" s="39"/>
      <c r="I38" s="39">
        <v>14700</v>
      </c>
      <c r="J38" s="39">
        <v>34000</v>
      </c>
      <c r="K38" s="39"/>
      <c r="L38" s="39"/>
      <c r="M38" s="39"/>
      <c r="N38" s="39"/>
      <c r="O38" s="39"/>
      <c r="P38" s="39"/>
      <c r="Q38" s="40">
        <f t="shared" si="1"/>
        <v>124026.63119727027</v>
      </c>
      <c r="R38" s="420">
        <v>0.62</v>
      </c>
      <c r="S38" s="40">
        <f t="shared" si="2"/>
        <v>1431686.6311972702</v>
      </c>
      <c r="T38" s="41">
        <f t="shared" si="3"/>
        <v>9.48462377049617E-2</v>
      </c>
      <c r="U38" s="41">
        <f t="shared" si="4"/>
        <v>9.48462377049617E-2</v>
      </c>
    </row>
    <row r="39" spans="1:21" s="16" customFormat="1" ht="13.5" customHeight="1" x14ac:dyDescent="0.25">
      <c r="A39" s="13" t="s">
        <v>42</v>
      </c>
      <c r="B39" s="14">
        <v>1</v>
      </c>
      <c r="C39" s="37">
        <v>360605</v>
      </c>
      <c r="D39" s="182"/>
      <c r="E39" s="38">
        <f t="shared" si="0"/>
        <v>360605</v>
      </c>
      <c r="F39" s="39">
        <v>4606.8796271991996</v>
      </c>
      <c r="G39" s="39"/>
      <c r="H39" s="39"/>
      <c r="I39" s="39">
        <v>11187</v>
      </c>
      <c r="J39" s="39">
        <v>15848</v>
      </c>
      <c r="K39" s="39"/>
      <c r="L39" s="39"/>
      <c r="M39" s="39"/>
      <c r="N39" s="39">
        <v>22000</v>
      </c>
      <c r="O39" s="39">
        <v>18000</v>
      </c>
      <c r="P39" s="39"/>
      <c r="Q39" s="42">
        <f t="shared" si="1"/>
        <v>71641.879627199203</v>
      </c>
      <c r="R39" s="420"/>
      <c r="S39" s="42">
        <f t="shared" si="2"/>
        <v>432246.8796271992</v>
      </c>
      <c r="T39" s="41">
        <f t="shared" si="3"/>
        <v>0.19867134295752753</v>
      </c>
      <c r="U39" s="41">
        <f t="shared" si="4"/>
        <v>0.19867134295752753</v>
      </c>
    </row>
    <row r="40" spans="1:21" s="16" customFormat="1" ht="13.5" customHeight="1" x14ac:dyDescent="0.25">
      <c r="A40" s="13" t="s">
        <v>43</v>
      </c>
      <c r="B40" s="14">
        <v>3</v>
      </c>
      <c r="C40" s="37">
        <v>648064</v>
      </c>
      <c r="D40" s="182"/>
      <c r="E40" s="38">
        <f t="shared" si="0"/>
        <v>648064</v>
      </c>
      <c r="F40" s="39">
        <v>5919.4791147218239</v>
      </c>
      <c r="G40" s="39"/>
      <c r="H40" s="39"/>
      <c r="I40" s="39">
        <v>20290</v>
      </c>
      <c r="J40" s="39"/>
      <c r="K40" s="190">
        <v>11700</v>
      </c>
      <c r="L40" s="39"/>
      <c r="M40" s="39"/>
      <c r="N40" s="39"/>
      <c r="O40" s="39"/>
      <c r="P40" s="39"/>
      <c r="Q40" s="40">
        <f t="shared" si="1"/>
        <v>37909.47911472182</v>
      </c>
      <c r="R40" s="420">
        <v>0.38</v>
      </c>
      <c r="S40" s="40">
        <f t="shared" si="2"/>
        <v>685973.47911472176</v>
      </c>
      <c r="T40" s="41">
        <f t="shared" si="3"/>
        <v>5.8496505151839573E-2</v>
      </c>
      <c r="U40" s="41">
        <f t="shared" si="4"/>
        <v>5.8496505151839573E-2</v>
      </c>
    </row>
    <row r="41" spans="1:21" s="16" customFormat="1" ht="13.5" customHeight="1" x14ac:dyDescent="0.25">
      <c r="A41" s="13" t="s">
        <v>44</v>
      </c>
      <c r="B41" s="14">
        <v>6</v>
      </c>
      <c r="C41" s="37">
        <v>6884221</v>
      </c>
      <c r="D41" s="182">
        <v>15768</v>
      </c>
      <c r="E41" s="38">
        <f t="shared" si="0"/>
        <v>6899989</v>
      </c>
      <c r="F41" s="39">
        <v>46891.122270649204</v>
      </c>
      <c r="G41" s="190">
        <v>567891.72</v>
      </c>
      <c r="H41" s="39"/>
      <c r="I41" s="39">
        <v>10740</v>
      </c>
      <c r="J41" s="39">
        <v>172530</v>
      </c>
      <c r="K41" s="190">
        <v>262955</v>
      </c>
      <c r="L41" s="39"/>
      <c r="M41" s="39"/>
      <c r="N41" s="39"/>
      <c r="O41" s="39"/>
      <c r="P41" s="39"/>
      <c r="Q41" s="40">
        <f t="shared" si="1"/>
        <v>1061007.842270649</v>
      </c>
      <c r="R41" s="420">
        <f>4+7.26</f>
        <v>11.26</v>
      </c>
      <c r="S41" s="40">
        <f t="shared" si="2"/>
        <v>7960996.842270649</v>
      </c>
      <c r="T41" s="41">
        <f t="shared" si="3"/>
        <v>0.15376949764277148</v>
      </c>
      <c r="U41" s="41">
        <f t="shared" si="4"/>
        <v>0.15641215502387973</v>
      </c>
    </row>
    <row r="42" spans="1:21" s="16" customFormat="1" ht="13.5" customHeight="1" x14ac:dyDescent="0.25">
      <c r="A42" s="13" t="s">
        <v>45</v>
      </c>
      <c r="B42" s="14">
        <v>5</v>
      </c>
      <c r="C42" s="37">
        <v>7612138</v>
      </c>
      <c r="D42" s="182">
        <v>13415</v>
      </c>
      <c r="E42" s="38">
        <f t="shared" si="0"/>
        <v>7625553</v>
      </c>
      <c r="F42" s="39">
        <v>77149.491738757453</v>
      </c>
      <c r="G42" s="190">
        <v>598398.30000000005</v>
      </c>
      <c r="H42" s="39"/>
      <c r="I42" s="39">
        <v>18438</v>
      </c>
      <c r="J42" s="39">
        <v>382878</v>
      </c>
      <c r="K42" s="190">
        <v>42205</v>
      </c>
      <c r="L42" s="39"/>
      <c r="M42" s="39"/>
      <c r="N42" s="39"/>
      <c r="O42" s="39"/>
      <c r="P42" s="39"/>
      <c r="Q42" s="40">
        <f t="shared" si="1"/>
        <v>1119068.7917387574</v>
      </c>
      <c r="R42" s="420">
        <f>0.5+7.65</f>
        <v>8.15</v>
      </c>
      <c r="S42" s="40">
        <f t="shared" si="2"/>
        <v>8744621.7917387579</v>
      </c>
      <c r="T42" s="41">
        <f t="shared" si="3"/>
        <v>0.14675247706477923</v>
      </c>
      <c r="U42" s="41">
        <f t="shared" si="4"/>
        <v>0.14877341841920866</v>
      </c>
    </row>
    <row r="43" spans="1:21" s="16" customFormat="1" ht="13.5" customHeight="1" x14ac:dyDescent="0.25">
      <c r="A43" s="13" t="s">
        <v>46</v>
      </c>
      <c r="B43" s="14">
        <v>4</v>
      </c>
      <c r="C43" s="37">
        <v>4008040</v>
      </c>
      <c r="D43" s="182">
        <v>8412</v>
      </c>
      <c r="E43" s="38">
        <f t="shared" si="0"/>
        <v>4016452</v>
      </c>
      <c r="F43" s="39">
        <v>66780.858164356396</v>
      </c>
      <c r="G43" s="39"/>
      <c r="H43" s="39">
        <v>12251</v>
      </c>
      <c r="I43" s="39">
        <v>23637</v>
      </c>
      <c r="J43" s="39">
        <v>185058</v>
      </c>
      <c r="K43" s="190">
        <v>65778</v>
      </c>
      <c r="L43" s="39"/>
      <c r="M43" s="39"/>
      <c r="N43" s="39"/>
      <c r="O43" s="39"/>
      <c r="P43" s="39"/>
      <c r="Q43" s="40">
        <f t="shared" si="1"/>
        <v>353504.85816435638</v>
      </c>
      <c r="R43" s="420">
        <f>0.5</f>
        <v>0.5</v>
      </c>
      <c r="S43" s="40">
        <f t="shared" si="2"/>
        <v>4369956.8581643561</v>
      </c>
      <c r="T43" s="41">
        <f t="shared" si="3"/>
        <v>8.8014212086776178E-2</v>
      </c>
      <c r="U43" s="41">
        <f t="shared" si="4"/>
        <v>9.0297716131664485E-2</v>
      </c>
    </row>
    <row r="44" spans="1:21" s="16" customFormat="1" ht="13.5" customHeight="1" x14ac:dyDescent="0.25">
      <c r="A44" s="13" t="s">
        <v>47</v>
      </c>
      <c r="B44" s="14">
        <v>8</v>
      </c>
      <c r="C44" s="37">
        <v>83295613</v>
      </c>
      <c r="D44" s="182">
        <v>213440</v>
      </c>
      <c r="E44" s="38">
        <f t="shared" si="0"/>
        <v>83509053</v>
      </c>
      <c r="F44" s="39">
        <v>669400.1247111836</v>
      </c>
      <c r="G44" s="190">
        <v>3144563.58</v>
      </c>
      <c r="H44" s="39"/>
      <c r="I44" s="39">
        <v>2701800</v>
      </c>
      <c r="J44" s="39">
        <f>2903600+5230800</f>
        <v>8134400</v>
      </c>
      <c r="K44" s="190">
        <v>3993900</v>
      </c>
      <c r="L44" s="39"/>
      <c r="M44" s="39"/>
      <c r="N44" s="39"/>
      <c r="O44" s="39"/>
      <c r="P44" s="39"/>
      <c r="Q44" s="40">
        <f t="shared" si="1"/>
        <v>18644063.704711184</v>
      </c>
      <c r="R44" s="420">
        <f>47.46+39.21</f>
        <v>86.67</v>
      </c>
      <c r="S44" s="40">
        <f t="shared" si="2"/>
        <v>102153116.70471118</v>
      </c>
      <c r="T44" s="41">
        <f t="shared" si="3"/>
        <v>0.22325799461180784</v>
      </c>
      <c r="U44" s="41">
        <f t="shared" si="4"/>
        <v>0.22639251967220875</v>
      </c>
    </row>
    <row r="45" spans="1:21" s="16" customFormat="1" ht="13.5" customHeight="1" x14ac:dyDescent="0.25">
      <c r="A45" s="13" t="s">
        <v>48</v>
      </c>
      <c r="B45" s="14">
        <v>5</v>
      </c>
      <c r="C45" s="37">
        <v>4130386</v>
      </c>
      <c r="D45" s="182">
        <v>6870</v>
      </c>
      <c r="E45" s="38">
        <f t="shared" si="0"/>
        <v>4137256</v>
      </c>
      <c r="F45" s="39">
        <v>63869.248386723957</v>
      </c>
      <c r="G45" s="39"/>
      <c r="H45" s="39"/>
      <c r="I45" s="39"/>
      <c r="J45" s="39">
        <v>246400</v>
      </c>
      <c r="K45" s="39"/>
      <c r="L45" s="39"/>
      <c r="M45" s="39"/>
      <c r="N45" s="39"/>
      <c r="O45" s="39"/>
      <c r="P45" s="39"/>
      <c r="Q45" s="40">
        <f t="shared" si="1"/>
        <v>310269.24838672398</v>
      </c>
      <c r="R45" s="420"/>
      <c r="S45" s="40">
        <f t="shared" si="2"/>
        <v>4447525.2483867239</v>
      </c>
      <c r="T45" s="41">
        <f t="shared" si="3"/>
        <v>7.4993969042941533E-2</v>
      </c>
      <c r="U45" s="41">
        <f t="shared" si="4"/>
        <v>7.6781988024054781E-2</v>
      </c>
    </row>
    <row r="46" spans="1:21" s="16" customFormat="1" ht="13.5" customHeight="1" x14ac:dyDescent="0.25">
      <c r="A46" s="13" t="s">
        <v>49</v>
      </c>
      <c r="B46" s="14">
        <v>4</v>
      </c>
      <c r="C46" s="37">
        <v>1820759</v>
      </c>
      <c r="D46" s="182">
        <v>3918</v>
      </c>
      <c r="E46" s="38">
        <f t="shared" si="0"/>
        <v>1824677</v>
      </c>
      <c r="F46" s="39">
        <v>26480.09010940911</v>
      </c>
      <c r="G46" s="190">
        <v>229972.68</v>
      </c>
      <c r="H46" s="39"/>
      <c r="I46" s="39">
        <v>16295</v>
      </c>
      <c r="J46" s="39"/>
      <c r="K46" s="190">
        <v>103063</v>
      </c>
      <c r="L46" s="39"/>
      <c r="M46" s="39"/>
      <c r="N46" s="39"/>
      <c r="O46" s="39">
        <v>6030</v>
      </c>
      <c r="P46" s="39"/>
      <c r="Q46" s="40">
        <f t="shared" si="1"/>
        <v>381840.77010940912</v>
      </c>
      <c r="R46" s="420">
        <f>2+2.94</f>
        <v>4.9399999999999995</v>
      </c>
      <c r="S46" s="40">
        <f t="shared" si="2"/>
        <v>2206517.770109409</v>
      </c>
      <c r="T46" s="41">
        <f t="shared" si="3"/>
        <v>0.20926485625094693</v>
      </c>
      <c r="U46" s="41">
        <f t="shared" si="4"/>
        <v>0.21186701266307573</v>
      </c>
    </row>
    <row r="47" spans="1:21" s="16" customFormat="1" ht="13.5" customHeight="1" x14ac:dyDescent="0.25">
      <c r="A47" s="13" t="s">
        <v>50</v>
      </c>
      <c r="B47" s="14">
        <v>5</v>
      </c>
      <c r="C47" s="37">
        <v>4274112</v>
      </c>
      <c r="D47" s="182">
        <v>1002</v>
      </c>
      <c r="E47" s="38">
        <f t="shared" si="0"/>
        <v>4275114</v>
      </c>
      <c r="F47" s="39">
        <v>43620.755272452247</v>
      </c>
      <c r="G47" s="39"/>
      <c r="H47" s="39"/>
      <c r="I47" s="39"/>
      <c r="J47" s="39"/>
      <c r="K47" s="39"/>
      <c r="L47" s="39"/>
      <c r="M47" s="39"/>
      <c r="N47" s="39">
        <v>266838</v>
      </c>
      <c r="O47" s="39"/>
      <c r="P47" s="39"/>
      <c r="Q47" s="40">
        <f t="shared" si="1"/>
        <v>310458.75527245225</v>
      </c>
      <c r="R47" s="420"/>
      <c r="S47" s="40">
        <f t="shared" si="2"/>
        <v>4585572.7552724518</v>
      </c>
      <c r="T47" s="41">
        <f t="shared" si="3"/>
        <v>7.2619994524696141E-2</v>
      </c>
      <c r="U47" s="41">
        <f t="shared" si="4"/>
        <v>7.287145383004745E-2</v>
      </c>
    </row>
    <row r="48" spans="1:21" s="16" customFormat="1" ht="13.5" customHeight="1" x14ac:dyDescent="0.25">
      <c r="A48" s="13" t="s">
        <v>51</v>
      </c>
      <c r="B48" s="14">
        <v>3</v>
      </c>
      <c r="C48" s="37">
        <v>1472937</v>
      </c>
      <c r="D48" s="182">
        <v>3055</v>
      </c>
      <c r="E48" s="38">
        <f t="shared" si="0"/>
        <v>1475992</v>
      </c>
      <c r="F48" s="39">
        <v>36163.169555922817</v>
      </c>
      <c r="G48" s="39"/>
      <c r="H48" s="39"/>
      <c r="I48" s="39">
        <v>16800</v>
      </c>
      <c r="J48" s="39">
        <f>60700+84870</f>
        <v>145570</v>
      </c>
      <c r="K48" s="39"/>
      <c r="L48" s="39"/>
      <c r="M48" s="190">
        <v>122178</v>
      </c>
      <c r="N48" s="39"/>
      <c r="O48" s="39"/>
      <c r="P48" s="39"/>
      <c r="Q48" s="40">
        <f t="shared" si="1"/>
        <v>320711.16955592285</v>
      </c>
      <c r="R48" s="420">
        <f>3.5</f>
        <v>3.5</v>
      </c>
      <c r="S48" s="40">
        <f t="shared" si="2"/>
        <v>1796703.169555923</v>
      </c>
      <c r="T48" s="41">
        <f t="shared" si="3"/>
        <v>0.21728516791142694</v>
      </c>
      <c r="U48" s="41">
        <f t="shared" si="4"/>
        <v>0.21980992368032237</v>
      </c>
    </row>
    <row r="49" spans="1:21" s="16" customFormat="1" ht="13.5" customHeight="1" x14ac:dyDescent="0.25">
      <c r="A49" s="13" t="s">
        <v>52</v>
      </c>
      <c r="B49" s="14">
        <v>8</v>
      </c>
      <c r="C49" s="37">
        <v>34409249</v>
      </c>
      <c r="D49" s="182">
        <v>78867</v>
      </c>
      <c r="E49" s="38">
        <f t="shared" si="0"/>
        <v>34488116</v>
      </c>
      <c r="F49" s="39">
        <v>230907.37353085904</v>
      </c>
      <c r="G49" s="190">
        <v>743109</v>
      </c>
      <c r="H49" s="39"/>
      <c r="I49" s="39">
        <v>391996</v>
      </c>
      <c r="J49" s="39">
        <f>3948754+922526</f>
        <v>4871280</v>
      </c>
      <c r="K49" s="190">
        <v>1337923</v>
      </c>
      <c r="L49" s="39"/>
      <c r="M49" s="39"/>
      <c r="N49" s="39">
        <v>2445750</v>
      </c>
      <c r="O49" s="39"/>
      <c r="P49" s="39"/>
      <c r="Q49" s="40">
        <f t="shared" si="1"/>
        <v>10020965.373530859</v>
      </c>
      <c r="R49" s="420">
        <f>14+9.5</f>
        <v>23.5</v>
      </c>
      <c r="S49" s="40">
        <f t="shared" si="2"/>
        <v>44509081.373530857</v>
      </c>
      <c r="T49" s="41">
        <f t="shared" si="3"/>
        <v>0.29056285282532857</v>
      </c>
      <c r="U49" s="41">
        <f t="shared" si="4"/>
        <v>0.29352086043874004</v>
      </c>
    </row>
    <row r="50" spans="1:21" s="16" customFormat="1" ht="13.5" customHeight="1" x14ac:dyDescent="0.25">
      <c r="A50" s="13" t="s">
        <v>53</v>
      </c>
      <c r="B50" s="14">
        <v>6</v>
      </c>
      <c r="C50" s="37">
        <v>8991338</v>
      </c>
      <c r="D50" s="182">
        <v>11169</v>
      </c>
      <c r="E50" s="38">
        <f t="shared" si="0"/>
        <v>9002507</v>
      </c>
      <c r="F50" s="39">
        <v>122938.08536979796</v>
      </c>
      <c r="G50" s="190">
        <v>312888</v>
      </c>
      <c r="H50" s="39"/>
      <c r="I50" s="39">
        <v>230720</v>
      </c>
      <c r="J50" s="39">
        <v>222130</v>
      </c>
      <c r="K50" s="39"/>
      <c r="L50" s="39"/>
      <c r="M50" s="39"/>
      <c r="N50" s="39"/>
      <c r="O50" s="39"/>
      <c r="P50" s="39"/>
      <c r="Q50" s="40">
        <f t="shared" si="1"/>
        <v>888676.08536979789</v>
      </c>
      <c r="R50" s="420">
        <v>4</v>
      </c>
      <c r="S50" s="40">
        <f t="shared" si="2"/>
        <v>9891183.0853697974</v>
      </c>
      <c r="T50" s="41">
        <f t="shared" si="3"/>
        <v>9.8714289849460624E-2</v>
      </c>
      <c r="U50" s="41">
        <f t="shared" si="4"/>
        <v>0.10007910784466079</v>
      </c>
    </row>
    <row r="51" spans="1:21" s="16" customFormat="1" ht="13.5" customHeight="1" x14ac:dyDescent="0.25">
      <c r="A51" s="13" t="s">
        <v>54</v>
      </c>
      <c r="B51" s="14">
        <v>8</v>
      </c>
      <c r="C51" s="37">
        <v>34557372</v>
      </c>
      <c r="D51" s="182">
        <v>72411</v>
      </c>
      <c r="E51" s="38">
        <f t="shared" si="0"/>
        <v>34629783</v>
      </c>
      <c r="F51" s="39">
        <v>261054.0321485468</v>
      </c>
      <c r="G51" s="190">
        <v>1002475</v>
      </c>
      <c r="H51" s="39">
        <f>97159-D51</f>
        <v>24748</v>
      </c>
      <c r="I51" s="39">
        <v>800726</v>
      </c>
      <c r="J51" s="39">
        <f>1454907+4355062</f>
        <v>5809969</v>
      </c>
      <c r="K51" s="39"/>
      <c r="L51" s="39"/>
      <c r="M51" s="39"/>
      <c r="N51" s="39"/>
      <c r="O51" s="39"/>
      <c r="P51" s="39"/>
      <c r="Q51" s="40">
        <f t="shared" si="1"/>
        <v>7898972.0321485465</v>
      </c>
      <c r="R51" s="420">
        <v>12.5</v>
      </c>
      <c r="S51" s="40">
        <f t="shared" si="2"/>
        <v>42528755.032148547</v>
      </c>
      <c r="T51" s="41">
        <f t="shared" si="3"/>
        <v>0.22809764739642024</v>
      </c>
      <c r="U51" s="41">
        <f t="shared" si="4"/>
        <v>0.23067098482339876</v>
      </c>
    </row>
    <row r="52" spans="1:21" s="16" customFormat="1" ht="13.5" customHeight="1" x14ac:dyDescent="0.25">
      <c r="A52" s="13" t="s">
        <v>55</v>
      </c>
      <c r="B52" s="14">
        <v>6</v>
      </c>
      <c r="C52" s="37">
        <v>13281406</v>
      </c>
      <c r="D52" s="182">
        <v>30985</v>
      </c>
      <c r="E52" s="38">
        <f t="shared" si="0"/>
        <v>13312391</v>
      </c>
      <c r="F52" s="39">
        <v>127456.07950755669</v>
      </c>
      <c r="G52" s="39"/>
      <c r="H52" s="39"/>
      <c r="I52" s="39">
        <v>295596</v>
      </c>
      <c r="J52" s="39">
        <v>2618773</v>
      </c>
      <c r="K52" s="39"/>
      <c r="L52" s="39"/>
      <c r="M52" s="219">
        <v>-10015699.08</v>
      </c>
      <c r="N52" s="39"/>
      <c r="O52" s="39"/>
      <c r="P52" s="39"/>
      <c r="Q52" s="40">
        <f>SUM(F52:P52)+10015699.08</f>
        <v>3041825.0795075567</v>
      </c>
      <c r="R52" s="420"/>
      <c r="S52" s="40">
        <f t="shared" si="2"/>
        <v>16354216.079507556</v>
      </c>
      <c r="T52" s="41">
        <f t="shared" si="3"/>
        <v>0.22849577356220641</v>
      </c>
      <c r="U52" s="41">
        <f t="shared" si="4"/>
        <v>0.23136180608495494</v>
      </c>
    </row>
    <row r="53" spans="1:21" s="16" customFormat="1" ht="13.5" customHeight="1" x14ac:dyDescent="0.25">
      <c r="A53" s="13" t="s">
        <v>56</v>
      </c>
      <c r="B53" s="14">
        <v>7</v>
      </c>
      <c r="C53" s="37">
        <v>25966935</v>
      </c>
      <c r="D53" s="182">
        <v>67366</v>
      </c>
      <c r="E53" s="38">
        <f t="shared" si="0"/>
        <v>26034301</v>
      </c>
      <c r="F53" s="39">
        <v>226987.57152523033</v>
      </c>
      <c r="G53" s="39"/>
      <c r="H53" s="39"/>
      <c r="I53" s="39">
        <v>1936170</v>
      </c>
      <c r="J53" s="39">
        <f>663395+133639</f>
        <v>797034</v>
      </c>
      <c r="K53" s="190">
        <f>1246782+905658</f>
        <v>2152440</v>
      </c>
      <c r="L53" s="39"/>
      <c r="M53" s="39"/>
      <c r="N53" s="39"/>
      <c r="O53" s="39"/>
      <c r="P53" s="39"/>
      <c r="Q53" s="40">
        <f t="shared" ref="Q53:Q68" si="5">SUM(F53:P53)</f>
        <v>5112631.571525231</v>
      </c>
      <c r="R53" s="420">
        <f>14+8</f>
        <v>22</v>
      </c>
      <c r="S53" s="40">
        <f t="shared" si="2"/>
        <v>31146932.571525231</v>
      </c>
      <c r="T53" s="41">
        <f t="shared" si="3"/>
        <v>0.19638059694881882</v>
      </c>
      <c r="U53" s="41">
        <f t="shared" si="4"/>
        <v>0.19948436623441435</v>
      </c>
    </row>
    <row r="54" spans="1:21" s="16" customFormat="1" ht="13.5" customHeight="1" x14ac:dyDescent="0.25">
      <c r="A54" s="13" t="s">
        <v>57</v>
      </c>
      <c r="B54" s="14">
        <v>7</v>
      </c>
      <c r="C54" s="37">
        <v>14703061</v>
      </c>
      <c r="D54" s="182">
        <v>36789</v>
      </c>
      <c r="E54" s="38">
        <f t="shared" si="0"/>
        <v>14739850</v>
      </c>
      <c r="F54" s="39">
        <v>224099.00045779184</v>
      </c>
      <c r="G54" s="190">
        <v>930059.58000000007</v>
      </c>
      <c r="H54" s="39"/>
      <c r="I54" s="39">
        <v>117923</v>
      </c>
      <c r="J54" s="39">
        <f>436288+112203+330286+353934</f>
        <v>1232711</v>
      </c>
      <c r="K54" s="190">
        <v>111100</v>
      </c>
      <c r="L54" s="39"/>
      <c r="M54" s="39"/>
      <c r="N54" s="39"/>
      <c r="O54" s="39">
        <v>34300</v>
      </c>
      <c r="P54" s="39"/>
      <c r="Q54" s="40">
        <f t="shared" si="5"/>
        <v>2650192.5804577917</v>
      </c>
      <c r="R54" s="420">
        <f>2+11.89</f>
        <v>13.89</v>
      </c>
      <c r="S54" s="40">
        <f t="shared" si="2"/>
        <v>17390042.580457792</v>
      </c>
      <c r="T54" s="41">
        <f t="shared" si="3"/>
        <v>0.17979779851611721</v>
      </c>
      <c r="U54" s="41">
        <f t="shared" si="4"/>
        <v>0.18274980838736865</v>
      </c>
    </row>
    <row r="55" spans="1:21" s="16" customFormat="1" ht="13.5" customHeight="1" x14ac:dyDescent="0.25">
      <c r="A55" s="13" t="s">
        <v>58</v>
      </c>
      <c r="B55" s="14">
        <v>4</v>
      </c>
      <c r="C55" s="37">
        <v>2469317</v>
      </c>
      <c r="D55" s="182">
        <v>170</v>
      </c>
      <c r="E55" s="38">
        <f t="shared" si="0"/>
        <v>2469487</v>
      </c>
      <c r="F55" s="39">
        <v>38087.230895702829</v>
      </c>
      <c r="G55" s="39"/>
      <c r="H55" s="39"/>
      <c r="I55" s="39"/>
      <c r="J55" s="39">
        <v>165062</v>
      </c>
      <c r="K55" s="39"/>
      <c r="L55" s="39"/>
      <c r="M55" s="39">
        <v>209653</v>
      </c>
      <c r="N55" s="39"/>
      <c r="O55" s="39"/>
      <c r="P55" s="39"/>
      <c r="Q55" s="40">
        <f t="shared" si="5"/>
        <v>412802.23089570284</v>
      </c>
      <c r="R55" s="420"/>
      <c r="S55" s="40">
        <f t="shared" si="2"/>
        <v>2882289.2308957027</v>
      </c>
      <c r="T55" s="41">
        <f t="shared" si="3"/>
        <v>0.16716112734981103</v>
      </c>
      <c r="U55" s="41">
        <f t="shared" si="4"/>
        <v>0.16724148049671328</v>
      </c>
    </row>
    <row r="56" spans="1:21" s="16" customFormat="1" ht="13.5" customHeight="1" x14ac:dyDescent="0.25">
      <c r="A56" s="13" t="s">
        <v>59</v>
      </c>
      <c r="B56" s="14">
        <v>5</v>
      </c>
      <c r="C56" s="37">
        <v>4249289</v>
      </c>
      <c r="D56" s="182">
        <v>9927</v>
      </c>
      <c r="E56" s="38">
        <f t="shared" si="0"/>
        <v>4259216</v>
      </c>
      <c r="F56" s="39">
        <v>34130.471397355053</v>
      </c>
      <c r="G56" s="190">
        <v>334790</v>
      </c>
      <c r="H56" s="39"/>
      <c r="I56" s="39">
        <v>62000</v>
      </c>
      <c r="J56" s="39">
        <v>255731</v>
      </c>
      <c r="K56" s="39"/>
      <c r="L56" s="190">
        <v>98359</v>
      </c>
      <c r="M56" s="39">
        <v>949743</v>
      </c>
      <c r="N56" s="39"/>
      <c r="O56" s="39"/>
      <c r="P56" s="39"/>
      <c r="Q56" s="40">
        <f t="shared" si="5"/>
        <v>1734753.4713973552</v>
      </c>
      <c r="R56" s="420">
        <f>1+4.28</f>
        <v>5.28</v>
      </c>
      <c r="S56" s="40">
        <f t="shared" si="2"/>
        <v>5993969.4713973552</v>
      </c>
      <c r="T56" s="41">
        <f t="shared" si="3"/>
        <v>0.40729408214970908</v>
      </c>
      <c r="U56" s="41">
        <f t="shared" si="4"/>
        <v>0.4105817400034113</v>
      </c>
    </row>
    <row r="57" spans="1:21" s="16" customFormat="1" ht="13.5" customHeight="1" x14ac:dyDescent="0.25">
      <c r="A57" s="13" t="s">
        <v>60</v>
      </c>
      <c r="B57" s="14">
        <v>5</v>
      </c>
      <c r="C57" s="37">
        <v>7712313</v>
      </c>
      <c r="D57" s="182">
        <v>11110</v>
      </c>
      <c r="E57" s="38">
        <f t="shared" si="0"/>
        <v>7723423</v>
      </c>
      <c r="F57" s="39">
        <v>117182.20603827751</v>
      </c>
      <c r="G57" s="190">
        <v>312888</v>
      </c>
      <c r="H57" s="39"/>
      <c r="I57" s="39">
        <v>246105</v>
      </c>
      <c r="J57" s="39">
        <v>1104238</v>
      </c>
      <c r="K57" s="190">
        <f>159450+159450</f>
        <v>318900</v>
      </c>
      <c r="L57" s="39"/>
      <c r="M57" s="39">
        <v>342069</v>
      </c>
      <c r="N57" s="39"/>
      <c r="O57" s="39"/>
      <c r="P57" s="39"/>
      <c r="Q57" s="40">
        <f t="shared" si="5"/>
        <v>2441382.2060382776</v>
      </c>
      <c r="R57" s="420">
        <f>2+2+4</f>
        <v>8</v>
      </c>
      <c r="S57" s="40">
        <f t="shared" si="2"/>
        <v>10164805.206038278</v>
      </c>
      <c r="T57" s="41">
        <f t="shared" si="3"/>
        <v>0.31610106115362036</v>
      </c>
      <c r="U57" s="41">
        <f t="shared" si="4"/>
        <v>0.31799697523146131</v>
      </c>
    </row>
    <row r="58" spans="1:21" s="16" customFormat="1" ht="13.5" customHeight="1" x14ac:dyDescent="0.25">
      <c r="A58" s="13" t="s">
        <v>61</v>
      </c>
      <c r="B58" s="14">
        <v>5</v>
      </c>
      <c r="C58" s="37">
        <v>3914945</v>
      </c>
      <c r="D58" s="182">
        <v>7101</v>
      </c>
      <c r="E58" s="38">
        <f t="shared" si="0"/>
        <v>3922046</v>
      </c>
      <c r="F58" s="39">
        <v>78517.459854692177</v>
      </c>
      <c r="G58" s="39"/>
      <c r="H58" s="39"/>
      <c r="I58" s="39"/>
      <c r="J58" s="39">
        <f>104439+52505</f>
        <v>156944</v>
      </c>
      <c r="K58" s="190">
        <v>77709</v>
      </c>
      <c r="L58" s="39"/>
      <c r="M58" s="39">
        <v>1241254</v>
      </c>
      <c r="N58" s="39"/>
      <c r="O58" s="39"/>
      <c r="P58" s="39"/>
      <c r="Q58" s="40">
        <f t="shared" si="5"/>
        <v>1554424.4598546922</v>
      </c>
      <c r="R58" s="420">
        <v>1</v>
      </c>
      <c r="S58" s="40">
        <f t="shared" si="2"/>
        <v>5476470.4598546922</v>
      </c>
      <c r="T58" s="41">
        <f t="shared" si="3"/>
        <v>0.39632999201301877</v>
      </c>
      <c r="U58" s="41">
        <f t="shared" si="4"/>
        <v>0.39886268130323477</v>
      </c>
    </row>
    <row r="59" spans="1:21" s="16" customFormat="1" ht="13.5" customHeight="1" x14ac:dyDescent="0.25">
      <c r="A59" s="13" t="s">
        <v>62</v>
      </c>
      <c r="B59" s="14">
        <v>6</v>
      </c>
      <c r="C59" s="37">
        <v>9443102</v>
      </c>
      <c r="D59" s="182">
        <v>18645</v>
      </c>
      <c r="E59" s="38">
        <f t="shared" si="0"/>
        <v>9461747</v>
      </c>
      <c r="F59" s="39">
        <v>133990.92085875812</v>
      </c>
      <c r="G59" s="190">
        <v>306630.24</v>
      </c>
      <c r="H59" s="39"/>
      <c r="I59" s="39">
        <v>163461</v>
      </c>
      <c r="J59" s="39">
        <v>406801</v>
      </c>
      <c r="K59" s="190">
        <v>254083</v>
      </c>
      <c r="L59" s="190">
        <v>214890</v>
      </c>
      <c r="M59" s="39"/>
      <c r="N59" s="39"/>
      <c r="O59" s="39"/>
      <c r="P59" s="39"/>
      <c r="Q59" s="40">
        <f t="shared" si="5"/>
        <v>1479856.1608587583</v>
      </c>
      <c r="R59" s="420">
        <f>2.33+2+3.92</f>
        <v>8.25</v>
      </c>
      <c r="S59" s="40">
        <f t="shared" si="2"/>
        <v>10941603.160858758</v>
      </c>
      <c r="T59" s="41">
        <f t="shared" si="3"/>
        <v>0.1564041144683701</v>
      </c>
      <c r="U59" s="41">
        <f t="shared" si="4"/>
        <v>0.15868738480837741</v>
      </c>
    </row>
    <row r="60" spans="1:21" s="16" customFormat="1" ht="13.5" customHeight="1" x14ac:dyDescent="0.25">
      <c r="A60" s="13" t="s">
        <v>63</v>
      </c>
      <c r="B60" s="14">
        <v>6</v>
      </c>
      <c r="C60" s="37">
        <v>10199230</v>
      </c>
      <c r="D60" s="182">
        <v>13421</v>
      </c>
      <c r="E60" s="38">
        <f t="shared" si="0"/>
        <v>10212651</v>
      </c>
      <c r="F60" s="39">
        <v>82463.212336548371</v>
      </c>
      <c r="G60" s="39"/>
      <c r="H60" s="39"/>
      <c r="I60" s="39">
        <v>131662</v>
      </c>
      <c r="J60" s="39">
        <v>565011</v>
      </c>
      <c r="K60" s="39"/>
      <c r="L60" s="39"/>
      <c r="M60" s="39"/>
      <c r="N60" s="39"/>
      <c r="O60" s="39"/>
      <c r="P60" s="39"/>
      <c r="Q60" s="40">
        <f t="shared" si="5"/>
        <v>779136.21233654837</v>
      </c>
      <c r="R60" s="420"/>
      <c r="S60" s="40">
        <f t="shared" si="2"/>
        <v>10991787.212336548</v>
      </c>
      <c r="T60" s="41">
        <f t="shared" si="3"/>
        <v>7.6291279545002366E-2</v>
      </c>
      <c r="U60" s="41">
        <f t="shared" si="4"/>
        <v>7.7707553642436533E-2</v>
      </c>
    </row>
    <row r="61" spans="1:21" s="16" customFormat="1" ht="13.5" customHeight="1" x14ac:dyDescent="0.25">
      <c r="A61" s="13" t="s">
        <v>64</v>
      </c>
      <c r="B61" s="14">
        <v>4</v>
      </c>
      <c r="C61" s="37">
        <v>2255831</v>
      </c>
      <c r="D61" s="182">
        <v>3065</v>
      </c>
      <c r="E61" s="38">
        <f t="shared" si="0"/>
        <v>2258896</v>
      </c>
      <c r="F61" s="39">
        <v>46358.617657084767</v>
      </c>
      <c r="G61" s="190">
        <v>367643.4</v>
      </c>
      <c r="H61" s="39"/>
      <c r="I61" s="39">
        <v>49939</v>
      </c>
      <c r="J61" s="39">
        <v>75125</v>
      </c>
      <c r="K61" s="39"/>
      <c r="L61" s="39"/>
      <c r="M61" s="39">
        <v>556100</v>
      </c>
      <c r="N61" s="39"/>
      <c r="O61" s="39"/>
      <c r="P61" s="39"/>
      <c r="Q61" s="40">
        <f t="shared" si="5"/>
        <v>1095166.0176570849</v>
      </c>
      <c r="R61" s="420">
        <v>4.7</v>
      </c>
      <c r="S61" s="40">
        <f t="shared" si="2"/>
        <v>3354062.0176570849</v>
      </c>
      <c r="T61" s="41">
        <f t="shared" si="3"/>
        <v>0.48482356764414325</v>
      </c>
      <c r="U61" s="41">
        <f t="shared" si="4"/>
        <v>0.48684099901858113</v>
      </c>
    </row>
    <row r="62" spans="1:21" s="16" customFormat="1" ht="13.5" customHeight="1" x14ac:dyDescent="0.25">
      <c r="A62" s="13" t="s">
        <v>65</v>
      </c>
      <c r="B62" s="14">
        <v>3</v>
      </c>
      <c r="C62" s="37">
        <v>1344959</v>
      </c>
      <c r="D62" s="182"/>
      <c r="E62" s="38">
        <f t="shared" si="0"/>
        <v>1344959</v>
      </c>
      <c r="F62" s="39">
        <v>13572.056998096479</v>
      </c>
      <c r="G62" s="39"/>
      <c r="H62" s="39"/>
      <c r="I62" s="39">
        <v>20280</v>
      </c>
      <c r="J62" s="39">
        <v>39408</v>
      </c>
      <c r="K62" s="39"/>
      <c r="L62" s="39"/>
      <c r="M62" s="39"/>
      <c r="N62" s="39"/>
      <c r="O62" s="39"/>
      <c r="P62" s="39"/>
      <c r="Q62" s="40">
        <f t="shared" si="5"/>
        <v>73260.056998096479</v>
      </c>
      <c r="R62" s="420"/>
      <c r="S62" s="40">
        <f t="shared" si="2"/>
        <v>1418219.0569980964</v>
      </c>
      <c r="T62" s="41">
        <f t="shared" si="3"/>
        <v>5.4470104291726607E-2</v>
      </c>
      <c r="U62" s="41">
        <f t="shared" si="4"/>
        <v>5.4470104291726607E-2</v>
      </c>
    </row>
    <row r="63" spans="1:21" s="16" customFormat="1" ht="13.5" customHeight="1" x14ac:dyDescent="0.25">
      <c r="A63" s="13" t="s">
        <v>66</v>
      </c>
      <c r="B63" s="14">
        <v>2</v>
      </c>
      <c r="C63" s="37">
        <v>648825</v>
      </c>
      <c r="D63" s="182"/>
      <c r="E63" s="38">
        <f t="shared" si="0"/>
        <v>648825</v>
      </c>
      <c r="F63" s="39">
        <v>3614.2138131291517</v>
      </c>
      <c r="G63" s="39"/>
      <c r="H63" s="39"/>
      <c r="I63" s="39"/>
      <c r="J63" s="39"/>
      <c r="K63" s="39"/>
      <c r="L63" s="190">
        <v>61879</v>
      </c>
      <c r="M63" s="190">
        <v>2004</v>
      </c>
      <c r="N63" s="39"/>
      <c r="O63" s="39"/>
      <c r="P63" s="39"/>
      <c r="Q63" s="40">
        <f t="shared" si="5"/>
        <v>67497.213813129143</v>
      </c>
      <c r="R63" s="420">
        <v>2</v>
      </c>
      <c r="S63" s="40">
        <f t="shared" si="2"/>
        <v>716322.21381312911</v>
      </c>
      <c r="T63" s="41">
        <f t="shared" si="3"/>
        <v>0.10402992149366797</v>
      </c>
      <c r="U63" s="41">
        <f t="shared" si="4"/>
        <v>0.10402992149366797</v>
      </c>
    </row>
    <row r="64" spans="1:21" s="16" customFormat="1" ht="13.5" customHeight="1" x14ac:dyDescent="0.25">
      <c r="A64" s="13" t="s">
        <v>67</v>
      </c>
      <c r="B64" s="14">
        <v>1</v>
      </c>
      <c r="C64" s="37">
        <v>544515</v>
      </c>
      <c r="D64" s="182"/>
      <c r="E64" s="38">
        <f t="shared" si="0"/>
        <v>544515</v>
      </c>
      <c r="F64" s="39">
        <v>3039.4930994582619</v>
      </c>
      <c r="G64" s="190">
        <v>24248.82</v>
      </c>
      <c r="H64" s="39"/>
      <c r="I64" s="39">
        <v>17009</v>
      </c>
      <c r="J64" s="39"/>
      <c r="K64" s="190">
        <v>65606</v>
      </c>
      <c r="L64" s="39"/>
      <c r="M64" s="39"/>
      <c r="N64" s="39"/>
      <c r="O64" s="39"/>
      <c r="P64" s="39"/>
      <c r="Q64" s="40">
        <f t="shared" si="5"/>
        <v>109903.31309945826</v>
      </c>
      <c r="R64" s="420">
        <f>1+0.31</f>
        <v>1.31</v>
      </c>
      <c r="S64" s="40">
        <f t="shared" si="2"/>
        <v>654418.31309945823</v>
      </c>
      <c r="T64" s="41">
        <f t="shared" si="3"/>
        <v>0.20183707170501863</v>
      </c>
      <c r="U64" s="41">
        <f t="shared" si="4"/>
        <v>0.20183707170501863</v>
      </c>
    </row>
    <row r="65" spans="1:21" s="16" customFormat="1" ht="13.5" customHeight="1" x14ac:dyDescent="0.25">
      <c r="A65" s="13" t="s">
        <v>68</v>
      </c>
      <c r="B65" s="14">
        <v>7</v>
      </c>
      <c r="C65" s="37">
        <v>13645907</v>
      </c>
      <c r="D65" s="182">
        <v>32011</v>
      </c>
      <c r="E65" s="38">
        <f t="shared" si="0"/>
        <v>13677918</v>
      </c>
      <c r="F65" s="39">
        <v>94138.465610642903</v>
      </c>
      <c r="G65" s="190">
        <v>343395</v>
      </c>
      <c r="H65" s="39"/>
      <c r="I65" s="39">
        <v>375947</v>
      </c>
      <c r="J65" s="39">
        <f>669939+1022481</f>
        <v>1692420</v>
      </c>
      <c r="K65" s="190">
        <v>367836</v>
      </c>
      <c r="L65" s="190">
        <v>367836</v>
      </c>
      <c r="M65" s="39"/>
      <c r="N65" s="39"/>
      <c r="O65" s="39"/>
      <c r="P65" s="39"/>
      <c r="Q65" s="40">
        <f t="shared" si="5"/>
        <v>3241572.4656106429</v>
      </c>
      <c r="R65" s="420">
        <f>4+4+4.39</f>
        <v>12.39</v>
      </c>
      <c r="S65" s="40">
        <f t="shared" si="2"/>
        <v>16919490.465610642</v>
      </c>
      <c r="T65" s="41">
        <f t="shared" si="3"/>
        <v>0.2369931202695208</v>
      </c>
      <c r="U65" s="41">
        <f t="shared" si="4"/>
        <v>0.2398948978335147</v>
      </c>
    </row>
    <row r="66" spans="1:21" s="16" customFormat="1" ht="13.5" customHeight="1" x14ac:dyDescent="0.25">
      <c r="A66" s="13" t="s">
        <v>69</v>
      </c>
      <c r="B66" s="14">
        <v>3</v>
      </c>
      <c r="C66" s="37">
        <v>804879</v>
      </c>
      <c r="D66" s="182"/>
      <c r="E66" s="38">
        <f t="shared" ref="E66:E68" si="6">C66+D66</f>
        <v>804879</v>
      </c>
      <c r="F66" s="39">
        <v>13891.825401031163</v>
      </c>
      <c r="G66" s="39"/>
      <c r="H66" s="39"/>
      <c r="I66" s="39">
        <v>4632</v>
      </c>
      <c r="J66" s="39">
        <f>22949+96043</f>
        <v>118992</v>
      </c>
      <c r="K66" s="39"/>
      <c r="L66" s="39"/>
      <c r="M66" s="39">
        <v>113333</v>
      </c>
      <c r="N66" s="39"/>
      <c r="O66" s="39"/>
      <c r="P66" s="39"/>
      <c r="Q66" s="40">
        <f t="shared" si="5"/>
        <v>250848.82540103118</v>
      </c>
      <c r="R66" s="420"/>
      <c r="S66" s="40">
        <f t="shared" ref="S66:S68" si="7">E66+Q66</f>
        <v>1055727.8254010312</v>
      </c>
      <c r="T66" s="41">
        <f t="shared" ref="T66:T68" si="8">S66/E66-1</f>
        <v>0.31166029353608571</v>
      </c>
      <c r="U66" s="41">
        <f t="shared" ref="U66:U68" si="9">S66/C66-1</f>
        <v>0.31166029353608571</v>
      </c>
    </row>
    <row r="67" spans="1:21" ht="13.5" customHeight="1" x14ac:dyDescent="0.25">
      <c r="A67" s="13" t="s">
        <v>70</v>
      </c>
      <c r="B67" s="14">
        <v>4</v>
      </c>
      <c r="C67" s="37">
        <v>2031728</v>
      </c>
      <c r="D67" s="182"/>
      <c r="E67" s="38">
        <f t="shared" si="6"/>
        <v>2031728</v>
      </c>
      <c r="F67" s="39">
        <v>21200.27400713395</v>
      </c>
      <c r="G67" s="39"/>
      <c r="H67" s="39"/>
      <c r="I67" s="39">
        <v>32888</v>
      </c>
      <c r="J67" s="39">
        <v>76408</v>
      </c>
      <c r="K67" s="39"/>
      <c r="L67" s="39"/>
      <c r="M67" s="39">
        <v>36828</v>
      </c>
      <c r="N67" s="39"/>
      <c r="O67" s="39"/>
      <c r="P67" s="39"/>
      <c r="Q67" s="40">
        <f t="shared" si="5"/>
        <v>167324.27400713396</v>
      </c>
      <c r="R67" s="420"/>
      <c r="S67" s="40">
        <f t="shared" si="7"/>
        <v>2199052.2740071341</v>
      </c>
      <c r="T67" s="41">
        <f t="shared" si="8"/>
        <v>8.2355647019253686E-2</v>
      </c>
      <c r="U67" s="41">
        <f t="shared" si="9"/>
        <v>8.2355647019253686E-2</v>
      </c>
    </row>
    <row r="68" spans="1:21" ht="13.5" customHeight="1" thickBot="1" x14ac:dyDescent="0.3">
      <c r="A68" s="22" t="s">
        <v>71</v>
      </c>
      <c r="B68" s="23">
        <v>2</v>
      </c>
      <c r="C68" s="45">
        <v>899753</v>
      </c>
      <c r="D68" s="184"/>
      <c r="E68" s="46">
        <f t="shared" si="6"/>
        <v>899753</v>
      </c>
      <c r="F68" s="47">
        <v>14901.63728010281</v>
      </c>
      <c r="G68" s="47"/>
      <c r="H68" s="47"/>
      <c r="I68" s="217">
        <v>30576</v>
      </c>
      <c r="J68" s="47">
        <v>22394</v>
      </c>
      <c r="K68" s="47"/>
      <c r="L68" s="47"/>
      <c r="M68" s="47"/>
      <c r="N68" s="47"/>
      <c r="O68" s="47"/>
      <c r="P68" s="47"/>
      <c r="Q68" s="48">
        <f t="shared" si="5"/>
        <v>67871.637280102819</v>
      </c>
      <c r="R68" s="422"/>
      <c r="S68" s="48">
        <f t="shared" si="7"/>
        <v>967624.63728010282</v>
      </c>
      <c r="T68" s="325">
        <f t="shared" si="8"/>
        <v>7.5433632652631033E-2</v>
      </c>
      <c r="U68" s="325">
        <f t="shared" si="9"/>
        <v>7.5433632652631033E-2</v>
      </c>
    </row>
    <row r="69" spans="1:21" ht="11.25" customHeight="1" thickBot="1" x14ac:dyDescent="0.3">
      <c r="A69" s="25"/>
      <c r="B69" s="26"/>
      <c r="C69" s="49"/>
      <c r="D69" s="49"/>
      <c r="E69" s="49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1"/>
      <c r="R69" s="52"/>
      <c r="S69" s="51"/>
      <c r="T69" s="53"/>
      <c r="U69" s="53"/>
    </row>
    <row r="70" spans="1:21" s="16" customFormat="1" ht="14.25" thickBot="1" x14ac:dyDescent="0.3">
      <c r="A70" s="481" t="s">
        <v>72</v>
      </c>
      <c r="B70" s="481"/>
      <c r="C70" s="54">
        <f>SUM(C2:C68)</f>
        <v>518781741</v>
      </c>
      <c r="D70" s="54">
        <f t="shared" ref="D70:L70" si="10">SUM(D2:D68)</f>
        <v>1018936</v>
      </c>
      <c r="E70" s="322">
        <f t="shared" si="10"/>
        <v>519800677</v>
      </c>
      <c r="F70" s="56">
        <f>SUM(F2:F68)</f>
        <v>4819349.3886999991</v>
      </c>
      <c r="G70" s="56">
        <f t="shared" si="10"/>
        <v>12179950.832607789</v>
      </c>
      <c r="H70" s="56">
        <f t="shared" si="10"/>
        <v>2161620</v>
      </c>
      <c r="I70" s="56">
        <f t="shared" si="10"/>
        <v>10016324</v>
      </c>
      <c r="J70" s="56">
        <f t="shared" si="10"/>
        <v>35631099.636063002</v>
      </c>
      <c r="K70" s="56">
        <f t="shared" si="10"/>
        <v>10449114</v>
      </c>
      <c r="L70" s="56">
        <f t="shared" si="10"/>
        <v>1508663</v>
      </c>
      <c r="M70" s="56">
        <f>(SUM(M2:M68)+10015699.08)</f>
        <v>6493598</v>
      </c>
      <c r="N70" s="56">
        <f t="shared" ref="N70:S70" si="11">SUM(N2:N68)</f>
        <v>3896497</v>
      </c>
      <c r="O70" s="56">
        <f t="shared" si="11"/>
        <v>1169106</v>
      </c>
      <c r="P70" s="56">
        <f t="shared" si="11"/>
        <v>0</v>
      </c>
      <c r="Q70" s="56">
        <f>SUM(Q2:Q68)</f>
        <v>88325321.857370809</v>
      </c>
      <c r="R70" s="57">
        <f t="shared" si="11"/>
        <v>306.58</v>
      </c>
      <c r="S70" s="58">
        <f t="shared" si="11"/>
        <v>608125998.85737085</v>
      </c>
      <c r="T70" s="59">
        <f>S70/E70-1</f>
        <v>0.16992152139380701</v>
      </c>
      <c r="U70" s="59">
        <f>S70/C70-1</f>
        <v>0.17221935699809232</v>
      </c>
    </row>
    <row r="71" spans="1:21" ht="7.5" customHeight="1" thickBot="1" x14ac:dyDescent="0.3"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</row>
    <row r="72" spans="1:21" ht="14.25" customHeight="1" thickBot="1" x14ac:dyDescent="0.3">
      <c r="E72" s="63"/>
      <c r="F72" s="352"/>
      <c r="I72" s="64"/>
      <c r="J72" s="65" t="s">
        <v>88</v>
      </c>
      <c r="K72" s="82">
        <f>G70+K70+L2+L6+M6+L16+M16+M25+L31+M32+L44+L49+L57+L62+L64</f>
        <v>23063500.832607791</v>
      </c>
      <c r="L72" s="64"/>
      <c r="M72" s="64"/>
      <c r="N72" s="64"/>
      <c r="O72" s="64"/>
      <c r="P72" s="65" t="s">
        <v>208</v>
      </c>
      <c r="Q72" s="66">
        <f>Q70+D70</f>
        <v>89344257.857370809</v>
      </c>
      <c r="R72" s="67"/>
      <c r="S72" s="68"/>
      <c r="U72" s="94" t="s">
        <v>264</v>
      </c>
    </row>
    <row r="73" spans="1:21" ht="7.5" customHeight="1" x14ac:dyDescent="0.25">
      <c r="E73" s="60"/>
      <c r="F73" s="352"/>
      <c r="G73" s="60"/>
      <c r="H73" s="60"/>
      <c r="I73" s="60"/>
      <c r="J73" s="60"/>
      <c r="K73" s="60"/>
      <c r="L73" s="60"/>
      <c r="M73" s="60"/>
      <c r="N73" s="60"/>
      <c r="O73" s="60"/>
      <c r="P73" s="60"/>
    </row>
    <row r="74" spans="1:21" x14ac:dyDescent="0.25">
      <c r="F74" s="352"/>
      <c r="G74" s="321">
        <v>26</v>
      </c>
      <c r="H74" s="321">
        <v>7</v>
      </c>
      <c r="I74" s="321">
        <v>53</v>
      </c>
      <c r="J74" s="321">
        <v>59</v>
      </c>
      <c r="K74" s="321">
        <v>22</v>
      </c>
      <c r="L74" s="321">
        <v>9</v>
      </c>
      <c r="M74" s="321">
        <v>17</v>
      </c>
      <c r="N74" s="321">
        <v>7</v>
      </c>
      <c r="O74" s="321">
        <v>9</v>
      </c>
      <c r="Q74" s="321">
        <v>67</v>
      </c>
      <c r="R74" s="321">
        <v>41</v>
      </c>
      <c r="T74" s="70"/>
      <c r="U74" s="70"/>
    </row>
    <row r="75" spans="1:21" x14ac:dyDescent="0.25">
      <c r="F75" s="352"/>
      <c r="T75" s="70"/>
      <c r="U75" s="70"/>
    </row>
    <row r="76" spans="1:21" ht="15.75" thickBot="1" x14ac:dyDescent="0.3">
      <c r="F76" s="352"/>
      <c r="K76" s="71"/>
      <c r="M76" s="72"/>
      <c r="P76" s="30"/>
      <c r="Q76" s="21"/>
      <c r="R76" s="74" t="s">
        <v>89</v>
      </c>
      <c r="S76" s="220">
        <f>11700000</f>
        <v>11700000</v>
      </c>
      <c r="T76" s="73"/>
      <c r="U76" s="73"/>
    </row>
    <row r="77" spans="1:21" ht="14.25" thickBot="1" x14ac:dyDescent="0.3">
      <c r="F77" s="352"/>
      <c r="K77" s="60"/>
      <c r="O77" s="76"/>
      <c r="P77" s="77"/>
      <c r="Q77" s="77"/>
      <c r="R77" s="78" t="s">
        <v>249</v>
      </c>
      <c r="S77" s="79">
        <f>S70+S76</f>
        <v>619825998.85737085</v>
      </c>
    </row>
    <row r="78" spans="1:21" x14ac:dyDescent="0.25">
      <c r="I78" s="75"/>
    </row>
    <row r="80" spans="1:21" s="62" customForma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61"/>
      <c r="R80" s="61"/>
      <c r="S80" s="80"/>
    </row>
  </sheetData>
  <autoFilter ref="A1:U1" xr:uid="{9E11FCF2-DD73-4F32-9271-ACFE81C4F4E8}">
    <sortState xmlns:xlrd2="http://schemas.microsoft.com/office/spreadsheetml/2017/richdata2" ref="A2:U68">
      <sortCondition ref="A1"/>
    </sortState>
  </autoFilter>
  <mergeCells count="1">
    <mergeCell ref="A70:B70"/>
  </mergeCells>
  <conditionalFormatting sqref="T2:U68 Q70:R70">
    <cfRule type="cellIs" dxfId="0" priority="1" operator="lessThan">
      <formula>0</formula>
    </cfRule>
  </conditionalFormatting>
  <printOptions horizontalCentered="1"/>
  <pageMargins left="0.2" right="0.2" top="0.16" bottom="0.16" header="0.25" footer="0.25"/>
  <pageSetup paperSize="5" scale="57" fitToHeight="0" pageOrder="overThenDown" orientation="landscape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D0FE7-68A8-45DB-8E22-DC35BDDF6BC0}">
  <sheetPr>
    <pageSetUpPr fitToPage="1"/>
  </sheetPr>
  <dimension ref="A1:AAE77"/>
  <sheetViews>
    <sheetView zoomScaleNormal="100" zoomScaleSheetLayoutView="100" workbookViewId="0">
      <pane ySplit="4" topLeftCell="A53" activePane="bottomLeft" state="frozen"/>
      <selection pane="bottomLeft" activeCell="I64" sqref="I64"/>
    </sheetView>
  </sheetViews>
  <sheetFormatPr defaultColWidth="9.140625" defaultRowHeight="16.5" x14ac:dyDescent="0.3"/>
  <cols>
    <col min="1" max="1" width="15.28515625" style="191" customWidth="1"/>
    <col min="2" max="2" width="21.140625" style="191" customWidth="1"/>
    <col min="3" max="3" width="20" style="191" customWidth="1"/>
    <col min="4" max="4" width="19.5703125" style="191" customWidth="1"/>
    <col min="5" max="5" width="19.85546875" style="191" customWidth="1"/>
    <col min="6" max="6" width="4.28515625" style="191" customWidth="1"/>
    <col min="7" max="7" width="21.7109375" style="191" customWidth="1"/>
    <col min="8" max="8" width="4.28515625" style="191" customWidth="1"/>
    <col min="9" max="9" width="21.28515625" style="191" customWidth="1"/>
    <col min="10" max="10" width="20.7109375" style="191" customWidth="1"/>
    <col min="11" max="14" width="9.140625" style="191"/>
    <col min="15" max="15" width="18.5703125" style="191" hidden="1" customWidth="1"/>
    <col min="16" max="16384" width="9.140625" style="191"/>
  </cols>
  <sheetData>
    <row r="1" spans="1:707" x14ac:dyDescent="0.3">
      <c r="A1" s="483" t="s">
        <v>201</v>
      </c>
      <c r="B1" s="483"/>
      <c r="C1" s="483"/>
      <c r="D1" s="483"/>
      <c r="E1" s="483"/>
      <c r="F1" s="483"/>
      <c r="G1" s="483"/>
      <c r="I1" s="483" t="s">
        <v>217</v>
      </c>
      <c r="J1" s="483"/>
    </row>
    <row r="2" spans="1:707" ht="9" customHeight="1" thickBot="1" x14ac:dyDescent="0.35"/>
    <row r="3" spans="1:707" ht="16.5" customHeight="1" x14ac:dyDescent="0.3">
      <c r="A3" s="484" t="s">
        <v>2</v>
      </c>
      <c r="B3" s="486" t="s">
        <v>211</v>
      </c>
      <c r="C3" s="486" t="s">
        <v>212</v>
      </c>
      <c r="D3" s="486" t="s">
        <v>213</v>
      </c>
      <c r="E3" s="488" t="s">
        <v>214</v>
      </c>
      <c r="G3" s="490" t="s">
        <v>215</v>
      </c>
      <c r="I3" s="492" t="s">
        <v>245</v>
      </c>
      <c r="J3" s="492" t="s">
        <v>216</v>
      </c>
    </row>
    <row r="4" spans="1:707" ht="32.25" customHeight="1" thickBot="1" x14ac:dyDescent="0.35">
      <c r="A4" s="485"/>
      <c r="B4" s="487"/>
      <c r="C4" s="487"/>
      <c r="D4" s="487"/>
      <c r="E4" s="489"/>
      <c r="G4" s="491"/>
      <c r="I4" s="493"/>
      <c r="J4" s="493"/>
      <c r="O4" s="192" t="s">
        <v>202</v>
      </c>
    </row>
    <row r="5" spans="1:707" x14ac:dyDescent="0.3">
      <c r="A5" s="193" t="s">
        <v>5</v>
      </c>
      <c r="B5" s="216">
        <v>60453.71</v>
      </c>
      <c r="C5" s="216">
        <v>58533.43</v>
      </c>
      <c r="D5" s="216">
        <v>67562.94</v>
      </c>
      <c r="E5" s="349">
        <v>75196.27</v>
      </c>
      <c r="G5" s="194">
        <f>SUM(B5:E5)</f>
        <v>261746.35000000003</v>
      </c>
      <c r="I5" s="195">
        <f>G5*1.03</f>
        <v>269598.74050000001</v>
      </c>
      <c r="J5" s="196">
        <f>I5/$I$73*$J$73</f>
        <v>78652.645128490287</v>
      </c>
      <c r="O5" s="192" t="s">
        <v>203</v>
      </c>
    </row>
    <row r="6" spans="1:707" x14ac:dyDescent="0.3">
      <c r="A6" s="193" t="s">
        <v>6</v>
      </c>
      <c r="B6" s="215">
        <v>0</v>
      </c>
      <c r="C6" s="215">
        <v>0</v>
      </c>
      <c r="D6" s="215">
        <v>0</v>
      </c>
      <c r="E6" s="350">
        <v>39507.120000000003</v>
      </c>
      <c r="G6" s="197">
        <f t="shared" ref="G6:G69" si="0">SUM(B6:E6)</f>
        <v>39507.120000000003</v>
      </c>
      <c r="I6" s="198">
        <f t="shared" ref="I6:I69" si="1">G6*1.03</f>
        <v>40692.333600000005</v>
      </c>
      <c r="J6" s="199">
        <f t="shared" ref="J6:J69" si="2">I6/$I$73*$J$73</f>
        <v>11871.567605082864</v>
      </c>
      <c r="O6" s="192" t="s">
        <v>204</v>
      </c>
    </row>
    <row r="7" spans="1:707" x14ac:dyDescent="0.3">
      <c r="A7" s="193" t="s">
        <v>7</v>
      </c>
      <c r="B7" s="215">
        <v>57569.95</v>
      </c>
      <c r="C7" s="215">
        <v>52567.31</v>
      </c>
      <c r="D7" s="215">
        <v>44779.47</v>
      </c>
      <c r="E7" s="350">
        <v>43614.9</v>
      </c>
      <c r="G7" s="197">
        <f t="shared" si="0"/>
        <v>198531.62999999998</v>
      </c>
      <c r="I7" s="198">
        <f t="shared" si="1"/>
        <v>204487.57889999999</v>
      </c>
      <c r="J7" s="199">
        <f t="shared" si="2"/>
        <v>59657.136923478531</v>
      </c>
    </row>
    <row r="8" spans="1:707" x14ac:dyDescent="0.3">
      <c r="A8" s="193" t="s">
        <v>8</v>
      </c>
      <c r="B8" s="215">
        <v>7228.49</v>
      </c>
      <c r="C8" s="215">
        <v>7720.7300000000005</v>
      </c>
      <c r="D8" s="215">
        <v>7779.89</v>
      </c>
      <c r="E8" s="350">
        <v>10312.65</v>
      </c>
      <c r="G8" s="197">
        <f t="shared" si="0"/>
        <v>33041.760000000002</v>
      </c>
      <c r="I8" s="198">
        <f t="shared" si="1"/>
        <v>34033.012800000004</v>
      </c>
      <c r="J8" s="199">
        <f t="shared" si="2"/>
        <v>9928.7796131665073</v>
      </c>
    </row>
    <row r="9" spans="1:707" x14ac:dyDescent="0.3">
      <c r="A9" s="193" t="s">
        <v>9</v>
      </c>
      <c r="B9" s="215">
        <v>135900.75</v>
      </c>
      <c r="C9" s="215">
        <v>102505.36</v>
      </c>
      <c r="D9" s="215">
        <v>125487.94</v>
      </c>
      <c r="E9" s="350">
        <v>122095.49</v>
      </c>
      <c r="G9" s="197">
        <f t="shared" si="0"/>
        <v>485989.54</v>
      </c>
      <c r="I9" s="198">
        <f t="shared" si="1"/>
        <v>500569.22619999998</v>
      </c>
      <c r="J9" s="199">
        <f t="shared" si="2"/>
        <v>146035.89630104959</v>
      </c>
    </row>
    <row r="10" spans="1:707" x14ac:dyDescent="0.3">
      <c r="A10" s="193" t="s">
        <v>10</v>
      </c>
      <c r="B10" s="215">
        <v>300591.62</v>
      </c>
      <c r="C10" s="215">
        <v>220340.26</v>
      </c>
      <c r="D10" s="215">
        <v>265995.71000000002</v>
      </c>
      <c r="E10" s="350">
        <v>271113.81</v>
      </c>
      <c r="G10" s="197">
        <f t="shared" si="0"/>
        <v>1058041.4000000001</v>
      </c>
      <c r="I10" s="198">
        <f t="shared" si="1"/>
        <v>1089782.6420000002</v>
      </c>
      <c r="J10" s="199">
        <f t="shared" si="2"/>
        <v>317932.81841542799</v>
      </c>
    </row>
    <row r="11" spans="1:707" x14ac:dyDescent="0.3">
      <c r="A11" s="193" t="s">
        <v>11</v>
      </c>
      <c r="B11" s="215">
        <v>2580.02</v>
      </c>
      <c r="C11" s="215">
        <v>0</v>
      </c>
      <c r="D11" s="215">
        <v>1149.71</v>
      </c>
      <c r="E11" s="350">
        <v>5100.01</v>
      </c>
      <c r="G11" s="197">
        <f t="shared" si="0"/>
        <v>8829.74</v>
      </c>
      <c r="I11" s="198">
        <f t="shared" si="1"/>
        <v>9094.6322</v>
      </c>
      <c r="J11" s="199">
        <f t="shared" si="2"/>
        <v>2653.2649139017058</v>
      </c>
    </row>
    <row r="12" spans="1:707" x14ac:dyDescent="0.3">
      <c r="A12" s="193" t="s">
        <v>12</v>
      </c>
      <c r="B12" s="215">
        <v>41973.39</v>
      </c>
      <c r="C12" s="215">
        <v>32589.11</v>
      </c>
      <c r="D12" s="215">
        <v>44007.590000000004</v>
      </c>
      <c r="E12" s="350">
        <v>52501.7</v>
      </c>
      <c r="G12" s="197">
        <f t="shared" si="0"/>
        <v>171071.78999999998</v>
      </c>
      <c r="I12" s="198">
        <f t="shared" si="1"/>
        <v>176203.94369999997</v>
      </c>
      <c r="J12" s="199">
        <f t="shared" si="2"/>
        <v>51405.678781635776</v>
      </c>
    </row>
    <row r="13" spans="1:707" x14ac:dyDescent="0.3">
      <c r="A13" s="193" t="s">
        <v>13</v>
      </c>
      <c r="B13" s="215">
        <v>29228.55</v>
      </c>
      <c r="C13" s="215">
        <v>22180.86</v>
      </c>
      <c r="D13" s="215">
        <v>30725.66</v>
      </c>
      <c r="E13" s="350">
        <v>27558.870000000003</v>
      </c>
      <c r="G13" s="197">
        <f t="shared" si="0"/>
        <v>109693.94</v>
      </c>
      <c r="I13" s="198">
        <f t="shared" si="1"/>
        <v>112984.75820000001</v>
      </c>
      <c r="J13" s="199">
        <f t="shared" si="2"/>
        <v>32962.135042440539</v>
      </c>
    </row>
    <row r="14" spans="1:707" x14ac:dyDescent="0.3">
      <c r="A14" s="193" t="s">
        <v>14</v>
      </c>
      <c r="B14" s="215">
        <v>29455.739999999998</v>
      </c>
      <c r="C14" s="215">
        <v>21497.86</v>
      </c>
      <c r="D14" s="215">
        <v>21234.27</v>
      </c>
      <c r="E14" s="350">
        <v>18425.68</v>
      </c>
      <c r="G14" s="197">
        <f t="shared" si="0"/>
        <v>90613.549999999988</v>
      </c>
      <c r="I14" s="198">
        <f t="shared" si="1"/>
        <v>93331.956499999986</v>
      </c>
      <c r="J14" s="199">
        <f t="shared" si="2"/>
        <v>27228.63333904259</v>
      </c>
    </row>
    <row r="15" spans="1:707" x14ac:dyDescent="0.3">
      <c r="A15" s="193" t="s">
        <v>15</v>
      </c>
      <c r="B15" s="215">
        <v>58010.709999999992</v>
      </c>
      <c r="C15" s="215">
        <v>58053.14</v>
      </c>
      <c r="D15" s="215">
        <v>58812.39</v>
      </c>
      <c r="E15" s="350">
        <v>60917.2</v>
      </c>
      <c r="G15" s="197">
        <f t="shared" si="0"/>
        <v>235793.44</v>
      </c>
      <c r="I15" s="198">
        <f t="shared" si="1"/>
        <v>242867.2432</v>
      </c>
      <c r="J15" s="199">
        <f t="shared" si="2"/>
        <v>70854.007171240271</v>
      </c>
    </row>
    <row r="16" spans="1:707" x14ac:dyDescent="0.3">
      <c r="A16" s="193" t="s">
        <v>16</v>
      </c>
      <c r="B16" s="215">
        <v>0</v>
      </c>
      <c r="C16" s="215">
        <v>0</v>
      </c>
      <c r="D16" s="215">
        <v>0</v>
      </c>
      <c r="E16" s="350">
        <v>0</v>
      </c>
      <c r="G16" s="197">
        <f t="shared" si="0"/>
        <v>0</v>
      </c>
      <c r="I16" s="198">
        <f t="shared" si="1"/>
        <v>0</v>
      </c>
      <c r="J16" s="199">
        <f t="shared" si="2"/>
        <v>0</v>
      </c>
      <c r="AAE16" s="200">
        <v>1</v>
      </c>
    </row>
    <row r="17" spans="1:10" x14ac:dyDescent="0.3">
      <c r="A17" s="193" t="s">
        <v>17</v>
      </c>
      <c r="B17" s="215">
        <v>17762.93</v>
      </c>
      <c r="C17" s="215">
        <v>16084.73</v>
      </c>
      <c r="D17" s="215">
        <v>13720.2</v>
      </c>
      <c r="E17" s="350">
        <v>12847.98</v>
      </c>
      <c r="G17" s="197">
        <f t="shared" si="0"/>
        <v>60415.839999999997</v>
      </c>
      <c r="I17" s="198">
        <f t="shared" si="1"/>
        <v>62228.315199999997</v>
      </c>
      <c r="J17" s="199">
        <f t="shared" si="2"/>
        <v>18154.467573892238</v>
      </c>
    </row>
    <row r="18" spans="1:10" x14ac:dyDescent="0.3">
      <c r="A18" s="193" t="s">
        <v>18</v>
      </c>
      <c r="B18" s="215">
        <v>11964</v>
      </c>
      <c r="C18" s="215">
        <v>8805.02</v>
      </c>
      <c r="D18" s="215">
        <v>5638.52</v>
      </c>
      <c r="E18" s="350">
        <v>9070.4399999999987</v>
      </c>
      <c r="G18" s="197">
        <f t="shared" si="0"/>
        <v>35477.979999999996</v>
      </c>
      <c r="I18" s="198">
        <f t="shared" si="1"/>
        <v>36542.3194</v>
      </c>
      <c r="J18" s="199">
        <f t="shared" si="2"/>
        <v>10660.843869706972</v>
      </c>
    </row>
    <row r="19" spans="1:10" x14ac:dyDescent="0.3">
      <c r="A19" s="193" t="s">
        <v>19</v>
      </c>
      <c r="B19" s="215">
        <v>171390.83000000002</v>
      </c>
      <c r="C19" s="215">
        <v>158356.28</v>
      </c>
      <c r="D19" s="215">
        <v>183103.77</v>
      </c>
      <c r="E19" s="350">
        <v>164768.06</v>
      </c>
      <c r="G19" s="197">
        <f t="shared" si="0"/>
        <v>677618.94</v>
      </c>
      <c r="I19" s="198">
        <f t="shared" si="1"/>
        <v>697947.50819999992</v>
      </c>
      <c r="J19" s="199">
        <f t="shared" si="2"/>
        <v>203618.96935779141</v>
      </c>
    </row>
    <row r="20" spans="1:10" x14ac:dyDescent="0.3">
      <c r="A20" s="193" t="s">
        <v>20</v>
      </c>
      <c r="B20" s="215">
        <v>81450.47</v>
      </c>
      <c r="C20" s="215">
        <v>78131.26999999999</v>
      </c>
      <c r="D20" s="215">
        <v>70161.02</v>
      </c>
      <c r="E20" s="350">
        <v>73838.62</v>
      </c>
      <c r="G20" s="197">
        <f t="shared" si="0"/>
        <v>303581.38</v>
      </c>
      <c r="I20" s="198">
        <f t="shared" si="1"/>
        <v>312688.82140000002</v>
      </c>
      <c r="J20" s="199">
        <f t="shared" si="2"/>
        <v>91223.730717763043</v>
      </c>
    </row>
    <row r="21" spans="1:10" x14ac:dyDescent="0.3">
      <c r="A21" s="193" t="s">
        <v>21</v>
      </c>
      <c r="B21" s="215">
        <v>25514.560000000001</v>
      </c>
      <c r="C21" s="215">
        <v>25130.97</v>
      </c>
      <c r="D21" s="215">
        <v>29721.32</v>
      </c>
      <c r="E21" s="350">
        <v>24685.96</v>
      </c>
      <c r="G21" s="197">
        <f t="shared" si="0"/>
        <v>105052.81</v>
      </c>
      <c r="I21" s="198">
        <f t="shared" si="1"/>
        <v>108204.3943</v>
      </c>
      <c r="J21" s="199">
        <f t="shared" si="2"/>
        <v>31567.513299347691</v>
      </c>
    </row>
    <row r="22" spans="1:10" x14ac:dyDescent="0.3">
      <c r="A22" s="193" t="s">
        <v>22</v>
      </c>
      <c r="B22" s="215">
        <v>4326.32</v>
      </c>
      <c r="C22" s="215">
        <v>3326.14</v>
      </c>
      <c r="D22" s="215">
        <v>2935.57</v>
      </c>
      <c r="E22" s="350">
        <v>6856.59</v>
      </c>
      <c r="G22" s="197">
        <f t="shared" si="0"/>
        <v>17444.62</v>
      </c>
      <c r="I22" s="198">
        <f t="shared" si="1"/>
        <v>17967.958599999998</v>
      </c>
      <c r="J22" s="199">
        <f t="shared" si="2"/>
        <v>5241.9661487595304</v>
      </c>
    </row>
    <row r="23" spans="1:10" x14ac:dyDescent="0.3">
      <c r="A23" s="193" t="s">
        <v>23</v>
      </c>
      <c r="B23" s="215">
        <v>18961.39</v>
      </c>
      <c r="C23" s="215">
        <v>12885.31</v>
      </c>
      <c r="D23" s="215">
        <v>13048.93</v>
      </c>
      <c r="E23" s="350">
        <v>16957.62</v>
      </c>
      <c r="G23" s="197">
        <f t="shared" si="0"/>
        <v>61853.25</v>
      </c>
      <c r="I23" s="198">
        <f t="shared" si="1"/>
        <v>63708.847500000003</v>
      </c>
      <c r="J23" s="199">
        <f t="shared" si="2"/>
        <v>18586.397565023512</v>
      </c>
    </row>
    <row r="24" spans="1:10" x14ac:dyDescent="0.3">
      <c r="A24" s="193" t="s">
        <v>24</v>
      </c>
      <c r="B24" s="215">
        <v>2482.71</v>
      </c>
      <c r="C24" s="215">
        <v>700.85</v>
      </c>
      <c r="D24" s="215">
        <v>2006.67</v>
      </c>
      <c r="E24" s="350">
        <v>1910.82</v>
      </c>
      <c r="G24" s="197">
        <f t="shared" si="0"/>
        <v>7101.0499999999993</v>
      </c>
      <c r="I24" s="198">
        <f t="shared" si="1"/>
        <v>7314.0814999999993</v>
      </c>
      <c r="J24" s="199">
        <f t="shared" si="2"/>
        <v>2133.8076564951753</v>
      </c>
    </row>
    <row r="25" spans="1:10" x14ac:dyDescent="0.3">
      <c r="A25" s="193" t="s">
        <v>25</v>
      </c>
      <c r="B25" s="215">
        <v>9898.27</v>
      </c>
      <c r="C25" s="215">
        <v>12776.95</v>
      </c>
      <c r="D25" s="215">
        <v>8254.73</v>
      </c>
      <c r="E25" s="350">
        <v>7104.11</v>
      </c>
      <c r="G25" s="197">
        <f t="shared" si="0"/>
        <v>38034.06</v>
      </c>
      <c r="I25" s="198">
        <f t="shared" si="1"/>
        <v>39175.0818</v>
      </c>
      <c r="J25" s="199">
        <f t="shared" si="2"/>
        <v>11428.925079473724</v>
      </c>
    </row>
    <row r="26" spans="1:10" x14ac:dyDescent="0.3">
      <c r="A26" s="193" t="s">
        <v>26</v>
      </c>
      <c r="B26" s="215">
        <v>12713.52</v>
      </c>
      <c r="C26" s="215">
        <v>6540.19</v>
      </c>
      <c r="D26" s="215">
        <v>7011.54</v>
      </c>
      <c r="E26" s="350">
        <v>7299.93</v>
      </c>
      <c r="G26" s="197">
        <f t="shared" si="0"/>
        <v>33565.18</v>
      </c>
      <c r="I26" s="198">
        <f t="shared" si="1"/>
        <v>34572.135399999999</v>
      </c>
      <c r="J26" s="199">
        <f t="shared" si="2"/>
        <v>10086.063057665941</v>
      </c>
    </row>
    <row r="27" spans="1:10" x14ac:dyDescent="0.3">
      <c r="A27" s="193" t="s">
        <v>27</v>
      </c>
      <c r="B27" s="215">
        <v>2683.94</v>
      </c>
      <c r="C27" s="215">
        <v>3172.15</v>
      </c>
      <c r="D27" s="215">
        <v>1657.39</v>
      </c>
      <c r="E27" s="350">
        <v>1987.2</v>
      </c>
      <c r="G27" s="197">
        <f t="shared" si="0"/>
        <v>9500.68</v>
      </c>
      <c r="I27" s="198">
        <f t="shared" si="1"/>
        <v>9785.7003999999997</v>
      </c>
      <c r="J27" s="199">
        <f t="shared" si="2"/>
        <v>2854.8769162181061</v>
      </c>
    </row>
    <row r="28" spans="1:10" x14ac:dyDescent="0.3">
      <c r="A28" s="193" t="s">
        <v>28</v>
      </c>
      <c r="B28" s="215">
        <v>14212.439999999999</v>
      </c>
      <c r="C28" s="215">
        <v>8519.56</v>
      </c>
      <c r="D28" s="215">
        <v>9238.48</v>
      </c>
      <c r="E28" s="350">
        <v>10462.299999999999</v>
      </c>
      <c r="G28" s="197">
        <f t="shared" si="0"/>
        <v>42432.78</v>
      </c>
      <c r="I28" s="198">
        <f t="shared" si="1"/>
        <v>43705.763400000003</v>
      </c>
      <c r="J28" s="199">
        <f t="shared" si="2"/>
        <v>12750.704593035585</v>
      </c>
    </row>
    <row r="29" spans="1:10" x14ac:dyDescent="0.3">
      <c r="A29" s="193" t="s">
        <v>29</v>
      </c>
      <c r="B29" s="215">
        <v>17335.75</v>
      </c>
      <c r="C29" s="215">
        <v>11156.53</v>
      </c>
      <c r="D29" s="215">
        <v>11740.42</v>
      </c>
      <c r="E29" s="350">
        <v>13815.91</v>
      </c>
      <c r="G29" s="197">
        <f t="shared" si="0"/>
        <v>54048.61</v>
      </c>
      <c r="I29" s="198">
        <f t="shared" si="1"/>
        <v>55670.068299999999</v>
      </c>
      <c r="J29" s="199">
        <f t="shared" si="2"/>
        <v>16241.166847286204</v>
      </c>
    </row>
    <row r="30" spans="1:10" x14ac:dyDescent="0.3">
      <c r="A30" s="193" t="s">
        <v>30</v>
      </c>
      <c r="B30" s="215">
        <v>40512.47</v>
      </c>
      <c r="C30" s="215">
        <v>31305.420000000002</v>
      </c>
      <c r="D30" s="215">
        <v>49459.209999999992</v>
      </c>
      <c r="E30" s="350">
        <v>44021.61</v>
      </c>
      <c r="G30" s="197">
        <f t="shared" si="0"/>
        <v>165298.71</v>
      </c>
      <c r="I30" s="198">
        <f t="shared" si="1"/>
        <v>170257.67129999999</v>
      </c>
      <c r="J30" s="199">
        <f t="shared" si="2"/>
        <v>49670.915288130003</v>
      </c>
    </row>
    <row r="31" spans="1:10" x14ac:dyDescent="0.3">
      <c r="A31" s="193" t="s">
        <v>31</v>
      </c>
      <c r="B31" s="215">
        <v>34526.369999999995</v>
      </c>
      <c r="C31" s="215">
        <v>25501.87</v>
      </c>
      <c r="D31" s="215">
        <v>18632.100000000002</v>
      </c>
      <c r="E31" s="350">
        <v>21769.420000000002</v>
      </c>
      <c r="G31" s="197">
        <f t="shared" si="0"/>
        <v>100429.75999999999</v>
      </c>
      <c r="I31" s="198">
        <f t="shared" si="1"/>
        <v>103442.6528</v>
      </c>
      <c r="J31" s="199">
        <f t="shared" si="2"/>
        <v>30178.324448915711</v>
      </c>
    </row>
    <row r="32" spans="1:10" x14ac:dyDescent="0.3">
      <c r="A32" s="193" t="s">
        <v>32</v>
      </c>
      <c r="B32" s="215">
        <v>175858.71000000002</v>
      </c>
      <c r="C32" s="215">
        <v>121370.58</v>
      </c>
      <c r="D32" s="215">
        <v>168808.1</v>
      </c>
      <c r="E32" s="350">
        <v>169002.76</v>
      </c>
      <c r="G32" s="197">
        <f t="shared" si="0"/>
        <v>635040.15</v>
      </c>
      <c r="I32" s="198">
        <f t="shared" si="1"/>
        <v>654091.35450000002</v>
      </c>
      <c r="J32" s="199">
        <f t="shared" si="2"/>
        <v>190824.38994963345</v>
      </c>
    </row>
    <row r="33" spans="1:10" x14ac:dyDescent="0.3">
      <c r="A33" s="193" t="s">
        <v>33</v>
      </c>
      <c r="B33" s="215">
        <v>4949.47</v>
      </c>
      <c r="C33" s="215">
        <v>3454.18</v>
      </c>
      <c r="D33" s="215">
        <v>4623.7700000000004</v>
      </c>
      <c r="E33" s="350">
        <v>5916.83</v>
      </c>
      <c r="G33" s="197">
        <f t="shared" si="0"/>
        <v>18944.25</v>
      </c>
      <c r="I33" s="198">
        <f t="shared" si="1"/>
        <v>19512.577499999999</v>
      </c>
      <c r="J33" s="199">
        <f t="shared" si="2"/>
        <v>5692.5927428420764</v>
      </c>
    </row>
    <row r="34" spans="1:10" x14ac:dyDescent="0.3">
      <c r="A34" s="193" t="s">
        <v>34</v>
      </c>
      <c r="B34" s="215">
        <v>48350.43</v>
      </c>
      <c r="C34" s="215">
        <v>36008.5</v>
      </c>
      <c r="D34" s="215">
        <v>40914.619999999995</v>
      </c>
      <c r="E34" s="350">
        <v>50519.88</v>
      </c>
      <c r="G34" s="197">
        <f t="shared" si="0"/>
        <v>175793.43</v>
      </c>
      <c r="I34" s="198">
        <f t="shared" si="1"/>
        <v>181067.2329</v>
      </c>
      <c r="J34" s="199">
        <f t="shared" si="2"/>
        <v>52824.493123629414</v>
      </c>
    </row>
    <row r="35" spans="1:10" x14ac:dyDescent="0.3">
      <c r="A35" s="193" t="s">
        <v>35</v>
      </c>
      <c r="B35" s="215">
        <v>8906.36</v>
      </c>
      <c r="C35" s="215">
        <v>7656.0700000000006</v>
      </c>
      <c r="D35" s="215">
        <v>8625.5400000000009</v>
      </c>
      <c r="E35" s="350">
        <v>7893.06</v>
      </c>
      <c r="G35" s="197">
        <f t="shared" si="0"/>
        <v>33081.03</v>
      </c>
      <c r="I35" s="198">
        <f t="shared" si="1"/>
        <v>34073.460899999998</v>
      </c>
      <c r="J35" s="199">
        <f t="shared" si="2"/>
        <v>9940.5799281439486</v>
      </c>
    </row>
    <row r="36" spans="1:10" x14ac:dyDescent="0.3">
      <c r="A36" s="193" t="s">
        <v>36</v>
      </c>
      <c r="B36" s="215">
        <v>10112.69</v>
      </c>
      <c r="C36" s="215">
        <v>2580.3000000000002</v>
      </c>
      <c r="D36" s="215">
        <v>3460.98</v>
      </c>
      <c r="E36" s="350">
        <v>4070.12</v>
      </c>
      <c r="G36" s="197">
        <f t="shared" si="0"/>
        <v>20224.09</v>
      </c>
      <c r="I36" s="198">
        <f t="shared" si="1"/>
        <v>20830.812700000002</v>
      </c>
      <c r="J36" s="199">
        <f t="shared" si="2"/>
        <v>6077.1742330567331</v>
      </c>
    </row>
    <row r="37" spans="1:10" x14ac:dyDescent="0.3">
      <c r="A37" s="193" t="s">
        <v>37</v>
      </c>
      <c r="B37" s="215">
        <v>834.23</v>
      </c>
      <c r="C37" s="215">
        <v>0</v>
      </c>
      <c r="D37" s="215">
        <v>1069.19</v>
      </c>
      <c r="E37" s="350">
        <v>0</v>
      </c>
      <c r="G37" s="197">
        <f t="shared" si="0"/>
        <v>1903.42</v>
      </c>
      <c r="I37" s="198">
        <f t="shared" si="1"/>
        <v>1960.5226000000002</v>
      </c>
      <c r="J37" s="199">
        <f t="shared" si="2"/>
        <v>571.96219848135797</v>
      </c>
    </row>
    <row r="38" spans="1:10" x14ac:dyDescent="0.3">
      <c r="A38" s="193" t="s">
        <v>38</v>
      </c>
      <c r="B38" s="215">
        <v>73000.149999999994</v>
      </c>
      <c r="C38" s="215">
        <v>75828.84</v>
      </c>
      <c r="D38" s="215">
        <v>76874.75</v>
      </c>
      <c r="E38" s="350">
        <v>91217.090000000011</v>
      </c>
      <c r="G38" s="197">
        <f t="shared" si="0"/>
        <v>316920.83</v>
      </c>
      <c r="I38" s="198">
        <f t="shared" si="1"/>
        <v>326428.45490000001</v>
      </c>
      <c r="J38" s="199">
        <f t="shared" si="2"/>
        <v>95232.126735737096</v>
      </c>
    </row>
    <row r="39" spans="1:10" x14ac:dyDescent="0.3">
      <c r="A39" s="193" t="s">
        <v>39</v>
      </c>
      <c r="B39" s="215">
        <v>63848.65</v>
      </c>
      <c r="C39" s="215">
        <v>66855.61</v>
      </c>
      <c r="D39" s="215">
        <v>83906.12</v>
      </c>
      <c r="E39" s="350">
        <v>84827.96</v>
      </c>
      <c r="G39" s="197">
        <f t="shared" si="0"/>
        <v>299438.34000000003</v>
      </c>
      <c r="I39" s="198">
        <f t="shared" si="1"/>
        <v>308421.49020000006</v>
      </c>
      <c r="J39" s="199">
        <f t="shared" si="2"/>
        <v>89978.780960591132</v>
      </c>
    </row>
    <row r="40" spans="1:10" x14ac:dyDescent="0.3">
      <c r="A40" s="193" t="s">
        <v>40</v>
      </c>
      <c r="B40" s="215">
        <v>81623.98000000001</v>
      </c>
      <c r="C40" s="215">
        <v>55169.61</v>
      </c>
      <c r="D40" s="215">
        <v>87052.91</v>
      </c>
      <c r="E40" s="350">
        <v>70289.98</v>
      </c>
      <c r="G40" s="197">
        <f t="shared" si="0"/>
        <v>294136.48000000004</v>
      </c>
      <c r="I40" s="198">
        <f t="shared" si="1"/>
        <v>302960.57440000004</v>
      </c>
      <c r="J40" s="199">
        <f t="shared" si="2"/>
        <v>88385.615236977654</v>
      </c>
    </row>
    <row r="41" spans="1:10" x14ac:dyDescent="0.3">
      <c r="A41" s="193" t="s">
        <v>41</v>
      </c>
      <c r="B41" s="215">
        <v>23484.41</v>
      </c>
      <c r="C41" s="215">
        <v>20764.25</v>
      </c>
      <c r="D41" s="215">
        <v>23033.93</v>
      </c>
      <c r="E41" s="350">
        <v>22000.999999999996</v>
      </c>
      <c r="G41" s="197">
        <f t="shared" si="0"/>
        <v>89283.59</v>
      </c>
      <c r="I41" s="198">
        <f t="shared" si="1"/>
        <v>91962.097699999998</v>
      </c>
      <c r="J41" s="199">
        <f t="shared" si="2"/>
        <v>26828.991197270272</v>
      </c>
    </row>
    <row r="42" spans="1:10" x14ac:dyDescent="0.3">
      <c r="A42" s="193" t="s">
        <v>42</v>
      </c>
      <c r="B42" s="215">
        <v>4452.3600000000006</v>
      </c>
      <c r="C42" s="215">
        <v>3736.13</v>
      </c>
      <c r="D42" s="215">
        <v>2170.3000000000002</v>
      </c>
      <c r="E42" s="350">
        <v>4972.34</v>
      </c>
      <c r="G42" s="197">
        <f t="shared" si="0"/>
        <v>15331.130000000001</v>
      </c>
      <c r="I42" s="198">
        <f t="shared" si="1"/>
        <v>15791.063900000001</v>
      </c>
      <c r="J42" s="199">
        <f t="shared" si="2"/>
        <v>4606.8796271991996</v>
      </c>
    </row>
    <row r="43" spans="1:10" x14ac:dyDescent="0.3">
      <c r="A43" s="193" t="s">
        <v>43</v>
      </c>
      <c r="B43" s="215">
        <v>4753.45</v>
      </c>
      <c r="C43" s="215">
        <v>6280.0199999999995</v>
      </c>
      <c r="D43" s="215">
        <v>4860.54</v>
      </c>
      <c r="E43" s="350">
        <v>3805.29</v>
      </c>
      <c r="G43" s="197">
        <f t="shared" si="0"/>
        <v>19699.3</v>
      </c>
      <c r="I43" s="198">
        <f t="shared" si="1"/>
        <v>20290.278999999999</v>
      </c>
      <c r="J43" s="199">
        <f t="shared" si="2"/>
        <v>5919.4791147218239</v>
      </c>
    </row>
    <row r="44" spans="1:10" x14ac:dyDescent="0.3">
      <c r="A44" s="193" t="s">
        <v>44</v>
      </c>
      <c r="B44" s="215">
        <v>44968.67</v>
      </c>
      <c r="C44" s="215">
        <v>29638.329999999998</v>
      </c>
      <c r="D44" s="215">
        <v>39178.32</v>
      </c>
      <c r="E44" s="350">
        <v>42262.58</v>
      </c>
      <c r="G44" s="197">
        <f t="shared" si="0"/>
        <v>156047.90000000002</v>
      </c>
      <c r="I44" s="198">
        <f t="shared" si="1"/>
        <v>160729.33700000003</v>
      </c>
      <c r="J44" s="199">
        <f t="shared" si="2"/>
        <v>46891.122270649204</v>
      </c>
    </row>
    <row r="45" spans="1:10" x14ac:dyDescent="0.3">
      <c r="A45" s="193" t="s">
        <v>45</v>
      </c>
      <c r="B45" s="215">
        <v>69915.360000000001</v>
      </c>
      <c r="C45" s="215">
        <v>54723.7</v>
      </c>
      <c r="D45" s="215">
        <v>67963.62</v>
      </c>
      <c r="E45" s="350">
        <v>64141.360000000008</v>
      </c>
      <c r="G45" s="197">
        <f t="shared" si="0"/>
        <v>256744.04</v>
      </c>
      <c r="I45" s="198">
        <f t="shared" si="1"/>
        <v>264446.36120000004</v>
      </c>
      <c r="J45" s="199">
        <f t="shared" si="2"/>
        <v>77149.491738757453</v>
      </c>
    </row>
    <row r="46" spans="1:10" x14ac:dyDescent="0.3">
      <c r="A46" s="193" t="s">
        <v>46</v>
      </c>
      <c r="B46" s="215">
        <v>53381.630000000005</v>
      </c>
      <c r="C46" s="215">
        <v>52628.71</v>
      </c>
      <c r="D46" s="215">
        <v>61937</v>
      </c>
      <c r="E46" s="350">
        <v>54291.16</v>
      </c>
      <c r="G46" s="197">
        <f t="shared" si="0"/>
        <v>222238.5</v>
      </c>
      <c r="I46" s="198">
        <f t="shared" si="1"/>
        <v>228905.655</v>
      </c>
      <c r="J46" s="199">
        <f t="shared" si="2"/>
        <v>66780.858164356396</v>
      </c>
    </row>
    <row r="47" spans="1:10" x14ac:dyDescent="0.3">
      <c r="A47" s="193" t="s">
        <v>47</v>
      </c>
      <c r="B47" s="215">
        <v>552498.46</v>
      </c>
      <c r="C47" s="215">
        <v>564653.62</v>
      </c>
      <c r="D47" s="215">
        <v>574721.75</v>
      </c>
      <c r="E47" s="350">
        <v>535807.63</v>
      </c>
      <c r="G47" s="197">
        <f t="shared" si="0"/>
        <v>2227681.46</v>
      </c>
      <c r="I47" s="198">
        <f t="shared" si="1"/>
        <v>2294511.9038</v>
      </c>
      <c r="J47" s="199">
        <f t="shared" si="2"/>
        <v>669400.1247111836</v>
      </c>
    </row>
    <row r="48" spans="1:10" x14ac:dyDescent="0.3">
      <c r="A48" s="193" t="s">
        <v>48</v>
      </c>
      <c r="B48" s="215">
        <v>49420.74</v>
      </c>
      <c r="C48" s="215">
        <v>50182.979999999996</v>
      </c>
      <c r="D48" s="215">
        <v>49449.99</v>
      </c>
      <c r="E48" s="350">
        <v>63495.31</v>
      </c>
      <c r="G48" s="197">
        <f t="shared" si="0"/>
        <v>212549.02</v>
      </c>
      <c r="I48" s="198">
        <f t="shared" si="1"/>
        <v>218925.49059999999</v>
      </c>
      <c r="J48" s="199">
        <f t="shared" si="2"/>
        <v>63869.248386723957</v>
      </c>
    </row>
    <row r="49" spans="1:10" x14ac:dyDescent="0.3">
      <c r="A49" s="193" t="s">
        <v>49</v>
      </c>
      <c r="B49" s="215">
        <v>22780.2</v>
      </c>
      <c r="C49" s="215">
        <v>22316.12</v>
      </c>
      <c r="D49" s="215">
        <v>20772.940000000002</v>
      </c>
      <c r="E49" s="350">
        <v>22253.23</v>
      </c>
      <c r="G49" s="197">
        <f t="shared" si="0"/>
        <v>88122.49</v>
      </c>
      <c r="I49" s="198">
        <f t="shared" si="1"/>
        <v>90766.164700000008</v>
      </c>
      <c r="J49" s="199">
        <f t="shared" si="2"/>
        <v>26480.09010940911</v>
      </c>
    </row>
    <row r="50" spans="1:10" x14ac:dyDescent="0.3">
      <c r="A50" s="193" t="s">
        <v>50</v>
      </c>
      <c r="B50" s="215">
        <v>26518.53</v>
      </c>
      <c r="C50" s="215">
        <v>56360.340000000004</v>
      </c>
      <c r="D50" s="215">
        <v>36078.559999999998</v>
      </c>
      <c r="E50" s="350">
        <v>26207.089999999997</v>
      </c>
      <c r="G50" s="197">
        <f t="shared" si="0"/>
        <v>145164.51999999999</v>
      </c>
      <c r="I50" s="198">
        <f t="shared" si="1"/>
        <v>149519.45559999999</v>
      </c>
      <c r="J50" s="199">
        <f t="shared" si="2"/>
        <v>43620.755272452247</v>
      </c>
    </row>
    <row r="51" spans="1:10" x14ac:dyDescent="0.3">
      <c r="A51" s="193" t="s">
        <v>51</v>
      </c>
      <c r="B51" s="215">
        <v>34000.99</v>
      </c>
      <c r="C51" s="215">
        <v>28818.91</v>
      </c>
      <c r="D51" s="215">
        <v>26955.87</v>
      </c>
      <c r="E51" s="350">
        <v>30570.82</v>
      </c>
      <c r="G51" s="197">
        <f t="shared" si="0"/>
        <v>120346.59</v>
      </c>
      <c r="I51" s="198">
        <f t="shared" si="1"/>
        <v>123956.9877</v>
      </c>
      <c r="J51" s="199">
        <f t="shared" si="2"/>
        <v>36163.169555922817</v>
      </c>
    </row>
    <row r="52" spans="1:10" x14ac:dyDescent="0.3">
      <c r="A52" s="193" t="s">
        <v>52</v>
      </c>
      <c r="B52" s="215">
        <v>179947.83000000002</v>
      </c>
      <c r="C52" s="215">
        <v>183613.81</v>
      </c>
      <c r="D52" s="215">
        <v>195958.28999999998</v>
      </c>
      <c r="E52" s="350">
        <v>208911.47</v>
      </c>
      <c r="G52" s="197">
        <f t="shared" si="0"/>
        <v>768431.39999999991</v>
      </c>
      <c r="I52" s="198">
        <f t="shared" si="1"/>
        <v>791484.34199999995</v>
      </c>
      <c r="J52" s="199">
        <f t="shared" si="2"/>
        <v>230907.37353085904</v>
      </c>
    </row>
    <row r="53" spans="1:10" x14ac:dyDescent="0.3">
      <c r="A53" s="193" t="s">
        <v>53</v>
      </c>
      <c r="B53" s="215">
        <v>106198.35</v>
      </c>
      <c r="C53" s="215">
        <v>94191.63</v>
      </c>
      <c r="D53" s="215">
        <v>100784.58</v>
      </c>
      <c r="E53" s="350">
        <v>107948.3</v>
      </c>
      <c r="G53" s="197">
        <f t="shared" si="0"/>
        <v>409122.86</v>
      </c>
      <c r="I53" s="198">
        <f t="shared" si="1"/>
        <v>421396.54580000002</v>
      </c>
      <c r="J53" s="199">
        <f t="shared" si="2"/>
        <v>122938.08536979796</v>
      </c>
    </row>
    <row r="54" spans="1:10" x14ac:dyDescent="0.3">
      <c r="A54" s="193" t="s">
        <v>54</v>
      </c>
      <c r="B54" s="215">
        <v>219466.19000000003</v>
      </c>
      <c r="C54" s="215">
        <v>189952.41999999998</v>
      </c>
      <c r="D54" s="215">
        <v>212317.44</v>
      </c>
      <c r="E54" s="350">
        <v>247019.73</v>
      </c>
      <c r="G54" s="197">
        <f t="shared" si="0"/>
        <v>868755.78</v>
      </c>
      <c r="I54" s="198">
        <f t="shared" si="1"/>
        <v>894818.4534</v>
      </c>
      <c r="J54" s="199">
        <f t="shared" si="2"/>
        <v>261054.0321485468</v>
      </c>
    </row>
    <row r="55" spans="1:10" x14ac:dyDescent="0.3">
      <c r="A55" s="193" t="s">
        <v>55</v>
      </c>
      <c r="B55" s="215">
        <v>117946.66</v>
      </c>
      <c r="C55" s="215">
        <v>69126.53</v>
      </c>
      <c r="D55" s="215">
        <v>114710.5</v>
      </c>
      <c r="E55" s="350">
        <v>122374.5</v>
      </c>
      <c r="G55" s="197">
        <f t="shared" si="0"/>
        <v>424158.19</v>
      </c>
      <c r="I55" s="198">
        <f t="shared" si="1"/>
        <v>436882.93570000003</v>
      </c>
      <c r="J55" s="199">
        <f t="shared" si="2"/>
        <v>127456.07950755669</v>
      </c>
    </row>
    <row r="56" spans="1:10" x14ac:dyDescent="0.3">
      <c r="A56" s="193" t="s">
        <v>56</v>
      </c>
      <c r="B56" s="215">
        <v>220239.21</v>
      </c>
      <c r="C56" s="215">
        <v>152953.76</v>
      </c>
      <c r="D56" s="215">
        <v>200544.02</v>
      </c>
      <c r="E56" s="350">
        <v>181649.79</v>
      </c>
      <c r="G56" s="197">
        <f t="shared" si="0"/>
        <v>755386.78</v>
      </c>
      <c r="I56" s="198">
        <f t="shared" si="1"/>
        <v>778048.38340000005</v>
      </c>
      <c r="J56" s="199">
        <f t="shared" si="2"/>
        <v>226987.57152523033</v>
      </c>
    </row>
    <row r="57" spans="1:10" x14ac:dyDescent="0.3">
      <c r="A57" s="193" t="s">
        <v>57</v>
      </c>
      <c r="B57" s="215">
        <v>194684.24</v>
      </c>
      <c r="C57" s="215">
        <v>126478.22</v>
      </c>
      <c r="D57" s="215">
        <v>220433.43</v>
      </c>
      <c r="E57" s="350">
        <v>204178.08</v>
      </c>
      <c r="G57" s="197">
        <f t="shared" si="0"/>
        <v>745773.96999999986</v>
      </c>
      <c r="I57" s="198">
        <f t="shared" si="1"/>
        <v>768147.18909999984</v>
      </c>
      <c r="J57" s="199">
        <f t="shared" si="2"/>
        <v>224099.00045779184</v>
      </c>
    </row>
    <row r="58" spans="1:10" x14ac:dyDescent="0.3">
      <c r="A58" s="193" t="s">
        <v>58</v>
      </c>
      <c r="B58" s="215">
        <v>34891.17</v>
      </c>
      <c r="C58" s="215">
        <v>33118.97</v>
      </c>
      <c r="D58" s="215">
        <v>29304.11</v>
      </c>
      <c r="E58" s="350">
        <v>29435.38</v>
      </c>
      <c r="G58" s="197">
        <f t="shared" si="0"/>
        <v>126749.63</v>
      </c>
      <c r="I58" s="198">
        <f t="shared" si="1"/>
        <v>130552.1189</v>
      </c>
      <c r="J58" s="199">
        <f t="shared" si="2"/>
        <v>38087.230895702829</v>
      </c>
    </row>
    <row r="59" spans="1:10" x14ac:dyDescent="0.3">
      <c r="A59" s="193" t="s">
        <v>61</v>
      </c>
      <c r="B59" s="215">
        <v>77079.569999999992</v>
      </c>
      <c r="C59" s="215">
        <v>54028.579999999994</v>
      </c>
      <c r="D59" s="215">
        <v>61352.6</v>
      </c>
      <c r="E59" s="350">
        <v>68835.72</v>
      </c>
      <c r="G59" s="197">
        <f t="shared" si="0"/>
        <v>261296.47</v>
      </c>
      <c r="I59" s="198">
        <f t="shared" si="1"/>
        <v>269135.36410000001</v>
      </c>
      <c r="J59" s="199">
        <f t="shared" si="2"/>
        <v>78517.459854692177</v>
      </c>
    </row>
    <row r="60" spans="1:10" x14ac:dyDescent="0.3">
      <c r="A60" s="193" t="s">
        <v>62</v>
      </c>
      <c r="B60" s="215">
        <v>115016.03</v>
      </c>
      <c r="C60" s="215">
        <v>96324.87</v>
      </c>
      <c r="D60" s="215">
        <v>111521.35</v>
      </c>
      <c r="E60" s="350">
        <v>123043.09</v>
      </c>
      <c r="G60" s="197">
        <f t="shared" si="0"/>
        <v>445905.33999999997</v>
      </c>
      <c r="I60" s="198">
        <f t="shared" si="1"/>
        <v>459282.50019999995</v>
      </c>
      <c r="J60" s="199">
        <f t="shared" si="2"/>
        <v>133990.92085875812</v>
      </c>
    </row>
    <row r="61" spans="1:10" x14ac:dyDescent="0.3">
      <c r="A61" s="193" t="s">
        <v>63</v>
      </c>
      <c r="B61" s="215">
        <v>67371.77</v>
      </c>
      <c r="C61" s="215">
        <v>66215.399999999994</v>
      </c>
      <c r="D61" s="215">
        <v>68458.720000000001</v>
      </c>
      <c r="E61" s="350">
        <v>72381.56</v>
      </c>
      <c r="G61" s="197">
        <f t="shared" si="0"/>
        <v>274427.44999999995</v>
      </c>
      <c r="I61" s="198">
        <f t="shared" si="1"/>
        <v>282660.27349999995</v>
      </c>
      <c r="J61" s="199">
        <f t="shared" si="2"/>
        <v>82463.212336548371</v>
      </c>
    </row>
    <row r="62" spans="1:10" x14ac:dyDescent="0.3">
      <c r="A62" s="193" t="s">
        <v>205</v>
      </c>
      <c r="B62" s="215">
        <v>35466.909999999996</v>
      </c>
      <c r="C62" s="215">
        <v>22264.55</v>
      </c>
      <c r="D62" s="215">
        <v>27476.71</v>
      </c>
      <c r="E62" s="350">
        <v>28373.850000000002</v>
      </c>
      <c r="G62" s="197">
        <f t="shared" si="0"/>
        <v>113582.01999999999</v>
      </c>
      <c r="I62" s="198">
        <f t="shared" si="1"/>
        <v>116989.4806</v>
      </c>
      <c r="J62" s="199">
        <f t="shared" si="2"/>
        <v>34130.471397355053</v>
      </c>
    </row>
    <row r="63" spans="1:10" x14ac:dyDescent="0.3">
      <c r="A63" s="193" t="s">
        <v>206</v>
      </c>
      <c r="B63" s="215">
        <v>153980.99</v>
      </c>
      <c r="C63" s="215">
        <v>63006.99</v>
      </c>
      <c r="D63" s="215">
        <v>59534.600000000006</v>
      </c>
      <c r="E63" s="350">
        <v>113445.42</v>
      </c>
      <c r="G63" s="197">
        <f t="shared" si="0"/>
        <v>389967.99999999994</v>
      </c>
      <c r="I63" s="198">
        <f t="shared" si="1"/>
        <v>401667.04</v>
      </c>
      <c r="J63" s="199">
        <f t="shared" si="2"/>
        <v>117182.20603827751</v>
      </c>
    </row>
    <row r="64" spans="1:10" x14ac:dyDescent="0.3">
      <c r="A64" s="193" t="s">
        <v>64</v>
      </c>
      <c r="B64" s="215">
        <v>37682.959999999999</v>
      </c>
      <c r="C64" s="215">
        <v>38473.620000000003</v>
      </c>
      <c r="D64" s="215">
        <v>36420.9</v>
      </c>
      <c r="E64" s="350">
        <v>41698.31</v>
      </c>
      <c r="G64" s="197">
        <f t="shared" si="0"/>
        <v>154275.79</v>
      </c>
      <c r="I64" s="198">
        <f t="shared" si="1"/>
        <v>158904.0637</v>
      </c>
      <c r="J64" s="199">
        <f t="shared" si="2"/>
        <v>46358.617657084767</v>
      </c>
    </row>
    <row r="65" spans="1:15" x14ac:dyDescent="0.3">
      <c r="A65" s="193" t="s">
        <v>65</v>
      </c>
      <c r="B65" s="215">
        <v>9473.9399999999987</v>
      </c>
      <c r="C65" s="215">
        <v>10402.5</v>
      </c>
      <c r="D65" s="215">
        <v>9173.7000000000007</v>
      </c>
      <c r="E65" s="350">
        <v>16116</v>
      </c>
      <c r="G65" s="197">
        <f t="shared" si="0"/>
        <v>45166.14</v>
      </c>
      <c r="I65" s="198">
        <f>G65*1.03</f>
        <v>46521.124199999998</v>
      </c>
      <c r="J65" s="199">
        <f t="shared" si="2"/>
        <v>13572.056998096479</v>
      </c>
    </row>
    <row r="66" spans="1:15" x14ac:dyDescent="0.3">
      <c r="A66" s="193" t="s">
        <v>66</v>
      </c>
      <c r="B66" s="215">
        <v>2497.69</v>
      </c>
      <c r="C66" s="215">
        <v>4108.84</v>
      </c>
      <c r="D66" s="215">
        <v>3367.87</v>
      </c>
      <c r="E66" s="350">
        <v>2053.2600000000002</v>
      </c>
      <c r="G66" s="197">
        <f t="shared" si="0"/>
        <v>12027.660000000002</v>
      </c>
      <c r="I66" s="198">
        <f t="shared" si="1"/>
        <v>12388.489800000001</v>
      </c>
      <c r="J66" s="199">
        <f t="shared" si="2"/>
        <v>3614.2138131291517</v>
      </c>
    </row>
    <row r="67" spans="1:15" x14ac:dyDescent="0.3">
      <c r="A67" s="193" t="s">
        <v>67</v>
      </c>
      <c r="B67" s="215">
        <v>3276.39</v>
      </c>
      <c r="C67" s="215">
        <v>2314.81</v>
      </c>
      <c r="D67" s="215">
        <v>2107.6600000000003</v>
      </c>
      <c r="E67" s="350">
        <v>2416.1999999999998</v>
      </c>
      <c r="G67" s="197">
        <f t="shared" si="0"/>
        <v>10115.060000000001</v>
      </c>
      <c r="I67" s="198">
        <f t="shared" si="1"/>
        <v>10418.511800000002</v>
      </c>
      <c r="J67" s="199">
        <f t="shared" si="2"/>
        <v>3039.4930994582619</v>
      </c>
    </row>
    <row r="68" spans="1:15" x14ac:dyDescent="0.3">
      <c r="A68" s="193" t="s">
        <v>68</v>
      </c>
      <c r="B68" s="215">
        <v>78264.289999999994</v>
      </c>
      <c r="C68" s="215">
        <v>73134.86</v>
      </c>
      <c r="D68" s="215">
        <v>81666.740000000005</v>
      </c>
      <c r="E68" s="350">
        <v>80215.37</v>
      </c>
      <c r="G68" s="197">
        <f t="shared" si="0"/>
        <v>313281.26</v>
      </c>
      <c r="I68" s="198">
        <f t="shared" si="1"/>
        <v>322679.69780000002</v>
      </c>
      <c r="J68" s="199">
        <f t="shared" si="2"/>
        <v>94138.465610642903</v>
      </c>
    </row>
    <row r="69" spans="1:15" x14ac:dyDescent="0.3">
      <c r="A69" s="193" t="s">
        <v>69</v>
      </c>
      <c r="B69" s="215">
        <v>10193.34</v>
      </c>
      <c r="C69" s="215">
        <v>12304.35</v>
      </c>
      <c r="D69" s="215">
        <v>12151.49</v>
      </c>
      <c r="E69" s="350">
        <v>11581.109999999999</v>
      </c>
      <c r="G69" s="197">
        <f t="shared" si="0"/>
        <v>46230.29</v>
      </c>
      <c r="I69" s="198">
        <f t="shared" si="1"/>
        <v>47617.198700000001</v>
      </c>
      <c r="J69" s="199">
        <f t="shared" si="2"/>
        <v>13891.825401031163</v>
      </c>
    </row>
    <row r="70" spans="1:15" x14ac:dyDescent="0.3">
      <c r="A70" s="193" t="s">
        <v>70</v>
      </c>
      <c r="B70" s="215">
        <v>23894.39</v>
      </c>
      <c r="C70" s="215">
        <v>16368.32</v>
      </c>
      <c r="D70" s="215">
        <v>14980.66</v>
      </c>
      <c r="E70" s="350">
        <v>15308.54</v>
      </c>
      <c r="G70" s="197">
        <f>SUM(B70:E70)</f>
        <v>70551.91</v>
      </c>
      <c r="I70" s="198">
        <f>G70*1.03</f>
        <v>72668.467300000004</v>
      </c>
      <c r="J70" s="199">
        <f>I70/$I$73*$J$73</f>
        <v>21200.27400713395</v>
      </c>
    </row>
    <row r="71" spans="1:15" ht="17.25" thickBot="1" x14ac:dyDescent="0.35">
      <c r="A71" s="193" t="s">
        <v>71</v>
      </c>
      <c r="B71" s="218">
        <v>12926.57</v>
      </c>
      <c r="C71" s="218">
        <v>13155.71</v>
      </c>
      <c r="D71" s="218">
        <v>11167.42</v>
      </c>
      <c r="E71" s="351">
        <v>12341.119999999999</v>
      </c>
      <c r="G71" s="201">
        <f>SUM(B71:E71)</f>
        <v>49590.819999999992</v>
      </c>
      <c r="I71" s="202">
        <f>G71*1.03</f>
        <v>51078.544599999994</v>
      </c>
      <c r="J71" s="203">
        <f>I71/$I$73*$J$73</f>
        <v>14901.63728010281</v>
      </c>
    </row>
    <row r="72" spans="1:15" ht="17.25" thickBot="1" x14ac:dyDescent="0.35">
      <c r="B72" s="204"/>
      <c r="C72" s="204"/>
      <c r="D72" s="204"/>
      <c r="E72" s="204"/>
    </row>
    <row r="73" spans="1:15" ht="17.25" thickBot="1" x14ac:dyDescent="0.35">
      <c r="A73" s="205" t="s">
        <v>207</v>
      </c>
      <c r="B73" s="206">
        <f>SUM(B5:B71)</f>
        <v>4242886.8599999994</v>
      </c>
      <c r="C73" s="206">
        <f>SUM(C5:C71)</f>
        <v>3558946.8400000003</v>
      </c>
      <c r="D73" s="206">
        <f>SUM(D5:D72)</f>
        <v>4049757.0300000021</v>
      </c>
      <c r="E73" s="207">
        <f>SUM(E5:E72)</f>
        <v>4186612.56</v>
      </c>
      <c r="G73" s="207">
        <f>SUM(G5:G72)</f>
        <v>16038203.289999997</v>
      </c>
      <c r="I73" s="208">
        <f>SUM(I5:I72)</f>
        <v>16519349.388699995</v>
      </c>
      <c r="J73" s="208">
        <f>I73-11700000</f>
        <v>4819349.3886999954</v>
      </c>
      <c r="O73" s="209"/>
    </row>
    <row r="74" spans="1:15" x14ac:dyDescent="0.3">
      <c r="A74" s="482"/>
      <c r="B74" s="482"/>
      <c r="C74" s="482"/>
    </row>
    <row r="75" spans="1:15" x14ac:dyDescent="0.3">
      <c r="F75" s="343" t="s">
        <v>248</v>
      </c>
      <c r="G75" s="204">
        <f>G73*1.03</f>
        <v>16519349.388699997</v>
      </c>
    </row>
    <row r="76" spans="1:15" x14ac:dyDescent="0.3">
      <c r="I76" s="210"/>
    </row>
    <row r="77" spans="1:15" x14ac:dyDescent="0.3">
      <c r="G77" s="204"/>
    </row>
  </sheetData>
  <mergeCells count="11">
    <mergeCell ref="A74:C74"/>
    <mergeCell ref="A1:G1"/>
    <mergeCell ref="I1:J1"/>
    <mergeCell ref="A3:A4"/>
    <mergeCell ref="B3:B4"/>
    <mergeCell ref="C3:C4"/>
    <mergeCell ref="D3:D4"/>
    <mergeCell ref="E3:E4"/>
    <mergeCell ref="G3:G4"/>
    <mergeCell ref="I3:I4"/>
    <mergeCell ref="J3:J4"/>
  </mergeCells>
  <printOptions horizontalCentered="1"/>
  <pageMargins left="0.45" right="0.45" top="0.6" bottom="0.3" header="0.3" footer="0.3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872A-3C16-442C-A6C4-C0B6BE6F16DD}">
  <sheetPr>
    <pageSetUpPr fitToPage="1"/>
  </sheetPr>
  <dimension ref="A1:K76"/>
  <sheetViews>
    <sheetView zoomScale="120" zoomScaleNormal="120" zoomScalePageLayoutView="55" workbookViewId="0">
      <pane xSplit="2" ySplit="1" topLeftCell="C53" activePane="bottomRight" state="frozen"/>
      <selection pane="topRight" activeCell="C1" sqref="C1"/>
      <selection pane="bottomLeft" activeCell="A2" sqref="A2"/>
      <selection pane="bottomRight" activeCell="J75" sqref="J75"/>
    </sheetView>
  </sheetViews>
  <sheetFormatPr defaultColWidth="2.28515625" defaultRowHeight="13.5" x14ac:dyDescent="0.25"/>
  <cols>
    <col min="1" max="1" width="12.42578125" style="21" customWidth="1"/>
    <col min="2" max="2" width="7.140625" style="21" customWidth="1"/>
    <col min="3" max="3" width="16.7109375" style="21" customWidth="1"/>
    <col min="4" max="4" width="14" style="21" customWidth="1"/>
    <col min="5" max="5" width="16.5703125" style="21" customWidth="1"/>
    <col min="6" max="6" width="15.28515625" style="21" customWidth="1"/>
    <col min="7" max="7" width="14" style="21" customWidth="1"/>
    <col min="8" max="8" width="14.5703125" style="21" customWidth="1"/>
    <col min="9" max="9" width="17.28515625" style="21" customWidth="1"/>
    <col min="10" max="10" width="15.140625" style="21" customWidth="1"/>
    <col min="11" max="11" width="8.28515625" style="21" customWidth="1"/>
    <col min="12" max="16384" width="2.28515625" style="21"/>
  </cols>
  <sheetData>
    <row r="1" spans="1:11" s="12" customFormat="1" ht="70.5" customHeight="1" thickBot="1" x14ac:dyDescent="0.3">
      <c r="A1" s="9" t="s">
        <v>2</v>
      </c>
      <c r="B1" s="320" t="s">
        <v>3</v>
      </c>
      <c r="C1" s="31" t="s">
        <v>90</v>
      </c>
      <c r="D1" s="337" t="s">
        <v>266</v>
      </c>
      <c r="E1" s="310" t="s">
        <v>192</v>
      </c>
      <c r="F1" s="84" t="s">
        <v>265</v>
      </c>
      <c r="G1" s="11" t="s">
        <v>4</v>
      </c>
      <c r="H1" s="32" t="s">
        <v>93</v>
      </c>
      <c r="I1" s="85" t="s">
        <v>267</v>
      </c>
      <c r="J1" s="423" t="s">
        <v>268</v>
      </c>
      <c r="K1" s="424" t="s">
        <v>87</v>
      </c>
    </row>
    <row r="2" spans="1:11" s="16" customFormat="1" ht="13.5" customHeight="1" x14ac:dyDescent="0.25">
      <c r="A2" s="315" t="s">
        <v>5</v>
      </c>
      <c r="B2" s="318">
        <v>5</v>
      </c>
      <c r="C2" s="37">
        <v>6676129</v>
      </c>
      <c r="D2" s="182">
        <v>6297</v>
      </c>
      <c r="E2" s="311">
        <f t="shared" ref="E2:E33" si="0">C2+D2</f>
        <v>6682426</v>
      </c>
      <c r="F2" s="122">
        <v>13298</v>
      </c>
      <c r="G2" s="20">
        <v>186280</v>
      </c>
      <c r="H2" s="39">
        <v>95831</v>
      </c>
      <c r="I2" s="425">
        <f t="shared" ref="I2:I33" si="1">E2+F2+H2</f>
        <v>6791555</v>
      </c>
      <c r="J2" s="426">
        <f t="shared" ref="J2:J33" si="2">I2-C2</f>
        <v>115426</v>
      </c>
      <c r="K2" s="427">
        <f t="shared" ref="K2:K33" si="3">J2/C2</f>
        <v>1.7289360346392349E-2</v>
      </c>
    </row>
    <row r="3" spans="1:11" customFormat="1" ht="13.5" customHeight="1" x14ac:dyDescent="0.25">
      <c r="A3" s="314" t="s">
        <v>6</v>
      </c>
      <c r="B3" s="317">
        <v>2</v>
      </c>
      <c r="C3" s="37">
        <v>816730</v>
      </c>
      <c r="D3" s="182"/>
      <c r="E3" s="311">
        <f t="shared" si="0"/>
        <v>816730</v>
      </c>
      <c r="F3" s="122">
        <v>13298</v>
      </c>
      <c r="G3" s="15">
        <v>20304</v>
      </c>
      <c r="H3" s="39">
        <v>10445</v>
      </c>
      <c r="I3" s="425">
        <f t="shared" si="1"/>
        <v>840473</v>
      </c>
      <c r="J3" s="426">
        <f t="shared" si="2"/>
        <v>23743</v>
      </c>
      <c r="K3" s="428">
        <f t="shared" si="3"/>
        <v>2.9070806753761953E-2</v>
      </c>
    </row>
    <row r="4" spans="1:11" s="17" customFormat="1" ht="13.5" customHeight="1" x14ac:dyDescent="0.25">
      <c r="A4" s="314" t="s">
        <v>7</v>
      </c>
      <c r="B4" s="317">
        <v>5</v>
      </c>
      <c r="C4" s="37">
        <v>4553732</v>
      </c>
      <c r="D4" s="182">
        <v>3873</v>
      </c>
      <c r="E4" s="311">
        <f t="shared" si="0"/>
        <v>4557605</v>
      </c>
      <c r="F4" s="122">
        <v>156444</v>
      </c>
      <c r="G4" s="15">
        <v>213576.5</v>
      </c>
      <c r="H4" s="39">
        <v>109874</v>
      </c>
      <c r="I4" s="425">
        <f t="shared" si="1"/>
        <v>4823923</v>
      </c>
      <c r="J4" s="426">
        <f t="shared" si="2"/>
        <v>270191</v>
      </c>
      <c r="K4" s="428">
        <f t="shared" si="3"/>
        <v>5.9333970466421825E-2</v>
      </c>
    </row>
    <row r="5" spans="1:11" s="16" customFormat="1" ht="13.5" customHeight="1" x14ac:dyDescent="0.25">
      <c r="A5" s="314" t="s">
        <v>8</v>
      </c>
      <c r="B5" s="317">
        <v>3</v>
      </c>
      <c r="C5" s="37">
        <v>1000951</v>
      </c>
      <c r="D5" s="182"/>
      <c r="E5" s="311">
        <f t="shared" si="0"/>
        <v>1000951</v>
      </c>
      <c r="F5" s="122">
        <v>13298</v>
      </c>
      <c r="G5" s="15">
        <v>30252.5</v>
      </c>
      <c r="H5" s="39">
        <v>15563</v>
      </c>
      <c r="I5" s="425">
        <f t="shared" si="1"/>
        <v>1029812</v>
      </c>
      <c r="J5" s="426">
        <f t="shared" si="2"/>
        <v>28861</v>
      </c>
      <c r="K5" s="428">
        <f t="shared" si="3"/>
        <v>2.8833579266117921E-2</v>
      </c>
    </row>
    <row r="6" spans="1:11" s="16" customFormat="1" ht="13.5" customHeight="1" x14ac:dyDescent="0.25">
      <c r="A6" s="314" t="s">
        <v>9</v>
      </c>
      <c r="B6" s="317">
        <v>6</v>
      </c>
      <c r="C6" s="43">
        <v>13042941</v>
      </c>
      <c r="D6" s="183">
        <v>27376</v>
      </c>
      <c r="E6" s="312">
        <f t="shared" si="0"/>
        <v>13070317</v>
      </c>
      <c r="F6" s="185"/>
      <c r="G6" s="15">
        <v>395988</v>
      </c>
      <c r="H6" s="44">
        <v>203715</v>
      </c>
      <c r="I6" s="425">
        <f t="shared" si="1"/>
        <v>13274032</v>
      </c>
      <c r="J6" s="429">
        <f t="shared" si="2"/>
        <v>231091</v>
      </c>
      <c r="K6" s="428">
        <f t="shared" si="3"/>
        <v>1.7717706458995713E-2</v>
      </c>
    </row>
    <row r="7" spans="1:11" s="16" customFormat="1" ht="13.5" customHeight="1" x14ac:dyDescent="0.25">
      <c r="A7" s="315" t="s">
        <v>10</v>
      </c>
      <c r="B7" s="318">
        <v>8</v>
      </c>
      <c r="C7" s="37">
        <v>45017522</v>
      </c>
      <c r="D7" s="182">
        <v>87359</v>
      </c>
      <c r="E7" s="311">
        <f t="shared" si="0"/>
        <v>45104881</v>
      </c>
      <c r="F7" s="122"/>
      <c r="G7" s="20">
        <v>1475104.5</v>
      </c>
      <c r="H7" s="39">
        <f>758863-1</f>
        <v>758862</v>
      </c>
      <c r="I7" s="425">
        <f t="shared" si="1"/>
        <v>45863743</v>
      </c>
      <c r="J7" s="426">
        <f t="shared" si="2"/>
        <v>846221</v>
      </c>
      <c r="K7" s="428">
        <f t="shared" si="3"/>
        <v>1.8797591746609242E-2</v>
      </c>
    </row>
    <row r="8" spans="1:11" s="16" customFormat="1" ht="13.5" customHeight="1" x14ac:dyDescent="0.25">
      <c r="A8" s="314" t="s">
        <v>11</v>
      </c>
      <c r="B8" s="317">
        <v>2</v>
      </c>
      <c r="C8" s="37">
        <v>509417</v>
      </c>
      <c r="D8" s="182"/>
      <c r="E8" s="311">
        <f t="shared" si="0"/>
        <v>509417</v>
      </c>
      <c r="F8" s="122"/>
      <c r="G8" s="15">
        <v>13164.5</v>
      </c>
      <c r="H8" s="39">
        <v>6772</v>
      </c>
      <c r="I8" s="425">
        <f t="shared" si="1"/>
        <v>516189</v>
      </c>
      <c r="J8" s="426">
        <f t="shared" si="2"/>
        <v>6772</v>
      </c>
      <c r="K8" s="428">
        <f t="shared" si="3"/>
        <v>1.3293627813755725E-2</v>
      </c>
    </row>
    <row r="9" spans="1:11" s="16" customFormat="1" ht="13.5" customHeight="1" x14ac:dyDescent="0.25">
      <c r="A9" s="314" t="s">
        <v>12</v>
      </c>
      <c r="B9" s="317">
        <v>5</v>
      </c>
      <c r="C9" s="37">
        <v>4188137</v>
      </c>
      <c r="D9" s="182">
        <v>3805</v>
      </c>
      <c r="E9" s="311">
        <f t="shared" si="0"/>
        <v>4191942</v>
      </c>
      <c r="F9" s="122"/>
      <c r="G9" s="15">
        <v>164184</v>
      </c>
      <c r="H9" s="44">
        <v>84464</v>
      </c>
      <c r="I9" s="425">
        <f t="shared" si="1"/>
        <v>4276406</v>
      </c>
      <c r="J9" s="426">
        <f t="shared" si="2"/>
        <v>88269</v>
      </c>
      <c r="K9" s="428">
        <f t="shared" si="3"/>
        <v>2.1075958116938392E-2</v>
      </c>
    </row>
    <row r="10" spans="1:11" s="16" customFormat="1" ht="13.5" customHeight="1" x14ac:dyDescent="0.25">
      <c r="A10" s="314" t="s">
        <v>13</v>
      </c>
      <c r="B10" s="317">
        <v>4</v>
      </c>
      <c r="C10" s="37">
        <v>3525784</v>
      </c>
      <c r="D10" s="182">
        <v>7664</v>
      </c>
      <c r="E10" s="311">
        <f t="shared" si="0"/>
        <v>3533448</v>
      </c>
      <c r="F10" s="122">
        <v>39111</v>
      </c>
      <c r="G10" s="15">
        <v>108793</v>
      </c>
      <c r="H10" s="39">
        <v>55968</v>
      </c>
      <c r="I10" s="425">
        <f t="shared" si="1"/>
        <v>3628527</v>
      </c>
      <c r="J10" s="426">
        <f t="shared" si="2"/>
        <v>102743</v>
      </c>
      <c r="K10" s="428">
        <f t="shared" si="3"/>
        <v>2.9140469183591509E-2</v>
      </c>
    </row>
    <row r="11" spans="1:11" s="16" customFormat="1" ht="13.5" customHeight="1" x14ac:dyDescent="0.25">
      <c r="A11" s="314" t="s">
        <v>14</v>
      </c>
      <c r="B11" s="317">
        <v>5</v>
      </c>
      <c r="C11" s="37">
        <v>4276738</v>
      </c>
      <c r="D11" s="182">
        <v>43</v>
      </c>
      <c r="E11" s="311">
        <f t="shared" si="0"/>
        <v>4276781</v>
      </c>
      <c r="F11" s="122">
        <v>156444</v>
      </c>
      <c r="G11" s="15">
        <v>153300</v>
      </c>
      <c r="H11" s="39">
        <v>78865</v>
      </c>
      <c r="I11" s="425">
        <f t="shared" si="1"/>
        <v>4512090</v>
      </c>
      <c r="J11" s="426">
        <f t="shared" si="2"/>
        <v>235352</v>
      </c>
      <c r="K11" s="428">
        <f t="shared" si="3"/>
        <v>5.5030726689359974E-2</v>
      </c>
    </row>
    <row r="12" spans="1:11" s="16" customFormat="1" ht="13.5" customHeight="1" x14ac:dyDescent="0.25">
      <c r="A12" s="314" t="s">
        <v>15</v>
      </c>
      <c r="B12" s="317">
        <v>5</v>
      </c>
      <c r="C12" s="37">
        <v>7477231</v>
      </c>
      <c r="D12" s="182">
        <v>16296</v>
      </c>
      <c r="E12" s="311">
        <f t="shared" si="0"/>
        <v>7493527</v>
      </c>
      <c r="F12" s="122"/>
      <c r="G12" s="15">
        <v>224281</v>
      </c>
      <c r="H12" s="39">
        <v>115381</v>
      </c>
      <c r="I12" s="425">
        <f t="shared" si="1"/>
        <v>7608908</v>
      </c>
      <c r="J12" s="426">
        <f t="shared" si="2"/>
        <v>131677</v>
      </c>
      <c r="K12" s="428">
        <f t="shared" si="3"/>
        <v>1.7610396147985798E-2</v>
      </c>
    </row>
    <row r="13" spans="1:11" s="16" customFormat="1" ht="13.5" customHeight="1" x14ac:dyDescent="0.25">
      <c r="A13" s="314" t="s">
        <v>16</v>
      </c>
      <c r="B13" s="317">
        <v>4</v>
      </c>
      <c r="C13" s="37">
        <v>1846836</v>
      </c>
      <c r="D13" s="182">
        <v>1062</v>
      </c>
      <c r="E13" s="311">
        <f t="shared" si="0"/>
        <v>1847898</v>
      </c>
      <c r="F13" s="122"/>
      <c r="G13" s="15">
        <v>60531.5</v>
      </c>
      <c r="H13" s="39">
        <v>31140</v>
      </c>
      <c r="I13" s="425">
        <f t="shared" si="1"/>
        <v>1879038</v>
      </c>
      <c r="J13" s="426">
        <f t="shared" si="2"/>
        <v>32202</v>
      </c>
      <c r="K13" s="428">
        <f t="shared" si="3"/>
        <v>1.7436307284458392E-2</v>
      </c>
    </row>
    <row r="14" spans="1:11" s="16" customFormat="1" ht="13.5" customHeight="1" x14ac:dyDescent="0.25">
      <c r="A14" s="314" t="s">
        <v>17</v>
      </c>
      <c r="B14" s="317">
        <v>3</v>
      </c>
      <c r="C14" s="37">
        <v>939304</v>
      </c>
      <c r="D14" s="182"/>
      <c r="E14" s="311">
        <f t="shared" si="0"/>
        <v>939304</v>
      </c>
      <c r="F14" s="122"/>
      <c r="G14" s="15">
        <v>30168</v>
      </c>
      <c r="H14" s="39">
        <v>15520</v>
      </c>
      <c r="I14" s="425">
        <f t="shared" si="1"/>
        <v>954824</v>
      </c>
      <c r="J14" s="426">
        <f t="shared" si="2"/>
        <v>15520</v>
      </c>
      <c r="K14" s="428">
        <f t="shared" si="3"/>
        <v>1.6522872254350028E-2</v>
      </c>
    </row>
    <row r="15" spans="1:11" s="16" customFormat="1" ht="13.5" customHeight="1" x14ac:dyDescent="0.25">
      <c r="A15" s="314" t="s">
        <v>18</v>
      </c>
      <c r="B15" s="317">
        <v>2</v>
      </c>
      <c r="C15" s="37">
        <v>561107</v>
      </c>
      <c r="D15" s="182"/>
      <c r="E15" s="311">
        <f t="shared" si="0"/>
        <v>561107</v>
      </c>
      <c r="F15" s="122"/>
      <c r="G15" s="15">
        <v>14221</v>
      </c>
      <c r="H15" s="39">
        <v>7316</v>
      </c>
      <c r="I15" s="425">
        <f t="shared" si="1"/>
        <v>568423</v>
      </c>
      <c r="J15" s="426">
        <f t="shared" si="2"/>
        <v>7316</v>
      </c>
      <c r="K15" s="428">
        <f t="shared" si="3"/>
        <v>1.3038511371271433E-2</v>
      </c>
    </row>
    <row r="16" spans="1:11" s="16" customFormat="1" ht="13.5" customHeight="1" x14ac:dyDescent="0.25">
      <c r="A16" s="314" t="s">
        <v>19</v>
      </c>
      <c r="B16" s="317">
        <v>8</v>
      </c>
      <c r="C16" s="37">
        <v>23144597</v>
      </c>
      <c r="D16" s="182">
        <v>45928</v>
      </c>
      <c r="E16" s="311">
        <f t="shared" si="0"/>
        <v>23190525</v>
      </c>
      <c r="F16" s="122">
        <v>78222</v>
      </c>
      <c r="G16" s="15">
        <v>972500.5</v>
      </c>
      <c r="H16" s="39">
        <v>500300</v>
      </c>
      <c r="I16" s="425">
        <f t="shared" si="1"/>
        <v>23769047</v>
      </c>
      <c r="J16" s="426">
        <f t="shared" si="2"/>
        <v>624450</v>
      </c>
      <c r="K16" s="428">
        <f t="shared" si="3"/>
        <v>2.6980379049157781E-2</v>
      </c>
    </row>
    <row r="17" spans="1:11" s="16" customFormat="1" ht="13.5" customHeight="1" x14ac:dyDescent="0.25">
      <c r="A17" s="314" t="s">
        <v>20</v>
      </c>
      <c r="B17" s="317">
        <v>6</v>
      </c>
      <c r="C17" s="37">
        <v>7939619</v>
      </c>
      <c r="D17" s="182">
        <v>12001</v>
      </c>
      <c r="E17" s="311">
        <f t="shared" si="0"/>
        <v>7951620</v>
      </c>
      <c r="F17" s="122"/>
      <c r="G17" s="15">
        <v>243701</v>
      </c>
      <c r="H17" s="39">
        <v>125371</v>
      </c>
      <c r="I17" s="425">
        <f t="shared" si="1"/>
        <v>8076991</v>
      </c>
      <c r="J17" s="426">
        <f t="shared" si="2"/>
        <v>137372</v>
      </c>
      <c r="K17" s="428">
        <f t="shared" si="3"/>
        <v>1.7302089684656154E-2</v>
      </c>
    </row>
    <row r="18" spans="1:11" s="16" customFormat="1" ht="13.5" customHeight="1" x14ac:dyDescent="0.25">
      <c r="A18" s="314" t="s">
        <v>21</v>
      </c>
      <c r="B18" s="317">
        <v>4</v>
      </c>
      <c r="C18" s="37">
        <v>2140390</v>
      </c>
      <c r="D18" s="182">
        <v>82</v>
      </c>
      <c r="E18" s="311">
        <f t="shared" si="0"/>
        <v>2140472</v>
      </c>
      <c r="F18" s="122"/>
      <c r="G18" s="15">
        <v>78140</v>
      </c>
      <c r="H18" s="39">
        <v>40199</v>
      </c>
      <c r="I18" s="425">
        <f t="shared" si="1"/>
        <v>2180671</v>
      </c>
      <c r="J18" s="426">
        <f t="shared" si="2"/>
        <v>40281</v>
      </c>
      <c r="K18" s="428">
        <f t="shared" si="3"/>
        <v>1.8819467480225567E-2</v>
      </c>
    </row>
    <row r="19" spans="1:11" s="16" customFormat="1" ht="13.5" customHeight="1" x14ac:dyDescent="0.25">
      <c r="A19" s="314" t="s">
        <v>22</v>
      </c>
      <c r="B19" s="317">
        <v>2</v>
      </c>
      <c r="C19" s="37">
        <v>729233</v>
      </c>
      <c r="D19" s="182"/>
      <c r="E19" s="311">
        <f t="shared" si="0"/>
        <v>729233</v>
      </c>
      <c r="F19" s="122"/>
      <c r="G19" s="15">
        <v>13824.5</v>
      </c>
      <c r="H19" s="39">
        <v>7112</v>
      </c>
      <c r="I19" s="425">
        <f t="shared" si="1"/>
        <v>736345</v>
      </c>
      <c r="J19" s="426">
        <f t="shared" si="2"/>
        <v>7112</v>
      </c>
      <c r="K19" s="428">
        <f t="shared" si="3"/>
        <v>9.7527127817857943E-3</v>
      </c>
    </row>
    <row r="20" spans="1:11" s="16" customFormat="1" ht="13.5" customHeight="1" x14ac:dyDescent="0.25">
      <c r="A20" s="314" t="s">
        <v>23</v>
      </c>
      <c r="B20" s="317">
        <v>3</v>
      </c>
      <c r="C20" s="37">
        <v>1526249</v>
      </c>
      <c r="D20" s="182">
        <v>195</v>
      </c>
      <c r="E20" s="311">
        <f t="shared" si="0"/>
        <v>1526444</v>
      </c>
      <c r="F20" s="122"/>
      <c r="G20" s="15">
        <v>31300</v>
      </c>
      <c r="H20" s="39">
        <v>16102</v>
      </c>
      <c r="I20" s="425">
        <f t="shared" si="1"/>
        <v>1542546</v>
      </c>
      <c r="J20" s="426">
        <f t="shared" si="2"/>
        <v>16297</v>
      </c>
      <c r="K20" s="428">
        <f t="shared" si="3"/>
        <v>1.0677812073914545E-2</v>
      </c>
    </row>
    <row r="21" spans="1:11" s="16" customFormat="1" ht="13.5" customHeight="1" x14ac:dyDescent="0.25">
      <c r="A21" s="314" t="s">
        <v>24</v>
      </c>
      <c r="B21" s="317">
        <v>2</v>
      </c>
      <c r="C21" s="37">
        <v>614496</v>
      </c>
      <c r="D21" s="182"/>
      <c r="E21" s="311">
        <f t="shared" si="0"/>
        <v>614496</v>
      </c>
      <c r="F21" s="122">
        <v>13298</v>
      </c>
      <c r="G21" s="15">
        <v>11097</v>
      </c>
      <c r="H21" s="39">
        <v>5709</v>
      </c>
      <c r="I21" s="425">
        <f t="shared" si="1"/>
        <v>633503</v>
      </c>
      <c r="J21" s="426">
        <f t="shared" si="2"/>
        <v>19007</v>
      </c>
      <c r="K21" s="428">
        <f t="shared" si="3"/>
        <v>3.0931039420923814E-2</v>
      </c>
    </row>
    <row r="22" spans="1:11" s="16" customFormat="1" ht="13.5" customHeight="1" x14ac:dyDescent="0.25">
      <c r="A22" s="314" t="s">
        <v>25</v>
      </c>
      <c r="B22" s="317">
        <v>2</v>
      </c>
      <c r="C22" s="37">
        <v>638127</v>
      </c>
      <c r="D22" s="182"/>
      <c r="E22" s="311">
        <f t="shared" si="0"/>
        <v>638127</v>
      </c>
      <c r="F22" s="122"/>
      <c r="G22" s="15">
        <v>15669.5</v>
      </c>
      <c r="H22" s="39">
        <v>8061</v>
      </c>
      <c r="I22" s="425">
        <f t="shared" si="1"/>
        <v>646188</v>
      </c>
      <c r="J22" s="426">
        <f t="shared" si="2"/>
        <v>8061</v>
      </c>
      <c r="K22" s="428">
        <f t="shared" si="3"/>
        <v>1.2632281661800865E-2</v>
      </c>
    </row>
    <row r="23" spans="1:11" s="16" customFormat="1" ht="13.5" customHeight="1" x14ac:dyDescent="0.25">
      <c r="A23" s="314" t="s">
        <v>26</v>
      </c>
      <c r="B23" s="317">
        <v>1</v>
      </c>
      <c r="C23" s="37">
        <v>558057</v>
      </c>
      <c r="D23" s="182">
        <v>1676</v>
      </c>
      <c r="E23" s="311">
        <f t="shared" si="0"/>
        <v>559733</v>
      </c>
      <c r="F23" s="122"/>
      <c r="G23" s="15">
        <v>12063</v>
      </c>
      <c r="H23" s="39">
        <v>6206</v>
      </c>
      <c r="I23" s="425">
        <f t="shared" si="1"/>
        <v>565939</v>
      </c>
      <c r="J23" s="426">
        <f t="shared" si="2"/>
        <v>7882</v>
      </c>
      <c r="K23" s="428">
        <f t="shared" si="3"/>
        <v>1.4124005253943594E-2</v>
      </c>
    </row>
    <row r="24" spans="1:11" s="16" customFormat="1" ht="13.5" customHeight="1" x14ac:dyDescent="0.25">
      <c r="A24" s="314" t="s">
        <v>27</v>
      </c>
      <c r="B24" s="317">
        <v>2</v>
      </c>
      <c r="C24" s="37">
        <v>669639</v>
      </c>
      <c r="D24" s="182"/>
      <c r="E24" s="311">
        <f t="shared" si="0"/>
        <v>669639</v>
      </c>
      <c r="F24" s="122"/>
      <c r="G24" s="15">
        <v>14271</v>
      </c>
      <c r="H24" s="39">
        <v>7342</v>
      </c>
      <c r="I24" s="425">
        <f t="shared" si="1"/>
        <v>676981</v>
      </c>
      <c r="J24" s="426">
        <f t="shared" si="2"/>
        <v>7342</v>
      </c>
      <c r="K24" s="428">
        <f t="shared" si="3"/>
        <v>1.0964116486644297E-2</v>
      </c>
    </row>
    <row r="25" spans="1:11" s="16" customFormat="1" ht="13.5" customHeight="1" x14ac:dyDescent="0.25">
      <c r="A25" s="314" t="s">
        <v>28</v>
      </c>
      <c r="B25" s="317">
        <v>2</v>
      </c>
      <c r="C25" s="37">
        <v>1021928</v>
      </c>
      <c r="D25" s="182"/>
      <c r="E25" s="311">
        <f t="shared" si="0"/>
        <v>1021928</v>
      </c>
      <c r="F25" s="122"/>
      <c r="G25" s="15">
        <v>24808.5</v>
      </c>
      <c r="H25" s="39">
        <v>12763</v>
      </c>
      <c r="I25" s="425">
        <f t="shared" si="1"/>
        <v>1034691</v>
      </c>
      <c r="J25" s="426">
        <f t="shared" si="2"/>
        <v>12763</v>
      </c>
      <c r="K25" s="428">
        <f t="shared" si="3"/>
        <v>1.2489138178032112E-2</v>
      </c>
    </row>
    <row r="26" spans="1:11" s="16" customFormat="1" ht="13.5" customHeight="1" x14ac:dyDescent="0.25">
      <c r="A26" s="314" t="s">
        <v>29</v>
      </c>
      <c r="B26" s="317">
        <v>3</v>
      </c>
      <c r="C26" s="37">
        <v>1438886</v>
      </c>
      <c r="D26" s="182"/>
      <c r="E26" s="311">
        <f t="shared" si="0"/>
        <v>1438886</v>
      </c>
      <c r="F26" s="122"/>
      <c r="G26" s="15">
        <v>36782.5</v>
      </c>
      <c r="H26" s="39">
        <v>18923</v>
      </c>
      <c r="I26" s="425">
        <f t="shared" si="1"/>
        <v>1457809</v>
      </c>
      <c r="J26" s="426">
        <f t="shared" si="2"/>
        <v>18923</v>
      </c>
      <c r="K26" s="428">
        <f t="shared" si="3"/>
        <v>1.3151146094965132E-2</v>
      </c>
    </row>
    <row r="27" spans="1:11" s="16" customFormat="1" ht="13.5" customHeight="1" x14ac:dyDescent="0.25">
      <c r="A27" s="314" t="s">
        <v>30</v>
      </c>
      <c r="B27" s="317">
        <v>5</v>
      </c>
      <c r="C27" s="37">
        <v>4003407</v>
      </c>
      <c r="D27" s="182">
        <v>4374</v>
      </c>
      <c r="E27" s="311">
        <f t="shared" si="0"/>
        <v>4007781</v>
      </c>
      <c r="F27" s="122">
        <v>78222</v>
      </c>
      <c r="G27" s="15">
        <v>142218</v>
      </c>
      <c r="H27" s="39">
        <v>73164</v>
      </c>
      <c r="I27" s="425">
        <f t="shared" si="1"/>
        <v>4159167</v>
      </c>
      <c r="J27" s="426">
        <f t="shared" si="2"/>
        <v>155760</v>
      </c>
      <c r="K27" s="428">
        <f t="shared" si="3"/>
        <v>3.8906861081074197E-2</v>
      </c>
    </row>
    <row r="28" spans="1:11" s="16" customFormat="1" ht="13.5" customHeight="1" x14ac:dyDescent="0.25">
      <c r="A28" s="314" t="s">
        <v>31</v>
      </c>
      <c r="B28" s="317">
        <v>4</v>
      </c>
      <c r="C28" s="37">
        <v>2287647</v>
      </c>
      <c r="D28" s="182">
        <v>693</v>
      </c>
      <c r="E28" s="311">
        <f t="shared" si="0"/>
        <v>2288340</v>
      </c>
      <c r="F28" s="122"/>
      <c r="G28" s="15">
        <v>65678.5</v>
      </c>
      <c r="H28" s="39">
        <v>33788</v>
      </c>
      <c r="I28" s="425">
        <f t="shared" si="1"/>
        <v>2322128</v>
      </c>
      <c r="J28" s="426">
        <f t="shared" si="2"/>
        <v>34481</v>
      </c>
      <c r="K28" s="428">
        <f t="shared" si="3"/>
        <v>1.5072692596366484E-2</v>
      </c>
    </row>
    <row r="29" spans="1:11" s="16" customFormat="1" ht="13.5" customHeight="1" x14ac:dyDescent="0.25">
      <c r="A29" s="314" t="s">
        <v>32</v>
      </c>
      <c r="B29" s="317">
        <v>8</v>
      </c>
      <c r="C29" s="37">
        <v>35834370</v>
      </c>
      <c r="D29" s="182">
        <v>84588</v>
      </c>
      <c r="E29" s="311">
        <f t="shared" si="0"/>
        <v>35918958</v>
      </c>
      <c r="F29" s="122"/>
      <c r="G29" s="15">
        <v>1373579</v>
      </c>
      <c r="H29" s="39">
        <f>706633-1</f>
        <v>706632</v>
      </c>
      <c r="I29" s="425">
        <f t="shared" si="1"/>
        <v>36625590</v>
      </c>
      <c r="J29" s="426">
        <f t="shared" si="2"/>
        <v>791220</v>
      </c>
      <c r="K29" s="428">
        <f t="shared" si="3"/>
        <v>2.2079919362332865E-2</v>
      </c>
    </row>
    <row r="30" spans="1:11" s="16" customFormat="1" ht="13.5" customHeight="1" x14ac:dyDescent="0.25">
      <c r="A30" s="314" t="s">
        <v>33</v>
      </c>
      <c r="B30" s="317">
        <v>2</v>
      </c>
      <c r="C30" s="37">
        <v>670053</v>
      </c>
      <c r="D30" s="182"/>
      <c r="E30" s="311">
        <f t="shared" si="0"/>
        <v>670053</v>
      </c>
      <c r="F30" s="122"/>
      <c r="G30" s="15">
        <v>16001.5</v>
      </c>
      <c r="H30" s="39">
        <v>8232</v>
      </c>
      <c r="I30" s="425">
        <f t="shared" si="1"/>
        <v>678285</v>
      </c>
      <c r="J30" s="426">
        <f t="shared" si="2"/>
        <v>8232</v>
      </c>
      <c r="K30" s="428">
        <f t="shared" si="3"/>
        <v>1.2285595318579277E-2</v>
      </c>
    </row>
    <row r="31" spans="1:11" s="16" customFormat="1" ht="13.5" customHeight="1" x14ac:dyDescent="0.25">
      <c r="A31" s="314" t="s">
        <v>34</v>
      </c>
      <c r="B31" s="317">
        <v>4</v>
      </c>
      <c r="C31" s="37">
        <v>3299276</v>
      </c>
      <c r="D31" s="182">
        <v>5043</v>
      </c>
      <c r="E31" s="311">
        <f t="shared" si="0"/>
        <v>3304319</v>
      </c>
      <c r="F31" s="122"/>
      <c r="G31" s="15">
        <v>98541</v>
      </c>
      <c r="H31" s="39">
        <v>50694</v>
      </c>
      <c r="I31" s="425">
        <f t="shared" si="1"/>
        <v>3355013</v>
      </c>
      <c r="J31" s="426">
        <f t="shared" si="2"/>
        <v>55737</v>
      </c>
      <c r="K31" s="428">
        <f t="shared" si="3"/>
        <v>1.689370637679297E-2</v>
      </c>
    </row>
    <row r="32" spans="1:11" s="16" customFormat="1" ht="13.5" customHeight="1" x14ac:dyDescent="0.25">
      <c r="A32" s="314" t="s">
        <v>35</v>
      </c>
      <c r="B32" s="317">
        <v>3</v>
      </c>
      <c r="C32" s="37">
        <v>1255824</v>
      </c>
      <c r="D32" s="182"/>
      <c r="E32" s="311">
        <f t="shared" si="0"/>
        <v>1255824</v>
      </c>
      <c r="F32" s="122"/>
      <c r="G32" s="15">
        <v>31307.5</v>
      </c>
      <c r="H32" s="39">
        <v>16106</v>
      </c>
      <c r="I32" s="425">
        <f t="shared" si="1"/>
        <v>1271930</v>
      </c>
      <c r="J32" s="426">
        <f t="shared" si="2"/>
        <v>16106</v>
      </c>
      <c r="K32" s="428">
        <f t="shared" si="3"/>
        <v>1.2825045547783766E-2</v>
      </c>
    </row>
    <row r="33" spans="1:11" s="16" customFormat="1" ht="13.5" customHeight="1" x14ac:dyDescent="0.25">
      <c r="A33" s="314" t="s">
        <v>36</v>
      </c>
      <c r="B33" s="317">
        <v>2</v>
      </c>
      <c r="C33" s="37">
        <v>565956</v>
      </c>
      <c r="D33" s="182"/>
      <c r="E33" s="311">
        <f t="shared" si="0"/>
        <v>565956</v>
      </c>
      <c r="F33" s="122"/>
      <c r="G33" s="15">
        <v>13994.5</v>
      </c>
      <c r="H33" s="39">
        <v>7199</v>
      </c>
      <c r="I33" s="425">
        <f t="shared" si="1"/>
        <v>573155</v>
      </c>
      <c r="J33" s="426">
        <f t="shared" si="2"/>
        <v>7199</v>
      </c>
      <c r="K33" s="428">
        <f t="shared" si="3"/>
        <v>1.2720070111457428E-2</v>
      </c>
    </row>
    <row r="34" spans="1:11" s="16" customFormat="1" ht="13.5" customHeight="1" x14ac:dyDescent="0.25">
      <c r="A34" s="314" t="s">
        <v>37</v>
      </c>
      <c r="B34" s="317">
        <v>1</v>
      </c>
      <c r="C34" s="37">
        <v>343958</v>
      </c>
      <c r="D34" s="182"/>
      <c r="E34" s="311">
        <f t="shared" ref="E34:E65" si="4">C34+D34</f>
        <v>343958</v>
      </c>
      <c r="F34" s="122"/>
      <c r="G34" s="15">
        <v>4576</v>
      </c>
      <c r="H34" s="39">
        <f>2354</f>
        <v>2354</v>
      </c>
      <c r="I34" s="425">
        <f t="shared" ref="I34:I65" si="5">E34+F34+H34</f>
        <v>346312</v>
      </c>
      <c r="J34" s="426">
        <f t="shared" ref="J34:J65" si="6">I34-C34</f>
        <v>2354</v>
      </c>
      <c r="K34" s="428">
        <f t="shared" ref="K34:K65" si="7">J34/C34</f>
        <v>6.8438588432308597E-3</v>
      </c>
    </row>
    <row r="35" spans="1:11" s="16" customFormat="1" ht="13.5" customHeight="1" x14ac:dyDescent="0.25">
      <c r="A35" s="314" t="s">
        <v>38</v>
      </c>
      <c r="B35" s="317">
        <v>5</v>
      </c>
      <c r="C35" s="37">
        <v>7214798</v>
      </c>
      <c r="D35" s="182">
        <v>15437</v>
      </c>
      <c r="E35" s="311">
        <f t="shared" si="4"/>
        <v>7230235</v>
      </c>
      <c r="F35" s="122">
        <v>156444</v>
      </c>
      <c r="G35" s="15">
        <v>239337.5</v>
      </c>
      <c r="H35" s="39">
        <v>123126</v>
      </c>
      <c r="I35" s="425">
        <f t="shared" si="5"/>
        <v>7509805</v>
      </c>
      <c r="J35" s="426">
        <f t="shared" si="6"/>
        <v>295007</v>
      </c>
      <c r="K35" s="428">
        <f t="shared" si="7"/>
        <v>4.0889155871030626E-2</v>
      </c>
    </row>
    <row r="36" spans="1:11" s="16" customFormat="1" ht="13.5" customHeight="1" x14ac:dyDescent="0.25">
      <c r="A36" s="314" t="s">
        <v>39</v>
      </c>
      <c r="B36" s="317">
        <v>7</v>
      </c>
      <c r="C36" s="37">
        <v>13753772</v>
      </c>
      <c r="D36" s="182">
        <v>29967</v>
      </c>
      <c r="E36" s="311">
        <f t="shared" si="4"/>
        <v>13783739</v>
      </c>
      <c r="F36" s="122"/>
      <c r="G36" s="15">
        <v>609639.5</v>
      </c>
      <c r="H36" s="39">
        <v>313627</v>
      </c>
      <c r="I36" s="425">
        <f t="shared" si="5"/>
        <v>14097366</v>
      </c>
      <c r="J36" s="426">
        <f t="shared" si="6"/>
        <v>343594</v>
      </c>
      <c r="K36" s="428">
        <f t="shared" si="7"/>
        <v>2.4981801356020735E-2</v>
      </c>
    </row>
    <row r="37" spans="1:11" s="16" customFormat="1" ht="13.5" customHeight="1" x14ac:dyDescent="0.25">
      <c r="A37" s="314" t="s">
        <v>40</v>
      </c>
      <c r="B37" s="317">
        <v>5</v>
      </c>
      <c r="C37" s="37">
        <v>6810411</v>
      </c>
      <c r="D37" s="182">
        <v>6260</v>
      </c>
      <c r="E37" s="311">
        <f t="shared" si="4"/>
        <v>6816671</v>
      </c>
      <c r="F37" s="122">
        <v>78222</v>
      </c>
      <c r="G37" s="15">
        <v>204196</v>
      </c>
      <c r="H37" s="39">
        <v>105048</v>
      </c>
      <c r="I37" s="425">
        <f t="shared" si="5"/>
        <v>6999941</v>
      </c>
      <c r="J37" s="426">
        <f t="shared" si="6"/>
        <v>189530</v>
      </c>
      <c r="K37" s="428">
        <f t="shared" si="7"/>
        <v>2.782945111535853E-2</v>
      </c>
    </row>
    <row r="38" spans="1:11" s="16" customFormat="1" ht="13.5" customHeight="1" x14ac:dyDescent="0.25">
      <c r="A38" s="314" t="s">
        <v>41</v>
      </c>
      <c r="B38" s="317">
        <v>3</v>
      </c>
      <c r="C38" s="37">
        <v>1307660</v>
      </c>
      <c r="D38" s="182"/>
      <c r="E38" s="311">
        <f t="shared" si="4"/>
        <v>1307660</v>
      </c>
      <c r="F38" s="122">
        <v>13298</v>
      </c>
      <c r="G38" s="15">
        <v>35856</v>
      </c>
      <c r="H38" s="39">
        <v>18446</v>
      </c>
      <c r="I38" s="425">
        <f t="shared" si="5"/>
        <v>1339404</v>
      </c>
      <c r="J38" s="426">
        <f t="shared" si="6"/>
        <v>31744</v>
      </c>
      <c r="K38" s="428">
        <f t="shared" si="7"/>
        <v>2.4275423275163268E-2</v>
      </c>
    </row>
    <row r="39" spans="1:11" s="16" customFormat="1" ht="13.5" customHeight="1" x14ac:dyDescent="0.25">
      <c r="A39" s="314" t="s">
        <v>42</v>
      </c>
      <c r="B39" s="317">
        <v>1</v>
      </c>
      <c r="C39" s="37">
        <v>360605</v>
      </c>
      <c r="D39" s="182"/>
      <c r="E39" s="311">
        <f t="shared" si="4"/>
        <v>360605</v>
      </c>
      <c r="F39" s="122"/>
      <c r="G39" s="15">
        <v>5300</v>
      </c>
      <c r="H39" s="39">
        <f>2727</f>
        <v>2727</v>
      </c>
      <c r="I39" s="425">
        <f t="shared" si="5"/>
        <v>363332</v>
      </c>
      <c r="J39" s="426">
        <f t="shared" si="6"/>
        <v>2727</v>
      </c>
      <c r="K39" s="428">
        <f t="shared" si="7"/>
        <v>7.562291149595818E-3</v>
      </c>
    </row>
    <row r="40" spans="1:11" s="16" customFormat="1" ht="13.5" customHeight="1" x14ac:dyDescent="0.25">
      <c r="A40" s="314" t="s">
        <v>43</v>
      </c>
      <c r="B40" s="317">
        <v>3</v>
      </c>
      <c r="C40" s="37">
        <v>648064</v>
      </c>
      <c r="D40" s="182"/>
      <c r="E40" s="311">
        <f t="shared" si="4"/>
        <v>648064</v>
      </c>
      <c r="F40" s="122"/>
      <c r="G40" s="15">
        <v>26518</v>
      </c>
      <c r="H40" s="39">
        <v>13642</v>
      </c>
      <c r="I40" s="425">
        <f t="shared" si="5"/>
        <v>661706</v>
      </c>
      <c r="J40" s="426">
        <f t="shared" si="6"/>
        <v>13642</v>
      </c>
      <c r="K40" s="428">
        <f t="shared" si="7"/>
        <v>2.1050390084929885E-2</v>
      </c>
    </row>
    <row r="41" spans="1:11" s="16" customFormat="1" ht="13.5" customHeight="1" x14ac:dyDescent="0.25">
      <c r="A41" s="314" t="s">
        <v>44</v>
      </c>
      <c r="B41" s="317">
        <v>6</v>
      </c>
      <c r="C41" s="37">
        <v>6884221</v>
      </c>
      <c r="D41" s="182">
        <v>15768</v>
      </c>
      <c r="E41" s="311">
        <f t="shared" si="4"/>
        <v>6899989</v>
      </c>
      <c r="F41" s="122">
        <v>156444</v>
      </c>
      <c r="G41" s="15">
        <v>257677</v>
      </c>
      <c r="H41" s="39">
        <v>132561</v>
      </c>
      <c r="I41" s="425">
        <f t="shared" si="5"/>
        <v>7188994</v>
      </c>
      <c r="J41" s="426">
        <f t="shared" si="6"/>
        <v>304773</v>
      </c>
      <c r="K41" s="428">
        <f t="shared" si="7"/>
        <v>4.4271239984887176E-2</v>
      </c>
    </row>
    <row r="42" spans="1:11" s="16" customFormat="1" ht="13.5" customHeight="1" x14ac:dyDescent="0.25">
      <c r="A42" s="314" t="s">
        <v>45</v>
      </c>
      <c r="B42" s="317">
        <v>5</v>
      </c>
      <c r="C42" s="37">
        <v>7612138</v>
      </c>
      <c r="D42" s="182">
        <v>13415</v>
      </c>
      <c r="E42" s="311">
        <f t="shared" si="4"/>
        <v>7625553</v>
      </c>
      <c r="F42" s="122">
        <v>156444</v>
      </c>
      <c r="G42" s="15">
        <v>274953.5</v>
      </c>
      <c r="H42" s="39">
        <v>141449</v>
      </c>
      <c r="I42" s="425">
        <f t="shared" si="5"/>
        <v>7923446</v>
      </c>
      <c r="J42" s="426">
        <f t="shared" si="6"/>
        <v>311308</v>
      </c>
      <c r="K42" s="428">
        <f t="shared" si="7"/>
        <v>4.0896263309992541E-2</v>
      </c>
    </row>
    <row r="43" spans="1:11" s="16" customFormat="1" ht="13.5" customHeight="1" x14ac:dyDescent="0.25">
      <c r="A43" s="314" t="s">
        <v>46</v>
      </c>
      <c r="B43" s="317">
        <v>4</v>
      </c>
      <c r="C43" s="37">
        <v>4008040</v>
      </c>
      <c r="D43" s="182">
        <v>8412</v>
      </c>
      <c r="E43" s="311">
        <f t="shared" si="4"/>
        <v>4016452</v>
      </c>
      <c r="F43" s="122"/>
      <c r="G43" s="15">
        <v>123139</v>
      </c>
      <c r="H43" s="39">
        <v>63348</v>
      </c>
      <c r="I43" s="425">
        <f t="shared" si="5"/>
        <v>4079800</v>
      </c>
      <c r="J43" s="426">
        <f t="shared" si="6"/>
        <v>71760</v>
      </c>
      <c r="K43" s="428">
        <f t="shared" si="7"/>
        <v>1.7904012934002653E-2</v>
      </c>
    </row>
    <row r="44" spans="1:11" s="16" customFormat="1" ht="13.5" customHeight="1" x14ac:dyDescent="0.25">
      <c r="A44" s="314" t="s">
        <v>47</v>
      </c>
      <c r="B44" s="317">
        <v>8</v>
      </c>
      <c r="C44" s="37">
        <v>83295613</v>
      </c>
      <c r="D44" s="182">
        <v>213440</v>
      </c>
      <c r="E44" s="311">
        <f t="shared" si="4"/>
        <v>83509053</v>
      </c>
      <c r="F44" s="122">
        <v>547554</v>
      </c>
      <c r="G44" s="15">
        <v>3738430.5</v>
      </c>
      <c r="H44" s="39">
        <f>1923223-1</f>
        <v>1923222</v>
      </c>
      <c r="I44" s="425">
        <f t="shared" si="5"/>
        <v>85979829</v>
      </c>
      <c r="J44" s="426">
        <f t="shared" si="6"/>
        <v>2684216</v>
      </c>
      <c r="K44" s="428">
        <f t="shared" si="7"/>
        <v>3.2225178533712213E-2</v>
      </c>
    </row>
    <row r="45" spans="1:11" s="16" customFormat="1" ht="13.5" customHeight="1" x14ac:dyDescent="0.25">
      <c r="A45" s="314" t="s">
        <v>48</v>
      </c>
      <c r="B45" s="317">
        <v>5</v>
      </c>
      <c r="C45" s="37">
        <v>4130386</v>
      </c>
      <c r="D45" s="182">
        <v>6870</v>
      </c>
      <c r="E45" s="311">
        <f t="shared" si="4"/>
        <v>4137256</v>
      </c>
      <c r="F45" s="122"/>
      <c r="G45" s="15">
        <v>119555</v>
      </c>
      <c r="H45" s="39">
        <v>61505</v>
      </c>
      <c r="I45" s="425">
        <f t="shared" si="5"/>
        <v>4198761</v>
      </c>
      <c r="J45" s="426">
        <f t="shared" si="6"/>
        <v>68375</v>
      </c>
      <c r="K45" s="428">
        <f t="shared" si="7"/>
        <v>1.6554142881561189E-2</v>
      </c>
    </row>
    <row r="46" spans="1:11" s="16" customFormat="1" ht="13.5" customHeight="1" x14ac:dyDescent="0.25">
      <c r="A46" s="314" t="s">
        <v>49</v>
      </c>
      <c r="B46" s="317">
        <v>4</v>
      </c>
      <c r="C46" s="37">
        <v>1820759</v>
      </c>
      <c r="D46" s="182">
        <v>3918</v>
      </c>
      <c r="E46" s="311">
        <f t="shared" si="4"/>
        <v>1824677</v>
      </c>
      <c r="F46" s="122">
        <v>78222</v>
      </c>
      <c r="G46" s="15">
        <v>62457</v>
      </c>
      <c r="H46" s="39">
        <v>32131</v>
      </c>
      <c r="I46" s="425">
        <f t="shared" si="5"/>
        <v>1935030</v>
      </c>
      <c r="J46" s="426">
        <f t="shared" si="6"/>
        <v>114271</v>
      </c>
      <c r="K46" s="428">
        <f t="shared" si="7"/>
        <v>6.2760090709423927E-2</v>
      </c>
    </row>
    <row r="47" spans="1:11" s="16" customFormat="1" ht="13.5" customHeight="1" x14ac:dyDescent="0.25">
      <c r="A47" s="314" t="s">
        <v>50</v>
      </c>
      <c r="B47" s="317">
        <v>5</v>
      </c>
      <c r="C47" s="37">
        <v>4274112</v>
      </c>
      <c r="D47" s="182">
        <v>1002</v>
      </c>
      <c r="E47" s="311">
        <f t="shared" si="4"/>
        <v>4275114</v>
      </c>
      <c r="F47" s="122"/>
      <c r="G47" s="15">
        <v>156357</v>
      </c>
      <c r="H47" s="39">
        <v>80437</v>
      </c>
      <c r="I47" s="425">
        <f t="shared" si="5"/>
        <v>4355551</v>
      </c>
      <c r="J47" s="426">
        <f t="shared" si="6"/>
        <v>81439</v>
      </c>
      <c r="K47" s="428">
        <f t="shared" si="7"/>
        <v>1.9054016366440562E-2</v>
      </c>
    </row>
    <row r="48" spans="1:11" s="16" customFormat="1" ht="13.5" customHeight="1" x14ac:dyDescent="0.25">
      <c r="A48" s="314" t="s">
        <v>51</v>
      </c>
      <c r="B48" s="317">
        <v>3</v>
      </c>
      <c r="C48" s="37">
        <v>1472937</v>
      </c>
      <c r="D48" s="182">
        <v>3055</v>
      </c>
      <c r="E48" s="311">
        <f t="shared" si="4"/>
        <v>1475992</v>
      </c>
      <c r="F48" s="122"/>
      <c r="G48" s="15">
        <v>40816</v>
      </c>
      <c r="H48" s="39">
        <v>20998</v>
      </c>
      <c r="I48" s="425">
        <f t="shared" si="5"/>
        <v>1496990</v>
      </c>
      <c r="J48" s="426">
        <f t="shared" si="6"/>
        <v>24053</v>
      </c>
      <c r="K48" s="428">
        <f t="shared" si="7"/>
        <v>1.6329958443572264E-2</v>
      </c>
    </row>
    <row r="49" spans="1:11" s="16" customFormat="1" ht="13.5" customHeight="1" x14ac:dyDescent="0.25">
      <c r="A49" s="314" t="s">
        <v>52</v>
      </c>
      <c r="B49" s="317">
        <v>8</v>
      </c>
      <c r="C49" s="37">
        <v>34409249</v>
      </c>
      <c r="D49" s="182">
        <v>78867</v>
      </c>
      <c r="E49" s="311">
        <f t="shared" si="4"/>
        <v>34488116</v>
      </c>
      <c r="F49" s="122">
        <v>156444</v>
      </c>
      <c r="G49" s="15">
        <v>1488836.5</v>
      </c>
      <c r="H49" s="39">
        <f>765927</f>
        <v>765927</v>
      </c>
      <c r="I49" s="425">
        <f t="shared" si="5"/>
        <v>35410487</v>
      </c>
      <c r="J49" s="426">
        <f t="shared" si="6"/>
        <v>1001238</v>
      </c>
      <c r="K49" s="428">
        <f t="shared" si="7"/>
        <v>2.9097932361150922E-2</v>
      </c>
    </row>
    <row r="50" spans="1:11" s="16" customFormat="1" ht="13.5" customHeight="1" x14ac:dyDescent="0.25">
      <c r="A50" s="314" t="s">
        <v>53</v>
      </c>
      <c r="B50" s="317">
        <v>6</v>
      </c>
      <c r="C50" s="37">
        <v>8991338</v>
      </c>
      <c r="D50" s="182">
        <v>11169</v>
      </c>
      <c r="E50" s="311">
        <f t="shared" si="4"/>
        <v>9002507</v>
      </c>
      <c r="F50" s="122">
        <v>78222</v>
      </c>
      <c r="G50" s="15">
        <v>340616</v>
      </c>
      <c r="H50" s="39">
        <v>175229</v>
      </c>
      <c r="I50" s="425">
        <f t="shared" si="5"/>
        <v>9255958</v>
      </c>
      <c r="J50" s="426">
        <f t="shared" si="6"/>
        <v>264620</v>
      </c>
      <c r="K50" s="428">
        <f t="shared" si="7"/>
        <v>2.9430547489150114E-2</v>
      </c>
    </row>
    <row r="51" spans="1:11" s="16" customFormat="1" ht="13.5" customHeight="1" x14ac:dyDescent="0.25">
      <c r="A51" s="314" t="s">
        <v>54</v>
      </c>
      <c r="B51" s="317">
        <v>8</v>
      </c>
      <c r="C51" s="37">
        <v>34557372</v>
      </c>
      <c r="D51" s="182">
        <v>72411</v>
      </c>
      <c r="E51" s="311">
        <f t="shared" si="4"/>
        <v>34629783</v>
      </c>
      <c r="F51" s="122">
        <v>234666</v>
      </c>
      <c r="G51" s="15">
        <v>1151981.5</v>
      </c>
      <c r="H51" s="39">
        <v>592633</v>
      </c>
      <c r="I51" s="425">
        <f t="shared" si="5"/>
        <v>35457082</v>
      </c>
      <c r="J51" s="426">
        <f t="shared" si="6"/>
        <v>899710</v>
      </c>
      <c r="K51" s="428">
        <f t="shared" si="7"/>
        <v>2.6035255227162529E-2</v>
      </c>
    </row>
    <row r="52" spans="1:11" s="16" customFormat="1" ht="13.5" customHeight="1" x14ac:dyDescent="0.25">
      <c r="A52" s="314" t="s">
        <v>55</v>
      </c>
      <c r="B52" s="317">
        <v>6</v>
      </c>
      <c r="C52" s="37">
        <v>13281406</v>
      </c>
      <c r="D52" s="182">
        <v>30985</v>
      </c>
      <c r="E52" s="311">
        <f t="shared" si="4"/>
        <v>13312391</v>
      </c>
      <c r="F52" s="122"/>
      <c r="G52" s="15">
        <v>353999</v>
      </c>
      <c r="H52" s="39">
        <v>182114</v>
      </c>
      <c r="I52" s="425">
        <f t="shared" si="5"/>
        <v>13494505</v>
      </c>
      <c r="J52" s="426">
        <f t="shared" si="6"/>
        <v>213099</v>
      </c>
      <c r="K52" s="428">
        <f t="shared" si="7"/>
        <v>1.6044912714813477E-2</v>
      </c>
    </row>
    <row r="53" spans="1:11" s="16" customFormat="1" ht="13.5" customHeight="1" x14ac:dyDescent="0.25">
      <c r="A53" s="314" t="s">
        <v>56</v>
      </c>
      <c r="B53" s="317">
        <v>7</v>
      </c>
      <c r="C53" s="37">
        <v>25966935</v>
      </c>
      <c r="D53" s="182">
        <v>67366</v>
      </c>
      <c r="E53" s="311">
        <f t="shared" si="4"/>
        <v>26034301</v>
      </c>
      <c r="F53" s="122"/>
      <c r="G53" s="15">
        <v>694289</v>
      </c>
      <c r="H53" s="39">
        <v>357175</v>
      </c>
      <c r="I53" s="425">
        <f t="shared" si="5"/>
        <v>26391476</v>
      </c>
      <c r="J53" s="426">
        <f t="shared" si="6"/>
        <v>424541</v>
      </c>
      <c r="K53" s="428">
        <f t="shared" si="7"/>
        <v>1.6349291897561263E-2</v>
      </c>
    </row>
    <row r="54" spans="1:11" s="16" customFormat="1" ht="13.5" customHeight="1" x14ac:dyDescent="0.25">
      <c r="A54" s="314" t="s">
        <v>57</v>
      </c>
      <c r="B54" s="317">
        <v>7</v>
      </c>
      <c r="C54" s="37">
        <v>14703061</v>
      </c>
      <c r="D54" s="182">
        <v>36789</v>
      </c>
      <c r="E54" s="311">
        <f t="shared" si="4"/>
        <v>14739850</v>
      </c>
      <c r="F54" s="122">
        <v>234666</v>
      </c>
      <c r="G54" s="15">
        <v>683255</v>
      </c>
      <c r="H54" s="39">
        <v>351498</v>
      </c>
      <c r="I54" s="425">
        <f t="shared" si="5"/>
        <v>15326014</v>
      </c>
      <c r="J54" s="426">
        <f t="shared" si="6"/>
        <v>622953</v>
      </c>
      <c r="K54" s="428">
        <f t="shared" si="7"/>
        <v>4.2368932564450353E-2</v>
      </c>
    </row>
    <row r="55" spans="1:11" s="16" customFormat="1" ht="13.5" customHeight="1" x14ac:dyDescent="0.25">
      <c r="A55" s="314" t="s">
        <v>58</v>
      </c>
      <c r="B55" s="317">
        <v>4</v>
      </c>
      <c r="C55" s="37">
        <v>2469317</v>
      </c>
      <c r="D55" s="182">
        <v>170</v>
      </c>
      <c r="E55" s="311">
        <f t="shared" si="4"/>
        <v>2469487</v>
      </c>
      <c r="F55" s="122"/>
      <c r="G55" s="15">
        <v>63813.5</v>
      </c>
      <c r="H55" s="39">
        <v>32829</v>
      </c>
      <c r="I55" s="425">
        <f t="shared" si="5"/>
        <v>2502316</v>
      </c>
      <c r="J55" s="426">
        <f t="shared" si="6"/>
        <v>32999</v>
      </c>
      <c r="K55" s="428">
        <f t="shared" si="7"/>
        <v>1.3363614311163775E-2</v>
      </c>
    </row>
    <row r="56" spans="1:11" s="16" customFormat="1" ht="13.5" customHeight="1" x14ac:dyDescent="0.25">
      <c r="A56" s="314" t="s">
        <v>59</v>
      </c>
      <c r="B56" s="317">
        <v>5</v>
      </c>
      <c r="C56" s="37">
        <v>4249289</v>
      </c>
      <c r="D56" s="182">
        <v>9927</v>
      </c>
      <c r="E56" s="311">
        <f t="shared" si="4"/>
        <v>4259216</v>
      </c>
      <c r="F56" s="122">
        <v>78222</v>
      </c>
      <c r="G56" s="15">
        <v>186641.5</v>
      </c>
      <c r="H56" s="39">
        <v>96017</v>
      </c>
      <c r="I56" s="425">
        <f t="shared" si="5"/>
        <v>4433455</v>
      </c>
      <c r="J56" s="426">
        <f t="shared" si="6"/>
        <v>184166</v>
      </c>
      <c r="K56" s="428">
        <f t="shared" si="7"/>
        <v>4.3340427069093204E-2</v>
      </c>
    </row>
    <row r="57" spans="1:11" s="16" customFormat="1" ht="13.5" customHeight="1" x14ac:dyDescent="0.25">
      <c r="A57" s="314" t="s">
        <v>60</v>
      </c>
      <c r="B57" s="317">
        <v>5</v>
      </c>
      <c r="C57" s="37">
        <v>7712313</v>
      </c>
      <c r="D57" s="182">
        <v>11110</v>
      </c>
      <c r="E57" s="311">
        <f t="shared" si="4"/>
        <v>7723423</v>
      </c>
      <c r="F57" s="122">
        <v>78222</v>
      </c>
      <c r="G57" s="15">
        <v>254210.5</v>
      </c>
      <c r="H57" s="39">
        <v>130778</v>
      </c>
      <c r="I57" s="425">
        <f t="shared" si="5"/>
        <v>7932423</v>
      </c>
      <c r="J57" s="426">
        <f t="shared" si="6"/>
        <v>220110</v>
      </c>
      <c r="K57" s="428">
        <f t="shared" si="7"/>
        <v>2.8540076109462881E-2</v>
      </c>
    </row>
    <row r="58" spans="1:11" s="16" customFormat="1" ht="13.5" customHeight="1" x14ac:dyDescent="0.25">
      <c r="A58" s="314" t="s">
        <v>61</v>
      </c>
      <c r="B58" s="317">
        <v>5</v>
      </c>
      <c r="C58" s="37">
        <v>3914945</v>
      </c>
      <c r="D58" s="182">
        <v>7101</v>
      </c>
      <c r="E58" s="311">
        <f t="shared" si="4"/>
        <v>3922046</v>
      </c>
      <c r="F58" s="122"/>
      <c r="G58" s="15">
        <v>117758</v>
      </c>
      <c r="H58" s="39">
        <v>60580</v>
      </c>
      <c r="I58" s="425">
        <f t="shared" si="5"/>
        <v>3982626</v>
      </c>
      <c r="J58" s="426">
        <f t="shared" si="6"/>
        <v>67681</v>
      </c>
      <c r="K58" s="428">
        <f t="shared" si="7"/>
        <v>1.728785461864726E-2</v>
      </c>
    </row>
    <row r="59" spans="1:11" s="16" customFormat="1" ht="13.5" customHeight="1" x14ac:dyDescent="0.25">
      <c r="A59" s="314" t="s">
        <v>62</v>
      </c>
      <c r="B59" s="317">
        <v>6</v>
      </c>
      <c r="C59" s="37">
        <v>9443102</v>
      </c>
      <c r="D59" s="182">
        <v>18645</v>
      </c>
      <c r="E59" s="311">
        <f t="shared" si="4"/>
        <v>9461747</v>
      </c>
      <c r="F59" s="122">
        <v>78222</v>
      </c>
      <c r="G59" s="15">
        <v>313159</v>
      </c>
      <c r="H59" s="39">
        <v>161104</v>
      </c>
      <c r="I59" s="425">
        <f t="shared" si="5"/>
        <v>9701073</v>
      </c>
      <c r="J59" s="426">
        <f t="shared" si="6"/>
        <v>257971</v>
      </c>
      <c r="K59" s="428">
        <f t="shared" si="7"/>
        <v>2.7318459548567833E-2</v>
      </c>
    </row>
    <row r="60" spans="1:11" s="16" customFormat="1" ht="13.5" customHeight="1" x14ac:dyDescent="0.25">
      <c r="A60" s="314" t="s">
        <v>63</v>
      </c>
      <c r="B60" s="317">
        <v>6</v>
      </c>
      <c r="C60" s="37">
        <v>10199230</v>
      </c>
      <c r="D60" s="182">
        <v>13421</v>
      </c>
      <c r="E60" s="311">
        <f t="shared" si="4"/>
        <v>10212651</v>
      </c>
      <c r="F60" s="122"/>
      <c r="G60" s="15">
        <v>365175</v>
      </c>
      <c r="H60" s="39">
        <v>187863</v>
      </c>
      <c r="I60" s="425">
        <f t="shared" si="5"/>
        <v>10400514</v>
      </c>
      <c r="J60" s="426">
        <f t="shared" si="6"/>
        <v>201284</v>
      </c>
      <c r="K60" s="428">
        <f t="shared" si="7"/>
        <v>1.973521530546914E-2</v>
      </c>
    </row>
    <row r="61" spans="1:11" s="16" customFormat="1" ht="13.5" customHeight="1" x14ac:dyDescent="0.25">
      <c r="A61" s="314" t="s">
        <v>64</v>
      </c>
      <c r="B61" s="317">
        <v>4</v>
      </c>
      <c r="C61" s="37">
        <v>2255831</v>
      </c>
      <c r="D61" s="182">
        <v>3065</v>
      </c>
      <c r="E61" s="311">
        <f t="shared" si="4"/>
        <v>2258896</v>
      </c>
      <c r="F61" s="122">
        <v>117333</v>
      </c>
      <c r="G61" s="15">
        <v>82572</v>
      </c>
      <c r="H61" s="39">
        <v>42479</v>
      </c>
      <c r="I61" s="425">
        <f t="shared" si="5"/>
        <v>2418708</v>
      </c>
      <c r="J61" s="426">
        <f t="shared" si="6"/>
        <v>162877</v>
      </c>
      <c r="K61" s="428">
        <f t="shared" si="7"/>
        <v>7.220266057164744E-2</v>
      </c>
    </row>
    <row r="62" spans="1:11" s="16" customFormat="1" ht="13.5" customHeight="1" x14ac:dyDescent="0.25">
      <c r="A62" s="314" t="s">
        <v>65</v>
      </c>
      <c r="B62" s="317">
        <v>3</v>
      </c>
      <c r="C62" s="37">
        <v>1344959</v>
      </c>
      <c r="D62" s="182"/>
      <c r="E62" s="311">
        <f t="shared" si="4"/>
        <v>1344959</v>
      </c>
      <c r="F62" s="122"/>
      <c r="G62" s="15">
        <v>33098.5</v>
      </c>
      <c r="H62" s="39">
        <v>17027</v>
      </c>
      <c r="I62" s="425">
        <f t="shared" si="5"/>
        <v>1361986</v>
      </c>
      <c r="J62" s="426">
        <f t="shared" si="6"/>
        <v>17027</v>
      </c>
      <c r="K62" s="428">
        <f t="shared" si="7"/>
        <v>1.2659865468017985E-2</v>
      </c>
    </row>
    <row r="63" spans="1:11" s="16" customFormat="1" ht="13.5" customHeight="1" x14ac:dyDescent="0.25">
      <c r="A63" s="314" t="s">
        <v>66</v>
      </c>
      <c r="B63" s="317">
        <v>2</v>
      </c>
      <c r="C63" s="37">
        <v>648825</v>
      </c>
      <c r="D63" s="182"/>
      <c r="E63" s="311">
        <f t="shared" si="4"/>
        <v>648825</v>
      </c>
      <c r="F63" s="122"/>
      <c r="G63" s="15">
        <v>19943</v>
      </c>
      <c r="H63" s="39">
        <v>10260</v>
      </c>
      <c r="I63" s="425">
        <f t="shared" si="5"/>
        <v>659085</v>
      </c>
      <c r="J63" s="426">
        <f t="shared" si="6"/>
        <v>10260</v>
      </c>
      <c r="K63" s="428">
        <f t="shared" si="7"/>
        <v>1.5813200786036298E-2</v>
      </c>
    </row>
    <row r="64" spans="1:11" s="16" customFormat="1" ht="13.5" customHeight="1" x14ac:dyDescent="0.25">
      <c r="A64" s="314" t="s">
        <v>67</v>
      </c>
      <c r="B64" s="317">
        <v>1</v>
      </c>
      <c r="C64" s="37">
        <v>544515</v>
      </c>
      <c r="D64" s="182"/>
      <c r="E64" s="311">
        <f t="shared" si="4"/>
        <v>544515</v>
      </c>
      <c r="F64" s="122">
        <v>13298</v>
      </c>
      <c r="G64" s="15">
        <v>7543.5</v>
      </c>
      <c r="H64" s="39">
        <f>3881</f>
        <v>3881</v>
      </c>
      <c r="I64" s="425">
        <f t="shared" si="5"/>
        <v>561694</v>
      </c>
      <c r="J64" s="426">
        <f t="shared" si="6"/>
        <v>17179</v>
      </c>
      <c r="K64" s="428">
        <f t="shared" si="7"/>
        <v>3.1549176790354717E-2</v>
      </c>
    </row>
    <row r="65" spans="1:11" s="16" customFormat="1" ht="13.5" customHeight="1" x14ac:dyDescent="0.25">
      <c r="A65" s="314" t="s">
        <v>68</v>
      </c>
      <c r="B65" s="317">
        <v>7</v>
      </c>
      <c r="C65" s="37">
        <v>13645907</v>
      </c>
      <c r="D65" s="182">
        <v>32011</v>
      </c>
      <c r="E65" s="311">
        <f t="shared" si="4"/>
        <v>13677918</v>
      </c>
      <c r="F65" s="122">
        <v>78222</v>
      </c>
      <c r="G65" s="15">
        <v>552816.5</v>
      </c>
      <c r="H65" s="39">
        <v>284395</v>
      </c>
      <c r="I65" s="425">
        <f t="shared" si="5"/>
        <v>14040535</v>
      </c>
      <c r="J65" s="426">
        <f t="shared" si="6"/>
        <v>394628</v>
      </c>
      <c r="K65" s="428">
        <f t="shared" si="7"/>
        <v>2.8919147697547696E-2</v>
      </c>
    </row>
    <row r="66" spans="1:11" s="16" customFormat="1" ht="13.5" customHeight="1" x14ac:dyDescent="0.25">
      <c r="A66" s="314" t="s">
        <v>69</v>
      </c>
      <c r="B66" s="317">
        <v>3</v>
      </c>
      <c r="C66" s="37">
        <v>804879</v>
      </c>
      <c r="D66" s="182"/>
      <c r="E66" s="311">
        <f t="shared" ref="E66:E68" si="8">C66+D66</f>
        <v>804879</v>
      </c>
      <c r="F66" s="122"/>
      <c r="G66" s="15">
        <v>22803</v>
      </c>
      <c r="H66" s="39">
        <v>11731</v>
      </c>
      <c r="I66" s="425">
        <f t="shared" ref="I66:I68" si="9">E66+F66+H66</f>
        <v>816610</v>
      </c>
      <c r="J66" s="426">
        <f t="shared" ref="J66:J68" si="10">I66-C66</f>
        <v>11731</v>
      </c>
      <c r="K66" s="428">
        <f t="shared" ref="K66:K68" si="11">J66/C66</f>
        <v>1.4574861563042395E-2</v>
      </c>
    </row>
    <row r="67" spans="1:11" ht="13.5" customHeight="1" x14ac:dyDescent="0.25">
      <c r="A67" s="314" t="s">
        <v>70</v>
      </c>
      <c r="B67" s="317">
        <v>4</v>
      </c>
      <c r="C67" s="37">
        <v>2031728</v>
      </c>
      <c r="D67" s="182"/>
      <c r="E67" s="311">
        <f t="shared" si="8"/>
        <v>2031728</v>
      </c>
      <c r="F67" s="122"/>
      <c r="G67" s="15">
        <v>71144.5</v>
      </c>
      <c r="H67" s="39">
        <v>36600</v>
      </c>
      <c r="I67" s="425">
        <f t="shared" si="9"/>
        <v>2068328</v>
      </c>
      <c r="J67" s="426">
        <f t="shared" si="10"/>
        <v>36600</v>
      </c>
      <c r="K67" s="428">
        <f t="shared" si="11"/>
        <v>1.801422237622359E-2</v>
      </c>
    </row>
    <row r="68" spans="1:11" ht="13.5" customHeight="1" thickBot="1" x14ac:dyDescent="0.3">
      <c r="A68" s="316" t="s">
        <v>71</v>
      </c>
      <c r="B68" s="319">
        <v>2</v>
      </c>
      <c r="C68" s="45">
        <v>899753</v>
      </c>
      <c r="D68" s="184"/>
      <c r="E68" s="313">
        <f t="shared" si="8"/>
        <v>899753</v>
      </c>
      <c r="F68" s="186"/>
      <c r="G68" s="24">
        <v>20742.5</v>
      </c>
      <c r="H68" s="47">
        <v>10671</v>
      </c>
      <c r="I68" s="430">
        <f t="shared" si="9"/>
        <v>910424</v>
      </c>
      <c r="J68" s="431">
        <f t="shared" si="10"/>
        <v>10671</v>
      </c>
      <c r="K68" s="432">
        <f t="shared" si="11"/>
        <v>1.1859921556249327E-2</v>
      </c>
    </row>
    <row r="69" spans="1:11" ht="14.25" thickBot="1" x14ac:dyDescent="0.3">
      <c r="A69" s="25"/>
      <c r="B69" s="26"/>
      <c r="C69" s="49"/>
      <c r="D69" s="86"/>
      <c r="E69" s="50"/>
      <c r="F69" s="87"/>
      <c r="G69" s="27"/>
      <c r="H69" s="50"/>
      <c r="I69" s="50"/>
      <c r="J69" s="86"/>
    </row>
    <row r="70" spans="1:11" s="16" customFormat="1" ht="14.25" thickBot="1" x14ac:dyDescent="0.3">
      <c r="A70" s="494" t="s">
        <v>72</v>
      </c>
      <c r="B70" s="494"/>
      <c r="C70" s="56">
        <f t="shared" ref="C70:F70" si="12">SUM(C2:C68)</f>
        <v>518781741</v>
      </c>
      <c r="D70" s="88">
        <f t="shared" si="12"/>
        <v>1018936</v>
      </c>
      <c r="E70" s="55">
        <f t="shared" si="12"/>
        <v>519800677</v>
      </c>
      <c r="F70" s="88">
        <f t="shared" si="12"/>
        <v>2895780</v>
      </c>
      <c r="G70" s="28">
        <f>SUM(G2:G68)</f>
        <v>19008832</v>
      </c>
      <c r="H70" s="56">
        <v>9779031</v>
      </c>
      <c r="I70" s="433">
        <f>SUM(I2:I68)</f>
        <v>532475488</v>
      </c>
      <c r="J70" s="434">
        <f>SUM(J2:J68)</f>
        <v>13693747</v>
      </c>
      <c r="K70" s="435">
        <f>J70/C70</f>
        <v>2.6395969475726016E-2</v>
      </c>
    </row>
    <row r="71" spans="1:11" ht="13.5" customHeight="1" x14ac:dyDescent="0.25">
      <c r="C71" s="60"/>
      <c r="D71" s="89"/>
      <c r="E71" s="60"/>
      <c r="F71" s="90">
        <v>26</v>
      </c>
      <c r="G71" s="29" t="s">
        <v>73</v>
      </c>
      <c r="H71" s="91"/>
      <c r="I71" s="436">
        <f>'New Revenue Summary '!B7-I70</f>
        <v>0</v>
      </c>
      <c r="J71" s="355"/>
      <c r="K71" s="437" t="s">
        <v>269</v>
      </c>
    </row>
    <row r="72" spans="1:11" ht="15" customHeight="1" x14ac:dyDescent="0.25">
      <c r="C72" s="60"/>
      <c r="H72" s="438"/>
    </row>
    <row r="73" spans="1:11" x14ac:dyDescent="0.25">
      <c r="E73" s="439"/>
      <c r="F73" s="439"/>
      <c r="H73" s="93"/>
    </row>
    <row r="74" spans="1:11" ht="14.25" thickBot="1" x14ac:dyDescent="0.3">
      <c r="H74" s="74" t="s">
        <v>89</v>
      </c>
      <c r="I74" s="95">
        <f>11700000</f>
        <v>11700000</v>
      </c>
      <c r="J74" s="30"/>
    </row>
    <row r="75" spans="1:11" ht="14.25" thickBot="1" x14ac:dyDescent="0.3">
      <c r="E75" s="93"/>
      <c r="F75" s="440"/>
      <c r="G75" s="77"/>
      <c r="H75" s="78" t="s">
        <v>94</v>
      </c>
      <c r="I75" s="79">
        <f>I70+I74</f>
        <v>544175488</v>
      </c>
    </row>
    <row r="76" spans="1:11" x14ac:dyDescent="0.25">
      <c r="F76" s="93"/>
      <c r="H76" s="75"/>
    </row>
  </sheetData>
  <autoFilter ref="A1:K1" xr:uid="{83209D20-9D6F-42A4-82B8-FE7A78BFBDA5}">
    <sortState xmlns:xlrd2="http://schemas.microsoft.com/office/spreadsheetml/2017/richdata2" ref="A2:K68">
      <sortCondition ref="A1"/>
    </sortState>
  </autoFilter>
  <mergeCells count="1">
    <mergeCell ref="A70:B70"/>
  </mergeCells>
  <printOptions horizontalCentered="1"/>
  <pageMargins left="0.2" right="0.2" top="0.5" bottom="0.25" header="0.25" footer="0.25"/>
  <pageSetup scale="79" fitToHeight="0" pageOrder="overThenDown" orientation="landscape" r:id="rId1"/>
  <headerFooter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37C2-50CB-4226-A3F5-60324D608488}">
  <dimension ref="A1:E308"/>
  <sheetViews>
    <sheetView zoomScale="110" zoomScaleNormal="110" workbookViewId="0">
      <pane ySplit="1" topLeftCell="A283" activePane="bottomLeft" state="frozen"/>
      <selection pane="bottomLeft" activeCell="I289" sqref="I289"/>
    </sheetView>
  </sheetViews>
  <sheetFormatPr defaultRowHeight="15" x14ac:dyDescent="0.25"/>
  <cols>
    <col min="1" max="1" width="17.42578125" bestFit="1" customWidth="1"/>
    <col min="2" max="2" width="24.85546875" customWidth="1"/>
    <col min="3" max="3" width="23.140625" style="121" customWidth="1"/>
    <col min="4" max="4" width="10.5703125" customWidth="1"/>
    <col min="5" max="5" width="21" customWidth="1"/>
  </cols>
  <sheetData>
    <row r="1" spans="1:5" s="99" customFormat="1" ht="47.25" x14ac:dyDescent="0.3">
      <c r="A1" s="96" t="s">
        <v>2</v>
      </c>
      <c r="B1" s="96" t="s">
        <v>95</v>
      </c>
      <c r="C1" s="97" t="s">
        <v>96</v>
      </c>
      <c r="D1" s="98" t="s">
        <v>97</v>
      </c>
      <c r="E1" s="98" t="s">
        <v>210</v>
      </c>
    </row>
    <row r="2" spans="1:5" ht="15.75" x14ac:dyDescent="0.3">
      <c r="A2" s="100" t="s">
        <v>5</v>
      </c>
      <c r="B2" s="100" t="s">
        <v>98</v>
      </c>
      <c r="C2" s="101">
        <v>3208991.0327999988</v>
      </c>
      <c r="D2" s="213">
        <v>4.0000000000000001E-3</v>
      </c>
      <c r="E2" s="102">
        <f>C2*D2</f>
        <v>12835.964131199995</v>
      </c>
    </row>
    <row r="3" spans="1:5" ht="15.75" x14ac:dyDescent="0.3">
      <c r="A3" s="100" t="s">
        <v>5</v>
      </c>
      <c r="B3" s="100" t="s">
        <v>99</v>
      </c>
      <c r="C3" s="101">
        <v>416485.63440000004</v>
      </c>
      <c r="D3" s="213">
        <v>-1.2800000000000001E-2</v>
      </c>
      <c r="E3" s="102">
        <f>C3*D3</f>
        <v>-5331.0161203200005</v>
      </c>
    </row>
    <row r="4" spans="1:5" ht="15.75" x14ac:dyDescent="0.3">
      <c r="A4" s="100" t="s">
        <v>5</v>
      </c>
      <c r="B4" s="100" t="s">
        <v>100</v>
      </c>
      <c r="C4" s="101">
        <v>392801.86800000002</v>
      </c>
      <c r="D4" s="213">
        <v>8.8999999999999999E-3</v>
      </c>
      <c r="E4" s="102">
        <f>C4*D4</f>
        <v>3495.9366252</v>
      </c>
    </row>
    <row r="5" spans="1:5" ht="15.75" x14ac:dyDescent="0.3">
      <c r="A5" s="100" t="s">
        <v>5</v>
      </c>
      <c r="B5" s="100" t="s">
        <v>101</v>
      </c>
      <c r="C5" s="101">
        <v>114442.25</v>
      </c>
      <c r="D5" s="213">
        <v>-4.1099999999999998E-2</v>
      </c>
      <c r="E5" s="102">
        <f>C5*D5</f>
        <v>-4703.5764749999998</v>
      </c>
    </row>
    <row r="6" spans="1:5" s="106" customFormat="1" ht="15.75" x14ac:dyDescent="0.3">
      <c r="A6" s="103" t="s">
        <v>102</v>
      </c>
      <c r="B6" s="103"/>
      <c r="C6" s="104">
        <f>SUM(C2:C5)</f>
        <v>4132720.7851999989</v>
      </c>
      <c r="D6" s="105"/>
      <c r="E6" s="105">
        <f>SUM(E2:E5)</f>
        <v>6297.3081610799945</v>
      </c>
    </row>
    <row r="7" spans="1:5" ht="15.75" x14ac:dyDescent="0.3">
      <c r="A7" s="100" t="s">
        <v>6</v>
      </c>
      <c r="B7" s="100" t="s">
        <v>98</v>
      </c>
      <c r="C7" s="107">
        <v>272443</v>
      </c>
      <c r="D7" s="213">
        <v>4.0000000000000001E-3</v>
      </c>
      <c r="E7" s="102">
        <f>C7*D7</f>
        <v>1089.7719999999999</v>
      </c>
    </row>
    <row r="8" spans="1:5" ht="15.75" x14ac:dyDescent="0.3">
      <c r="A8" s="100" t="s">
        <v>6</v>
      </c>
      <c r="B8" s="100" t="s">
        <v>99</v>
      </c>
      <c r="C8" s="107">
        <v>81557</v>
      </c>
      <c r="D8" s="213">
        <v>-1.2800000000000001E-2</v>
      </c>
      <c r="E8" s="102">
        <f>C8*D8</f>
        <v>-1043.9295999999999</v>
      </c>
    </row>
    <row r="9" spans="1:5" ht="15.75" x14ac:dyDescent="0.3">
      <c r="A9" s="100" t="s">
        <v>6</v>
      </c>
      <c r="B9" s="100" t="s">
        <v>100</v>
      </c>
      <c r="C9" s="107">
        <v>123880</v>
      </c>
      <c r="D9" s="213">
        <v>8.8999999999999999E-3</v>
      </c>
      <c r="E9" s="102">
        <f>C9*D9</f>
        <v>1102.5319999999999</v>
      </c>
    </row>
    <row r="10" spans="1:5" ht="15.75" x14ac:dyDescent="0.3">
      <c r="A10" s="100" t="s">
        <v>6</v>
      </c>
      <c r="B10" s="100" t="s">
        <v>101</v>
      </c>
      <c r="C10" s="107">
        <v>108634.5</v>
      </c>
      <c r="D10" s="213">
        <v>-4.1099999999999998E-2</v>
      </c>
      <c r="E10" s="102">
        <f>C10*D10</f>
        <v>-4464.8779500000001</v>
      </c>
    </row>
    <row r="11" spans="1:5" s="106" customFormat="1" ht="15.75" x14ac:dyDescent="0.3">
      <c r="A11" s="103" t="s">
        <v>103</v>
      </c>
      <c r="B11" s="103"/>
      <c r="C11" s="221">
        <f>SUM(C7:C10)</f>
        <v>586514.5</v>
      </c>
      <c r="D11" s="105"/>
      <c r="E11" s="105">
        <f>SUM(E7:E10)</f>
        <v>-3316.5035500000004</v>
      </c>
    </row>
    <row r="12" spans="1:5" ht="15.75" x14ac:dyDescent="0.3">
      <c r="A12" s="100" t="s">
        <v>7</v>
      </c>
      <c r="B12" s="100" t="s">
        <v>98</v>
      </c>
      <c r="C12" s="101">
        <v>2069871.9859999998</v>
      </c>
      <c r="D12" s="213">
        <v>4.0000000000000001E-3</v>
      </c>
      <c r="E12" s="102">
        <f>C12*D12</f>
        <v>8279.4879439999986</v>
      </c>
    </row>
    <row r="13" spans="1:5" ht="15.75" x14ac:dyDescent="0.3">
      <c r="A13" s="100" t="s">
        <v>7</v>
      </c>
      <c r="B13" s="100" t="s">
        <v>99</v>
      </c>
      <c r="C13" s="101">
        <v>226124.58752</v>
      </c>
      <c r="D13" s="213">
        <v>-1.2800000000000001E-2</v>
      </c>
      <c r="E13" s="102">
        <f>C13*D13</f>
        <v>-2894.3947202560003</v>
      </c>
    </row>
    <row r="14" spans="1:5" ht="15.75" x14ac:dyDescent="0.3">
      <c r="A14" s="100" t="s">
        <v>7</v>
      </c>
      <c r="B14" s="100" t="s">
        <v>100</v>
      </c>
      <c r="C14" s="101">
        <v>415487.81039999996</v>
      </c>
      <c r="D14" s="213">
        <v>8.8999999999999999E-3</v>
      </c>
      <c r="E14" s="102">
        <f>C14*D14</f>
        <v>3697.8415125599995</v>
      </c>
    </row>
    <row r="15" spans="1:5" ht="15.75" x14ac:dyDescent="0.3">
      <c r="A15" s="100" t="s">
        <v>7</v>
      </c>
      <c r="B15" s="100" t="s">
        <v>101</v>
      </c>
      <c r="C15" s="101">
        <v>126764.55349999999</v>
      </c>
      <c r="D15" s="213">
        <v>-4.1099999999999998E-2</v>
      </c>
      <c r="E15" s="102">
        <f>C15*D15</f>
        <v>-5210.0231488499994</v>
      </c>
    </row>
    <row r="16" spans="1:5" s="106" customFormat="1" ht="15.75" x14ac:dyDescent="0.3">
      <c r="A16" s="103" t="s">
        <v>104</v>
      </c>
      <c r="B16" s="103"/>
      <c r="C16" s="104">
        <f>SUM(C12:C15)</f>
        <v>2838248.9374199994</v>
      </c>
      <c r="D16" s="105"/>
      <c r="E16" s="105">
        <f>SUM(E12:E15)</f>
        <v>3872.9115874539984</v>
      </c>
    </row>
    <row r="17" spans="1:5" ht="15.75" x14ac:dyDescent="0.3">
      <c r="A17" s="100" t="s">
        <v>8</v>
      </c>
      <c r="B17" s="100" t="s">
        <v>98</v>
      </c>
      <c r="C17" s="101">
        <v>524009.2</v>
      </c>
      <c r="D17" s="213">
        <v>4.0000000000000001E-3</v>
      </c>
      <c r="E17" s="102">
        <f>C17*D17</f>
        <v>2096.0368000000003</v>
      </c>
    </row>
    <row r="18" spans="1:5" ht="15.75" x14ac:dyDescent="0.3">
      <c r="A18" s="100" t="s">
        <v>8</v>
      </c>
      <c r="B18" s="100" t="s">
        <v>99</v>
      </c>
      <c r="C18" s="101">
        <v>87714.640000000014</v>
      </c>
      <c r="D18" s="213">
        <v>-1.2800000000000001E-2</v>
      </c>
      <c r="E18" s="102">
        <f>C18*D18</f>
        <v>-1122.7473920000002</v>
      </c>
    </row>
    <row r="19" spans="1:5" ht="15.75" x14ac:dyDescent="0.3">
      <c r="A19" s="100" t="s">
        <v>8</v>
      </c>
      <c r="B19" s="100" t="s">
        <v>101</v>
      </c>
      <c r="C19" s="101">
        <v>78654.87000000001</v>
      </c>
      <c r="D19" s="213">
        <v>-4.1099999999999998E-2</v>
      </c>
      <c r="E19" s="102">
        <f>C19*D19</f>
        <v>-3232.7151570000001</v>
      </c>
    </row>
    <row r="20" spans="1:5" s="106" customFormat="1" ht="15.75" x14ac:dyDescent="0.3">
      <c r="A20" s="103" t="s">
        <v>105</v>
      </c>
      <c r="B20" s="103"/>
      <c r="C20" s="104">
        <f>SUM(C17:C19)</f>
        <v>690378.71000000008</v>
      </c>
      <c r="D20" s="105"/>
      <c r="E20" s="105">
        <f>SUM(E17:E19)</f>
        <v>-2259.425749</v>
      </c>
    </row>
    <row r="21" spans="1:5" ht="15.75" x14ac:dyDescent="0.3">
      <c r="A21" s="100" t="s">
        <v>9</v>
      </c>
      <c r="B21" s="100" t="s">
        <v>98</v>
      </c>
      <c r="C21" s="101">
        <v>6989440.8783999998</v>
      </c>
      <c r="D21" s="213">
        <v>4.0000000000000001E-3</v>
      </c>
      <c r="E21" s="102">
        <f>C21*D21</f>
        <v>27957.763513599999</v>
      </c>
    </row>
    <row r="22" spans="1:5" ht="15.75" x14ac:dyDescent="0.3">
      <c r="A22" s="100" t="s">
        <v>9</v>
      </c>
      <c r="B22" s="100" t="s">
        <v>99</v>
      </c>
      <c r="C22" s="101">
        <v>325351.29440000001</v>
      </c>
      <c r="D22" s="213">
        <v>-1.2800000000000001E-2</v>
      </c>
      <c r="E22" s="102">
        <f>C22*D22</f>
        <v>-4164.4965683200007</v>
      </c>
    </row>
    <row r="23" spans="1:5" ht="15.75" x14ac:dyDescent="0.3">
      <c r="A23" s="100" t="s">
        <v>9</v>
      </c>
      <c r="B23" s="100" t="s">
        <v>100</v>
      </c>
      <c r="C23" s="101">
        <v>1016073.7744</v>
      </c>
      <c r="D23" s="213">
        <v>8.8999999999999999E-3</v>
      </c>
      <c r="E23" s="102">
        <f>C23*D23</f>
        <v>9043.0565921599991</v>
      </c>
    </row>
    <row r="24" spans="1:5" ht="15.75" x14ac:dyDescent="0.3">
      <c r="A24" s="100" t="s">
        <v>9</v>
      </c>
      <c r="B24" s="100" t="s">
        <v>101</v>
      </c>
      <c r="C24" s="101">
        <v>132848</v>
      </c>
      <c r="D24" s="213">
        <v>-4.1099999999999998E-2</v>
      </c>
      <c r="E24" s="102">
        <f>C24*D24</f>
        <v>-5460.0527999999995</v>
      </c>
    </row>
    <row r="25" spans="1:5" s="106" customFormat="1" ht="15.75" x14ac:dyDescent="0.3">
      <c r="A25" s="103" t="s">
        <v>106</v>
      </c>
      <c r="B25" s="103"/>
      <c r="C25" s="104">
        <f>SUM(C21:C24)</f>
        <v>8463713.9472000003</v>
      </c>
      <c r="D25" s="105"/>
      <c r="E25" s="105">
        <f>SUM(E21:E24)</f>
        <v>27376.270737439998</v>
      </c>
    </row>
    <row r="26" spans="1:5" ht="15.75" x14ac:dyDescent="0.3">
      <c r="A26" s="100" t="s">
        <v>10</v>
      </c>
      <c r="B26" s="100" t="s">
        <v>98</v>
      </c>
      <c r="C26" s="101">
        <v>24030989.231999964</v>
      </c>
      <c r="D26" s="213">
        <v>4.0000000000000001E-3</v>
      </c>
      <c r="E26" s="102">
        <f>C26*D26</f>
        <v>96123.956927999854</v>
      </c>
    </row>
    <row r="27" spans="1:5" ht="15.75" x14ac:dyDescent="0.3">
      <c r="A27" s="100" t="s">
        <v>10</v>
      </c>
      <c r="B27" s="100" t="s">
        <v>99</v>
      </c>
      <c r="C27" s="101">
        <v>1390602.5120000001</v>
      </c>
      <c r="D27" s="213">
        <v>-1.2800000000000001E-2</v>
      </c>
      <c r="E27" s="102">
        <f>C27*D27</f>
        <v>-17799.712153600001</v>
      </c>
    </row>
    <row r="28" spans="1:5" ht="15.75" x14ac:dyDescent="0.3">
      <c r="A28" s="100" t="s">
        <v>10</v>
      </c>
      <c r="B28" s="100" t="s">
        <v>100</v>
      </c>
      <c r="C28" s="101">
        <v>2040716.7040000001</v>
      </c>
      <c r="D28" s="213">
        <v>8.8999999999999999E-3</v>
      </c>
      <c r="E28" s="102">
        <f>C28*D28</f>
        <v>18162.378665600001</v>
      </c>
    </row>
    <row r="29" spans="1:5" ht="15.75" x14ac:dyDescent="0.3">
      <c r="A29" s="100" t="s">
        <v>10</v>
      </c>
      <c r="B29" s="100" t="s">
        <v>101</v>
      </c>
      <c r="C29" s="101">
        <v>222085.97</v>
      </c>
      <c r="D29" s="213">
        <v>-4.1099999999999998E-2</v>
      </c>
      <c r="E29" s="102">
        <f>C29*D29</f>
        <v>-9127.7333669999989</v>
      </c>
    </row>
    <row r="30" spans="1:5" s="106" customFormat="1" ht="15.75" x14ac:dyDescent="0.3">
      <c r="A30" s="103" t="s">
        <v>107</v>
      </c>
      <c r="B30" s="103"/>
      <c r="C30" s="104">
        <f>SUM(C26:C29)</f>
        <v>27684394.417999964</v>
      </c>
      <c r="D30" s="105"/>
      <c r="E30" s="105">
        <f>SUM(E26:E29)</f>
        <v>87358.890072999857</v>
      </c>
    </row>
    <row r="31" spans="1:5" ht="15.75" x14ac:dyDescent="0.3">
      <c r="A31" s="100" t="s">
        <v>11</v>
      </c>
      <c r="B31" s="100" t="s">
        <v>98</v>
      </c>
      <c r="C31" s="101">
        <v>157137.08243999997</v>
      </c>
      <c r="D31" s="213">
        <v>4.0000000000000001E-3</v>
      </c>
      <c r="E31" s="102">
        <f>C31*D31</f>
        <v>628.54832975999989</v>
      </c>
    </row>
    <row r="32" spans="1:5" ht="15.75" x14ac:dyDescent="0.3">
      <c r="A32" s="100" t="s">
        <v>11</v>
      </c>
      <c r="B32" s="100" t="s">
        <v>99</v>
      </c>
      <c r="C32" s="101">
        <v>73579.142000000007</v>
      </c>
      <c r="D32" s="213">
        <v>-1.2800000000000001E-2</v>
      </c>
      <c r="E32" s="102">
        <f>C32*D32</f>
        <v>-941.81301760000008</v>
      </c>
    </row>
    <row r="33" spans="1:5" ht="15.75" x14ac:dyDescent="0.3">
      <c r="A33" s="100" t="s">
        <v>11</v>
      </c>
      <c r="B33" s="100" t="s">
        <v>100</v>
      </c>
      <c r="C33" s="101">
        <v>55000.4</v>
      </c>
      <c r="D33" s="213">
        <v>8.8999999999999999E-3</v>
      </c>
      <c r="E33" s="102">
        <f>C33*D33</f>
        <v>489.50355999999999</v>
      </c>
    </row>
    <row r="34" spans="1:5" ht="15.75" x14ac:dyDescent="0.3">
      <c r="A34" s="100" t="s">
        <v>11</v>
      </c>
      <c r="B34" s="100" t="s">
        <v>101</v>
      </c>
      <c r="C34" s="101">
        <v>73734</v>
      </c>
      <c r="D34" s="213">
        <v>-4.1099999999999998E-2</v>
      </c>
      <c r="E34" s="102">
        <f>C34*D34</f>
        <v>-3030.4674</v>
      </c>
    </row>
    <row r="35" spans="1:5" s="106" customFormat="1" ht="15.75" x14ac:dyDescent="0.3">
      <c r="A35" s="103" t="s">
        <v>108</v>
      </c>
      <c r="B35" s="103"/>
      <c r="C35" s="104">
        <f>SUM(C31:C34)</f>
        <v>359450.62443999999</v>
      </c>
      <c r="D35" s="105"/>
      <c r="E35" s="105">
        <f>SUM(E31:E34)</f>
        <v>-2854.2285278400004</v>
      </c>
    </row>
    <row r="36" spans="1:5" ht="15.75" x14ac:dyDescent="0.3">
      <c r="A36" s="100" t="s">
        <v>12</v>
      </c>
      <c r="B36" s="100" t="s">
        <v>98</v>
      </c>
      <c r="C36" s="101">
        <v>2177070.9899999998</v>
      </c>
      <c r="D36" s="213">
        <v>4.0000000000000001E-3</v>
      </c>
      <c r="E36" s="102">
        <f>C36*D36</f>
        <v>8708.2839599999988</v>
      </c>
    </row>
    <row r="37" spans="1:5" ht="15.75" x14ac:dyDescent="0.3">
      <c r="A37" s="100" t="s">
        <v>12</v>
      </c>
      <c r="B37" s="100" t="s">
        <v>99</v>
      </c>
      <c r="C37" s="101">
        <v>239801.01999999996</v>
      </c>
      <c r="D37" s="213">
        <v>-1.2800000000000001E-2</v>
      </c>
      <c r="E37" s="102">
        <f>C37*D37</f>
        <v>-3069.4530559999998</v>
      </c>
    </row>
    <row r="38" spans="1:5" ht="15.75" x14ac:dyDescent="0.3">
      <c r="A38" s="100" t="s">
        <v>12</v>
      </c>
      <c r="B38" s="100" t="s">
        <v>100</v>
      </c>
      <c r="C38" s="101">
        <v>104939</v>
      </c>
      <c r="D38" s="213">
        <v>8.8999999999999999E-3</v>
      </c>
      <c r="E38" s="102">
        <f>C38*D38</f>
        <v>933.95709999999997</v>
      </c>
    </row>
    <row r="39" spans="1:5" ht="15.75" x14ac:dyDescent="0.3">
      <c r="A39" s="100" t="s">
        <v>12</v>
      </c>
      <c r="B39" s="100" t="s">
        <v>101</v>
      </c>
      <c r="C39" s="101">
        <v>67344.400000000009</v>
      </c>
      <c r="D39" s="213">
        <v>-4.1099999999999998E-2</v>
      </c>
      <c r="E39" s="102">
        <f>C39*D39</f>
        <v>-2767.8548400000004</v>
      </c>
    </row>
    <row r="40" spans="1:5" s="106" customFormat="1" ht="15.75" x14ac:dyDescent="0.3">
      <c r="A40" s="103" t="s">
        <v>109</v>
      </c>
      <c r="B40" s="103"/>
      <c r="C40" s="104">
        <f>SUM(C36:C39)</f>
        <v>2589155.4099999997</v>
      </c>
      <c r="D40" s="105"/>
      <c r="E40" s="105">
        <f>SUM(E36:E39)</f>
        <v>3804.9331639999978</v>
      </c>
    </row>
    <row r="41" spans="1:5" ht="15.75" x14ac:dyDescent="0.3">
      <c r="A41" s="100" t="s">
        <v>13</v>
      </c>
      <c r="B41" s="100" t="s">
        <v>98</v>
      </c>
      <c r="C41" s="101">
        <v>2477334.3636400001</v>
      </c>
      <c r="D41" s="213">
        <v>4.0000000000000001E-3</v>
      </c>
      <c r="E41" s="102">
        <f>C41*D41</f>
        <v>9909.33745456</v>
      </c>
    </row>
    <row r="42" spans="1:5" ht="15.75" x14ac:dyDescent="0.3">
      <c r="A42" s="100" t="s">
        <v>13</v>
      </c>
      <c r="B42" s="100" t="s">
        <v>99</v>
      </c>
      <c r="C42" s="101">
        <v>146143.86279999997</v>
      </c>
      <c r="D42" s="213">
        <v>-1.2800000000000001E-2</v>
      </c>
      <c r="E42" s="102">
        <f>C42*D42</f>
        <v>-1870.6414438399997</v>
      </c>
    </row>
    <row r="43" spans="1:5" ht="15.75" x14ac:dyDescent="0.3">
      <c r="A43" s="100" t="s">
        <v>13</v>
      </c>
      <c r="B43" s="100" t="s">
        <v>100</v>
      </c>
      <c r="C43" s="101">
        <v>358458.152</v>
      </c>
      <c r="D43" s="213">
        <v>8.8999999999999999E-3</v>
      </c>
      <c r="E43" s="102">
        <f>C43*D43</f>
        <v>3190.2775528000002</v>
      </c>
    </row>
    <row r="44" spans="1:5" ht="15.75" x14ac:dyDescent="0.3">
      <c r="A44" s="100" t="s">
        <v>13</v>
      </c>
      <c r="B44" s="100" t="s">
        <v>101</v>
      </c>
      <c r="C44" s="101">
        <v>86748.978000000003</v>
      </c>
      <c r="D44" s="213">
        <v>-4.1099999999999998E-2</v>
      </c>
      <c r="E44" s="102">
        <f>C44*D44</f>
        <v>-3565.3829958000001</v>
      </c>
    </row>
    <row r="45" spans="1:5" s="106" customFormat="1" ht="15.75" x14ac:dyDescent="0.3">
      <c r="A45" s="103" t="s">
        <v>110</v>
      </c>
      <c r="B45" s="103"/>
      <c r="C45" s="104">
        <f>SUM(C41:C44)</f>
        <v>3068685.3564400002</v>
      </c>
      <c r="D45" s="105"/>
      <c r="E45" s="105">
        <f>SUM(E41:E44)</f>
        <v>7663.5905677200008</v>
      </c>
    </row>
    <row r="46" spans="1:5" ht="15.75" x14ac:dyDescent="0.3">
      <c r="A46" s="100" t="s">
        <v>14</v>
      </c>
      <c r="B46" s="100" t="s">
        <v>98</v>
      </c>
      <c r="C46" s="101">
        <v>2582265.8661000002</v>
      </c>
      <c r="D46" s="213">
        <v>4.0000000000000001E-3</v>
      </c>
      <c r="E46" s="102">
        <f>C46*D46</f>
        <v>10329.063464400002</v>
      </c>
    </row>
    <row r="47" spans="1:5" ht="15.75" x14ac:dyDescent="0.3">
      <c r="A47" s="100" t="s">
        <v>14</v>
      </c>
      <c r="B47" s="100" t="s">
        <v>99</v>
      </c>
      <c r="C47" s="101">
        <v>599664.65460000001</v>
      </c>
      <c r="D47" s="213">
        <v>-1.2800000000000001E-2</v>
      </c>
      <c r="E47" s="102">
        <f>C47*D47</f>
        <v>-7675.7075788800003</v>
      </c>
    </row>
    <row r="48" spans="1:5" ht="15.75" x14ac:dyDescent="0.3">
      <c r="A48" s="100" t="s">
        <v>14</v>
      </c>
      <c r="B48" s="100" t="s">
        <v>100</v>
      </c>
      <c r="C48" s="101">
        <v>213070.65999999997</v>
      </c>
      <c r="D48" s="213">
        <v>8.8999999999999999E-3</v>
      </c>
      <c r="E48" s="102">
        <f>C48*D48</f>
        <v>1896.3288739999998</v>
      </c>
    </row>
    <row r="49" spans="1:5" ht="15.75" x14ac:dyDescent="0.3">
      <c r="A49" s="100" t="s">
        <v>14</v>
      </c>
      <c r="B49" s="100" t="s">
        <v>101</v>
      </c>
      <c r="C49" s="101">
        <v>109650.45</v>
      </c>
      <c r="D49" s="213">
        <v>-4.1099999999999998E-2</v>
      </c>
      <c r="E49" s="102">
        <f>C49*D49</f>
        <v>-4506.633495</v>
      </c>
    </row>
    <row r="50" spans="1:5" s="106" customFormat="1" ht="15.75" x14ac:dyDescent="0.3">
      <c r="A50" s="103" t="s">
        <v>111</v>
      </c>
      <c r="B50" s="103"/>
      <c r="C50" s="104">
        <f>SUM(C46:C49)</f>
        <v>3504651.6307000006</v>
      </c>
      <c r="D50" s="105"/>
      <c r="E50" s="105">
        <f>SUM(E46:E49)</f>
        <v>43.051264520001496</v>
      </c>
    </row>
    <row r="51" spans="1:5" ht="15.75" x14ac:dyDescent="0.3">
      <c r="A51" s="100" t="s">
        <v>15</v>
      </c>
      <c r="B51" s="100" t="s">
        <v>98</v>
      </c>
      <c r="C51" s="101">
        <v>4814658.3174520051</v>
      </c>
      <c r="D51" s="213">
        <v>4.0000000000000001E-3</v>
      </c>
      <c r="E51" s="102">
        <f>C51*D51</f>
        <v>19258.633269808022</v>
      </c>
    </row>
    <row r="52" spans="1:5" ht="15.75" x14ac:dyDescent="0.3">
      <c r="A52" s="100" t="s">
        <v>15</v>
      </c>
      <c r="B52" s="100" t="s">
        <v>99</v>
      </c>
      <c r="C52" s="101">
        <v>231752.227358</v>
      </c>
      <c r="D52" s="213">
        <v>-1.2800000000000001E-2</v>
      </c>
      <c r="E52" s="102">
        <f>C52*D52</f>
        <v>-2966.4285101824003</v>
      </c>
    </row>
    <row r="53" spans="1:5" ht="15.75" x14ac:dyDescent="0.3">
      <c r="A53" s="100" t="s">
        <v>15</v>
      </c>
      <c r="B53" s="100" t="s">
        <v>100</v>
      </c>
      <c r="C53" s="101">
        <v>415314.04199999996</v>
      </c>
      <c r="D53" s="213">
        <v>8.8999999999999999E-3</v>
      </c>
      <c r="E53" s="102">
        <f>C53*D53</f>
        <v>3696.2949737999998</v>
      </c>
    </row>
    <row r="54" spans="1:5" ht="15.75" x14ac:dyDescent="0.3">
      <c r="A54" s="100" t="s">
        <v>15</v>
      </c>
      <c r="B54" s="100" t="s">
        <v>101</v>
      </c>
      <c r="C54" s="101">
        <v>89853.951494999987</v>
      </c>
      <c r="D54" s="213">
        <v>-4.1099999999999998E-2</v>
      </c>
      <c r="E54" s="102">
        <f>C54*D54</f>
        <v>-3692.9974064444991</v>
      </c>
    </row>
    <row r="55" spans="1:5" s="106" customFormat="1" ht="15.75" x14ac:dyDescent="0.3">
      <c r="A55" s="103" t="s">
        <v>112</v>
      </c>
      <c r="B55" s="103"/>
      <c r="C55" s="104">
        <f>SUM(C51:C54)</f>
        <v>5551578.538305006</v>
      </c>
      <c r="D55" s="105"/>
      <c r="E55" s="105">
        <f>SUM(E51:E54)</f>
        <v>16295.502326981123</v>
      </c>
    </row>
    <row r="56" spans="1:5" ht="15.75" x14ac:dyDescent="0.3">
      <c r="A56" s="100" t="s">
        <v>16</v>
      </c>
      <c r="B56" s="100" t="s">
        <v>98</v>
      </c>
      <c r="C56" s="101">
        <v>949094.06800000009</v>
      </c>
      <c r="D56" s="213">
        <v>4.0000000000000001E-3</v>
      </c>
      <c r="E56" s="102">
        <f>C56*D56</f>
        <v>3796.3762720000004</v>
      </c>
    </row>
    <row r="57" spans="1:5" ht="15.75" x14ac:dyDescent="0.3">
      <c r="A57" s="100" t="s">
        <v>16</v>
      </c>
      <c r="B57" s="100" t="s">
        <v>100</v>
      </c>
      <c r="C57" s="101">
        <v>184611.83103999999</v>
      </c>
      <c r="D57" s="213">
        <v>8.8999999999999999E-3</v>
      </c>
      <c r="E57" s="102">
        <f>C57*D57</f>
        <v>1643.0452962559998</v>
      </c>
    </row>
    <row r="58" spans="1:5" ht="15.75" x14ac:dyDescent="0.3">
      <c r="A58" s="100" t="s">
        <v>16</v>
      </c>
      <c r="B58" s="100" t="s">
        <v>101</v>
      </c>
      <c r="C58" s="101">
        <v>106503.76</v>
      </c>
      <c r="D58" s="213">
        <v>-4.1099999999999998E-2</v>
      </c>
      <c r="E58" s="102">
        <f>C58*D58</f>
        <v>-4377.3045359999996</v>
      </c>
    </row>
    <row r="59" spans="1:5" s="106" customFormat="1" ht="15.75" x14ac:dyDescent="0.3">
      <c r="A59" s="103" t="s">
        <v>113</v>
      </c>
      <c r="B59" s="103"/>
      <c r="C59" s="104">
        <f>SUM(C56:C58)</f>
        <v>1240209.6590400001</v>
      </c>
      <c r="D59" s="105"/>
      <c r="E59" s="105">
        <f>SUM(E56:E58)</f>
        <v>1062.117032256001</v>
      </c>
    </row>
    <row r="60" spans="1:5" ht="15.75" x14ac:dyDescent="0.3">
      <c r="A60" s="100" t="s">
        <v>17</v>
      </c>
      <c r="B60" s="100" t="s">
        <v>98</v>
      </c>
      <c r="C60" s="101">
        <v>502348.25</v>
      </c>
      <c r="D60" s="213">
        <v>4.0000000000000001E-3</v>
      </c>
      <c r="E60" s="102">
        <f>C60*D60</f>
        <v>2009.393</v>
      </c>
    </row>
    <row r="61" spans="1:5" ht="15.75" x14ac:dyDescent="0.3">
      <c r="A61" s="100" t="s">
        <v>17</v>
      </c>
      <c r="B61" s="100" t="s">
        <v>100</v>
      </c>
      <c r="C61" s="101">
        <v>25659.26</v>
      </c>
      <c r="D61" s="213">
        <v>8.8999999999999999E-3</v>
      </c>
      <c r="E61" s="102">
        <f>C61*D61</f>
        <v>228.367414</v>
      </c>
    </row>
    <row r="62" spans="1:5" ht="15.75" x14ac:dyDescent="0.3">
      <c r="A62" s="100" t="s">
        <v>17</v>
      </c>
      <c r="B62" s="100" t="s">
        <v>101</v>
      </c>
      <c r="C62" s="101">
        <v>66028</v>
      </c>
      <c r="D62" s="213">
        <v>-4.1099999999999998E-2</v>
      </c>
      <c r="E62" s="102">
        <f>C62*D62</f>
        <v>-2713.7507999999998</v>
      </c>
    </row>
    <row r="63" spans="1:5" s="106" customFormat="1" ht="15.75" x14ac:dyDescent="0.3">
      <c r="A63" s="103" t="s">
        <v>114</v>
      </c>
      <c r="B63" s="103"/>
      <c r="C63" s="104">
        <f>SUM(C60:C62)</f>
        <v>594035.51</v>
      </c>
      <c r="D63" s="105"/>
      <c r="E63" s="105">
        <f>SUM(E60:E62)</f>
        <v>-475.99038599999994</v>
      </c>
    </row>
    <row r="64" spans="1:5" ht="15.75" x14ac:dyDescent="0.3">
      <c r="A64" s="100" t="s">
        <v>18</v>
      </c>
      <c r="B64" s="100" t="s">
        <v>98</v>
      </c>
      <c r="C64" s="101">
        <v>110318</v>
      </c>
      <c r="D64" s="213">
        <v>4.0000000000000001E-3</v>
      </c>
      <c r="E64" s="102">
        <f>C64*D64</f>
        <v>441.27199999999999</v>
      </c>
    </row>
    <row r="65" spans="1:5" ht="15.75" x14ac:dyDescent="0.3">
      <c r="A65" s="100" t="s">
        <v>18</v>
      </c>
      <c r="B65" s="100" t="s">
        <v>101</v>
      </c>
      <c r="C65" s="101">
        <v>18957.900000000001</v>
      </c>
      <c r="D65" s="213">
        <v>-4.1099999999999998E-2</v>
      </c>
      <c r="E65" s="102">
        <f>C65*D65</f>
        <v>-779.16969000000006</v>
      </c>
    </row>
    <row r="66" spans="1:5" s="106" customFormat="1" ht="15.75" x14ac:dyDescent="0.3">
      <c r="A66" s="103" t="s">
        <v>115</v>
      </c>
      <c r="B66" s="103"/>
      <c r="C66" s="104">
        <f>SUM(C64:C65)</f>
        <v>129275.9</v>
      </c>
      <c r="D66" s="105"/>
      <c r="E66" s="105">
        <f>SUM(E64:E65)</f>
        <v>-337.89769000000007</v>
      </c>
    </row>
    <row r="67" spans="1:5" ht="15.75" x14ac:dyDescent="0.3">
      <c r="A67" s="100" t="s">
        <v>19</v>
      </c>
      <c r="B67" s="100" t="s">
        <v>209</v>
      </c>
      <c r="C67" s="101">
        <v>13408440.90699999</v>
      </c>
      <c r="D67" s="213">
        <v>4.0000000000000001E-3</v>
      </c>
      <c r="E67" s="102">
        <f>C67*D67</f>
        <v>53633.763627999964</v>
      </c>
    </row>
    <row r="68" spans="1:5" ht="15.75" x14ac:dyDescent="0.3">
      <c r="A68" s="100" t="s">
        <v>19</v>
      </c>
      <c r="B68" s="100" t="s">
        <v>101</v>
      </c>
      <c r="C68" s="101">
        <v>187487.83040000001</v>
      </c>
      <c r="D68" s="213">
        <v>-4.1099999999999998E-2</v>
      </c>
      <c r="E68" s="102">
        <f>C68*D68</f>
        <v>-7705.7498294400002</v>
      </c>
    </row>
    <row r="69" spans="1:5" s="106" customFormat="1" ht="15.75" x14ac:dyDescent="0.3">
      <c r="A69" s="103" t="s">
        <v>116</v>
      </c>
      <c r="B69" s="103"/>
      <c r="C69" s="104">
        <f>SUM(C67:C68)</f>
        <v>13595928.73739999</v>
      </c>
      <c r="D69" s="105"/>
      <c r="E69" s="105">
        <f>SUM(E67:E68)</f>
        <v>45928.013798559965</v>
      </c>
    </row>
    <row r="70" spans="1:5" ht="15.75" x14ac:dyDescent="0.3">
      <c r="A70" s="100" t="s">
        <v>20</v>
      </c>
      <c r="B70" s="100" t="s">
        <v>98</v>
      </c>
      <c r="C70" s="101">
        <v>4555387.2</v>
      </c>
      <c r="D70" s="213">
        <v>4.0000000000000001E-3</v>
      </c>
      <c r="E70" s="102">
        <f>C70*D70</f>
        <v>18221.5488</v>
      </c>
    </row>
    <row r="71" spans="1:5" ht="15.75" x14ac:dyDescent="0.3">
      <c r="A71" s="100" t="s">
        <v>20</v>
      </c>
      <c r="B71" s="100" t="s">
        <v>99</v>
      </c>
      <c r="C71" s="101">
        <v>150529.60000000001</v>
      </c>
      <c r="D71" s="213">
        <v>-1.2800000000000001E-2</v>
      </c>
      <c r="E71" s="102">
        <f>C71*D71</f>
        <v>-1926.7788800000001</v>
      </c>
    </row>
    <row r="72" spans="1:5" ht="15.75" x14ac:dyDescent="0.3">
      <c r="A72" s="100" t="s">
        <v>20</v>
      </c>
      <c r="B72" s="100" t="s">
        <v>100</v>
      </c>
      <c r="C72" s="101">
        <v>346756.8</v>
      </c>
      <c r="D72" s="213">
        <v>8.8999999999999999E-3</v>
      </c>
      <c r="E72" s="102">
        <f>C72*D72</f>
        <v>3086.1355199999998</v>
      </c>
    </row>
    <row r="73" spans="1:5" ht="15.75" x14ac:dyDescent="0.3">
      <c r="A73" s="100" t="s">
        <v>20</v>
      </c>
      <c r="B73" s="100" t="s">
        <v>101</v>
      </c>
      <c r="C73" s="101">
        <v>179567.18</v>
      </c>
      <c r="D73" s="213">
        <v>-4.1099999999999998E-2</v>
      </c>
      <c r="E73" s="102">
        <f>C73*D73</f>
        <v>-7380.2110979999989</v>
      </c>
    </row>
    <row r="74" spans="1:5" s="106" customFormat="1" ht="15.75" x14ac:dyDescent="0.3">
      <c r="A74" s="103" t="s">
        <v>117</v>
      </c>
      <c r="B74" s="103"/>
      <c r="C74" s="104">
        <f>SUM(C70:C73)</f>
        <v>5232240.7799999993</v>
      </c>
      <c r="D74" s="105"/>
      <c r="E74" s="105">
        <f>SUM(E70:E73)</f>
        <v>12000.694342000003</v>
      </c>
    </row>
    <row r="75" spans="1:5" ht="15.75" x14ac:dyDescent="0.3">
      <c r="A75" s="100" t="s">
        <v>21</v>
      </c>
      <c r="B75" s="100" t="s">
        <v>98</v>
      </c>
      <c r="C75" s="101">
        <v>1322859.5504319998</v>
      </c>
      <c r="D75" s="213">
        <v>4.0000000000000001E-3</v>
      </c>
      <c r="E75" s="102">
        <f>C75*D75</f>
        <v>5291.4382017279995</v>
      </c>
    </row>
    <row r="76" spans="1:5" ht="15.75" x14ac:dyDescent="0.3">
      <c r="A76" s="100" t="s">
        <v>21</v>
      </c>
      <c r="B76" s="100" t="s">
        <v>99</v>
      </c>
      <c r="C76" s="101">
        <v>268376.42426</v>
      </c>
      <c r="D76" s="213">
        <v>-1.2800000000000001E-2</v>
      </c>
      <c r="E76" s="102">
        <f>C76*D76</f>
        <v>-3435.2182305280003</v>
      </c>
    </row>
    <row r="77" spans="1:5" ht="15.75" x14ac:dyDescent="0.3">
      <c r="A77" s="100" t="s">
        <v>21</v>
      </c>
      <c r="B77" s="100" t="s">
        <v>101</v>
      </c>
      <c r="C77" s="101">
        <v>43166.736512000003</v>
      </c>
      <c r="D77" s="213">
        <v>-4.1099999999999998E-2</v>
      </c>
      <c r="E77" s="102">
        <f>C77*D77</f>
        <v>-1774.1528706432</v>
      </c>
    </row>
    <row r="78" spans="1:5" s="106" customFormat="1" ht="15.75" x14ac:dyDescent="0.3">
      <c r="A78" s="103" t="s">
        <v>118</v>
      </c>
      <c r="B78" s="103"/>
      <c r="C78" s="104">
        <f>SUM(C75:C77)</f>
        <v>1634402.7112039998</v>
      </c>
      <c r="D78" s="105"/>
      <c r="E78" s="105">
        <f>SUM(E75:E77)</f>
        <v>82.067100556799232</v>
      </c>
    </row>
    <row r="79" spans="1:5" ht="15.75" x14ac:dyDescent="0.3">
      <c r="A79" s="100" t="s">
        <v>22</v>
      </c>
      <c r="B79" s="100" t="s">
        <v>98</v>
      </c>
      <c r="C79" s="101">
        <v>305880.24514799996</v>
      </c>
      <c r="D79" s="213">
        <v>4.0000000000000001E-3</v>
      </c>
      <c r="E79" s="102">
        <f>C79*D79</f>
        <v>1223.5209805919999</v>
      </c>
    </row>
    <row r="80" spans="1:5" ht="15.75" x14ac:dyDescent="0.3">
      <c r="A80" s="100" t="s">
        <v>22</v>
      </c>
      <c r="B80" s="100" t="s">
        <v>99</v>
      </c>
      <c r="C80" s="101">
        <v>70837.101500000004</v>
      </c>
      <c r="D80" s="213">
        <v>-1.2800000000000001E-2</v>
      </c>
      <c r="E80" s="102">
        <f>C80*D80</f>
        <v>-906.7148992000001</v>
      </c>
    </row>
    <row r="81" spans="1:5" ht="15.75" x14ac:dyDescent="0.3">
      <c r="A81" s="100" t="s">
        <v>22</v>
      </c>
      <c r="B81" s="100" t="s">
        <v>100</v>
      </c>
      <c r="C81" s="101">
        <v>102879.29000000001</v>
      </c>
      <c r="D81" s="213">
        <v>8.8999999999999999E-3</v>
      </c>
      <c r="E81" s="102">
        <f>C81*D81</f>
        <v>915.6256810000001</v>
      </c>
    </row>
    <row r="82" spans="1:5" ht="15.75" x14ac:dyDescent="0.3">
      <c r="A82" s="100" t="s">
        <v>22</v>
      </c>
      <c r="B82" s="100" t="s">
        <v>101</v>
      </c>
      <c r="C82" s="101">
        <v>77540.472099999999</v>
      </c>
      <c r="D82" s="213">
        <v>-4.1099999999999998E-2</v>
      </c>
      <c r="E82" s="102">
        <f>C82*D82</f>
        <v>-3186.9134033099999</v>
      </c>
    </row>
    <row r="83" spans="1:5" s="106" customFormat="1" ht="15.75" x14ac:dyDescent="0.3">
      <c r="A83" s="103" t="s">
        <v>119</v>
      </c>
      <c r="B83" s="103"/>
      <c r="C83" s="104">
        <f>SUM(C79:C82)</f>
        <v>557137.108748</v>
      </c>
      <c r="D83" s="105"/>
      <c r="E83" s="105">
        <f>SUM(E79:E82)</f>
        <v>-1954.481640918</v>
      </c>
    </row>
    <row r="84" spans="1:5" ht="15.75" x14ac:dyDescent="0.3">
      <c r="A84" s="100" t="s">
        <v>23</v>
      </c>
      <c r="B84" s="100" t="s">
        <v>98</v>
      </c>
      <c r="C84" s="101">
        <v>563484.13300000003</v>
      </c>
      <c r="D84" s="213">
        <v>4.0000000000000001E-3</v>
      </c>
      <c r="E84" s="102">
        <f>C84*D84</f>
        <v>2253.9365320000002</v>
      </c>
    </row>
    <row r="85" spans="1:5" ht="15.75" x14ac:dyDescent="0.3">
      <c r="A85" s="100" t="s">
        <v>23</v>
      </c>
      <c r="B85" s="100" t="s">
        <v>99</v>
      </c>
      <c r="C85" s="101">
        <v>306672.1311</v>
      </c>
      <c r="D85" s="213">
        <v>-1.2800000000000001E-2</v>
      </c>
      <c r="E85" s="102">
        <f>C85*D85</f>
        <v>-3925.4032780800003</v>
      </c>
    </row>
    <row r="86" spans="1:5" ht="15.75" x14ac:dyDescent="0.3">
      <c r="A86" s="100" t="s">
        <v>23</v>
      </c>
      <c r="B86" s="100" t="s">
        <v>100</v>
      </c>
      <c r="C86" s="101">
        <v>209764.56</v>
      </c>
      <c r="D86" s="213">
        <v>8.8999999999999999E-3</v>
      </c>
      <c r="E86" s="102">
        <f>C86*D86</f>
        <v>1866.9045839999999</v>
      </c>
    </row>
    <row r="87" spans="1:5" s="106" customFormat="1" ht="15.75" x14ac:dyDescent="0.3">
      <c r="A87" s="103" t="s">
        <v>120</v>
      </c>
      <c r="B87" s="103"/>
      <c r="C87" s="104">
        <f>SUM(C84:C86)</f>
        <v>1079920.8241000001</v>
      </c>
      <c r="D87" s="105"/>
      <c r="E87" s="105">
        <f>SUM(E84:E86)</f>
        <v>195.43783791999977</v>
      </c>
    </row>
    <row r="88" spans="1:5" ht="15.75" x14ac:dyDescent="0.3">
      <c r="A88" s="100" t="s">
        <v>24</v>
      </c>
      <c r="B88" s="100" t="s">
        <v>98</v>
      </c>
      <c r="C88" s="101">
        <v>449341.36000000004</v>
      </c>
      <c r="D88" s="213">
        <v>4.0000000000000001E-3</v>
      </c>
      <c r="E88" s="102">
        <f>C88*D88</f>
        <v>1797.3654400000003</v>
      </c>
    </row>
    <row r="89" spans="1:5" ht="15.75" x14ac:dyDescent="0.3">
      <c r="A89" s="100" t="s">
        <v>24</v>
      </c>
      <c r="B89" s="100" t="s">
        <v>99</v>
      </c>
      <c r="C89" s="101">
        <v>8193.1199999999972</v>
      </c>
      <c r="D89" s="213">
        <v>-1.2800000000000001E-2</v>
      </c>
      <c r="E89" s="102">
        <f>C89*D89</f>
        <v>-104.87193599999996</v>
      </c>
    </row>
    <row r="90" spans="1:5" ht="15.75" x14ac:dyDescent="0.3">
      <c r="A90" s="100" t="s">
        <v>24</v>
      </c>
      <c r="B90" s="100" t="s">
        <v>101</v>
      </c>
      <c r="C90" s="101">
        <v>53419.38</v>
      </c>
      <c r="D90" s="213">
        <v>-4.1099999999999998E-2</v>
      </c>
      <c r="E90" s="102">
        <f>C90*D90</f>
        <v>-2195.5365179999999</v>
      </c>
    </row>
    <row r="91" spans="1:5" s="106" customFormat="1" ht="15.75" x14ac:dyDescent="0.3">
      <c r="A91" s="103" t="s">
        <v>121</v>
      </c>
      <c r="B91" s="103"/>
      <c r="C91" s="104">
        <f>SUM(C88:C90)</f>
        <v>510953.86000000004</v>
      </c>
      <c r="D91" s="105"/>
      <c r="E91" s="105">
        <f>SUM(E88:E90)</f>
        <v>-503.04301399999963</v>
      </c>
    </row>
    <row r="92" spans="1:5" ht="15.75" x14ac:dyDescent="0.3">
      <c r="A92" s="100" t="s">
        <v>25</v>
      </c>
      <c r="B92" s="100" t="s">
        <v>98</v>
      </c>
      <c r="C92" s="101">
        <v>314031.87200000003</v>
      </c>
      <c r="D92" s="213">
        <v>4.0000000000000001E-3</v>
      </c>
      <c r="E92" s="102">
        <f>C92*D92</f>
        <v>1256.1274880000001</v>
      </c>
    </row>
    <row r="93" spans="1:5" ht="15.75" x14ac:dyDescent="0.3">
      <c r="A93" s="100" t="s">
        <v>25</v>
      </c>
      <c r="B93" s="100" t="s">
        <v>99</v>
      </c>
      <c r="C93" s="101">
        <v>46446.036</v>
      </c>
      <c r="D93" s="213">
        <v>-1.2800000000000001E-2</v>
      </c>
      <c r="E93" s="102">
        <f>C93*D93</f>
        <v>-594.50926079999999</v>
      </c>
    </row>
    <row r="94" spans="1:5" ht="15.75" x14ac:dyDescent="0.3">
      <c r="A94" s="100" t="s">
        <v>25</v>
      </c>
      <c r="B94" s="100" t="s">
        <v>101</v>
      </c>
      <c r="C94" s="101">
        <v>62179.5</v>
      </c>
      <c r="D94" s="213">
        <v>-4.1099999999999998E-2</v>
      </c>
      <c r="E94" s="102">
        <f>C94*D94</f>
        <v>-2555.5774499999998</v>
      </c>
    </row>
    <row r="95" spans="1:5" s="106" customFormat="1" ht="15.75" x14ac:dyDescent="0.3">
      <c r="A95" s="103" t="s">
        <v>122</v>
      </c>
      <c r="B95" s="103"/>
      <c r="C95" s="104">
        <f>SUM(C92:C94)</f>
        <v>422657.40800000005</v>
      </c>
      <c r="D95" s="105"/>
      <c r="E95" s="105">
        <f>SUM(E92:E94)</f>
        <v>-1893.9592227999997</v>
      </c>
    </row>
    <row r="96" spans="1:5" ht="15.75" x14ac:dyDescent="0.3">
      <c r="A96" s="100" t="s">
        <v>26</v>
      </c>
      <c r="B96" s="100" t="s">
        <v>98</v>
      </c>
      <c r="C96" s="101">
        <v>323710.54700000002</v>
      </c>
      <c r="D96" s="213">
        <v>4.0000000000000001E-3</v>
      </c>
      <c r="E96" s="102">
        <f>C96*D96</f>
        <v>1294.8421880000001</v>
      </c>
    </row>
    <row r="97" spans="1:5" ht="15.75" x14ac:dyDescent="0.3">
      <c r="A97" s="100" t="s">
        <v>26</v>
      </c>
      <c r="B97" s="100" t="s">
        <v>99</v>
      </c>
      <c r="C97" s="101">
        <v>25201.59</v>
      </c>
      <c r="D97" s="213">
        <v>-1.2800000000000001E-2</v>
      </c>
      <c r="E97" s="102">
        <f>C97*D97</f>
        <v>-322.580352</v>
      </c>
    </row>
    <row r="98" spans="1:5" ht="15.75" x14ac:dyDescent="0.3">
      <c r="A98" s="100" t="s">
        <v>26</v>
      </c>
      <c r="B98" s="100" t="s">
        <v>100</v>
      </c>
      <c r="C98" s="101">
        <v>79055.185999999987</v>
      </c>
      <c r="D98" s="213">
        <v>8.8999999999999999E-3</v>
      </c>
      <c r="E98" s="102">
        <f>C98*D98</f>
        <v>703.59115539999993</v>
      </c>
    </row>
    <row r="99" spans="1:5" s="106" customFormat="1" ht="15.75" x14ac:dyDescent="0.3">
      <c r="A99" s="103" t="s">
        <v>123</v>
      </c>
      <c r="B99" s="103"/>
      <c r="C99" s="104">
        <f>SUM(C96:C98)</f>
        <v>427967.32300000003</v>
      </c>
      <c r="D99" s="105"/>
      <c r="E99" s="105">
        <f>SUM(E96:E98)</f>
        <v>1675.8529914000001</v>
      </c>
    </row>
    <row r="100" spans="1:5" ht="15.75" x14ac:dyDescent="0.3">
      <c r="A100" s="100" t="s">
        <v>27</v>
      </c>
      <c r="B100" s="100" t="s">
        <v>98</v>
      </c>
      <c r="C100" s="101">
        <v>294448.7</v>
      </c>
      <c r="D100" s="213">
        <v>4.0000000000000001E-3</v>
      </c>
      <c r="E100" s="102">
        <f>C100*D100</f>
        <v>1177.7948000000001</v>
      </c>
    </row>
    <row r="101" spans="1:5" ht="15.75" x14ac:dyDescent="0.3">
      <c r="A101" s="100" t="s">
        <v>27</v>
      </c>
      <c r="B101" s="100" t="s">
        <v>99</v>
      </c>
      <c r="C101" s="101">
        <v>50960</v>
      </c>
      <c r="D101" s="213">
        <v>-1.2800000000000001E-2</v>
      </c>
      <c r="E101" s="102">
        <f>C101*D101</f>
        <v>-652.28800000000001</v>
      </c>
    </row>
    <row r="102" spans="1:5" ht="15.75" x14ac:dyDescent="0.3">
      <c r="A102" s="100" t="s">
        <v>27</v>
      </c>
      <c r="B102" s="100" t="s">
        <v>101</v>
      </c>
      <c r="C102" s="101">
        <v>62413.52</v>
      </c>
      <c r="D102" s="213">
        <v>-4.1099999999999998E-2</v>
      </c>
      <c r="E102" s="102">
        <f>C102*D102</f>
        <v>-2565.1956719999998</v>
      </c>
    </row>
    <row r="103" spans="1:5" s="106" customFormat="1" ht="15.75" x14ac:dyDescent="0.3">
      <c r="A103" s="103" t="s">
        <v>124</v>
      </c>
      <c r="B103" s="103"/>
      <c r="C103" s="104">
        <f>SUM(C100:C102)</f>
        <v>407822.22000000003</v>
      </c>
      <c r="D103" s="105"/>
      <c r="E103" s="105">
        <f>SUM(E100:E102)</f>
        <v>-2039.6888719999997</v>
      </c>
    </row>
    <row r="104" spans="1:5" ht="15.75" x14ac:dyDescent="0.3">
      <c r="A104" s="100" t="s">
        <v>28</v>
      </c>
      <c r="B104" s="100" t="s">
        <v>98</v>
      </c>
      <c r="C104" s="101">
        <v>400278.85</v>
      </c>
      <c r="D104" s="213">
        <v>4.0000000000000001E-3</v>
      </c>
      <c r="E104" s="102">
        <f>C104*D104</f>
        <v>1601.1153999999999</v>
      </c>
    </row>
    <row r="105" spans="1:5" ht="15.75" x14ac:dyDescent="0.3">
      <c r="A105" s="100" t="s">
        <v>28</v>
      </c>
      <c r="B105" s="100" t="s">
        <v>100</v>
      </c>
      <c r="C105" s="101">
        <v>105155.5</v>
      </c>
      <c r="D105" s="213">
        <v>8.8999999999999999E-3</v>
      </c>
      <c r="E105" s="102">
        <f>C105*D105</f>
        <v>935.88395000000003</v>
      </c>
    </row>
    <row r="106" spans="1:5" ht="15.75" x14ac:dyDescent="0.3">
      <c r="A106" s="100" t="s">
        <v>28</v>
      </c>
      <c r="B106" s="100" t="s">
        <v>101</v>
      </c>
      <c r="C106" s="101">
        <v>65007</v>
      </c>
      <c r="D106" s="213">
        <v>-4.1099999999999998E-2</v>
      </c>
      <c r="E106" s="102">
        <f>C106*D106</f>
        <v>-2671.7876999999999</v>
      </c>
    </row>
    <row r="107" spans="1:5" s="106" customFormat="1" ht="15.75" x14ac:dyDescent="0.3">
      <c r="A107" s="103" t="s">
        <v>125</v>
      </c>
      <c r="B107" s="103"/>
      <c r="C107" s="104">
        <f>SUM(C104:C106)</f>
        <v>570441.35</v>
      </c>
      <c r="D107" s="105"/>
      <c r="E107" s="105">
        <f>SUM(E104:E106)</f>
        <v>-134.78834999999981</v>
      </c>
    </row>
    <row r="108" spans="1:5" ht="15.75" x14ac:dyDescent="0.3">
      <c r="A108" s="100" t="s">
        <v>29</v>
      </c>
      <c r="B108" s="100" t="s">
        <v>98</v>
      </c>
      <c r="C108" s="101">
        <v>697882.93273999996</v>
      </c>
      <c r="D108" s="213">
        <v>4.0000000000000001E-3</v>
      </c>
      <c r="E108" s="102">
        <f>C108*D108</f>
        <v>2791.53173096</v>
      </c>
    </row>
    <row r="109" spans="1:5" ht="15.75" x14ac:dyDescent="0.3">
      <c r="A109" s="100" t="s">
        <v>29</v>
      </c>
      <c r="B109" s="100" t="s">
        <v>99</v>
      </c>
      <c r="C109" s="101">
        <v>67203.3024</v>
      </c>
      <c r="D109" s="213">
        <v>-1.2800000000000001E-2</v>
      </c>
      <c r="E109" s="102">
        <f>C109*D109</f>
        <v>-860.20227072</v>
      </c>
    </row>
    <row r="110" spans="1:5" ht="15.75" x14ac:dyDescent="0.3">
      <c r="A110" s="100" t="s">
        <v>29</v>
      </c>
      <c r="B110" s="100" t="s">
        <v>101</v>
      </c>
      <c r="C110" s="101">
        <v>72695.340000000011</v>
      </c>
      <c r="D110" s="213">
        <v>-4.1099999999999998E-2</v>
      </c>
      <c r="E110" s="102">
        <f>C110*D110</f>
        <v>-2987.7784740000002</v>
      </c>
    </row>
    <row r="111" spans="1:5" s="106" customFormat="1" ht="15.75" x14ac:dyDescent="0.3">
      <c r="A111" s="103" t="s">
        <v>126</v>
      </c>
      <c r="B111" s="103"/>
      <c r="C111" s="104">
        <f>SUM(C108:C110)</f>
        <v>837781.57513999997</v>
      </c>
      <c r="D111" s="105"/>
      <c r="E111" s="105">
        <f>SUM(E108:E110)</f>
        <v>-1056.4490137600001</v>
      </c>
    </row>
    <row r="112" spans="1:5" ht="15.75" x14ac:dyDescent="0.3">
      <c r="A112" s="100" t="s">
        <v>30</v>
      </c>
      <c r="B112" s="100" t="s">
        <v>98</v>
      </c>
      <c r="C112" s="101">
        <v>2212555.12</v>
      </c>
      <c r="D112" s="213">
        <v>4.0000000000000001E-3</v>
      </c>
      <c r="E112" s="102">
        <f>C112*D112</f>
        <v>8850.22048</v>
      </c>
    </row>
    <row r="113" spans="1:5" ht="15.75" x14ac:dyDescent="0.3">
      <c r="A113" s="100" t="s">
        <v>30</v>
      </c>
      <c r="B113" s="100" t="s">
        <v>99</v>
      </c>
      <c r="C113" s="101">
        <v>79380.800000000003</v>
      </c>
      <c r="D113" s="213">
        <v>-1.2800000000000001E-2</v>
      </c>
      <c r="E113" s="102">
        <f>C113*D113</f>
        <v>-1016.07424</v>
      </c>
    </row>
    <row r="114" spans="1:5" ht="15.75" x14ac:dyDescent="0.3">
      <c r="A114" s="100" t="s">
        <v>30</v>
      </c>
      <c r="B114" s="100" t="s">
        <v>101</v>
      </c>
      <c r="C114" s="101">
        <v>84186.5</v>
      </c>
      <c r="D114" s="213">
        <v>-4.1099999999999998E-2</v>
      </c>
      <c r="E114" s="102">
        <f>C114*D114</f>
        <v>-3460.0651499999999</v>
      </c>
    </row>
    <row r="115" spans="1:5" s="106" customFormat="1" ht="15.75" x14ac:dyDescent="0.3">
      <c r="A115" s="103" t="s">
        <v>127</v>
      </c>
      <c r="B115" s="103"/>
      <c r="C115" s="104">
        <f>SUM(C112:C114)</f>
        <v>2376122.42</v>
      </c>
      <c r="D115" s="105"/>
      <c r="E115" s="105">
        <f>SUM(E112:E114)</f>
        <v>4374.0810899999997</v>
      </c>
    </row>
    <row r="116" spans="1:5" ht="15.75" x14ac:dyDescent="0.3">
      <c r="A116" s="100" t="s">
        <v>31</v>
      </c>
      <c r="B116" s="100" t="s">
        <v>98</v>
      </c>
      <c r="C116" s="101">
        <v>1296825.4599999997</v>
      </c>
      <c r="D116" s="213">
        <v>4.0000000000000001E-3</v>
      </c>
      <c r="E116" s="102">
        <f>C116*D116</f>
        <v>5187.3018399999992</v>
      </c>
    </row>
    <row r="117" spans="1:5" ht="15.75" x14ac:dyDescent="0.3">
      <c r="A117" s="100" t="s">
        <v>31</v>
      </c>
      <c r="B117" s="100" t="s">
        <v>99</v>
      </c>
      <c r="C117" s="101">
        <v>273927.36</v>
      </c>
      <c r="D117" s="213">
        <v>-1.2800000000000001E-2</v>
      </c>
      <c r="E117" s="102">
        <f>C117*D117</f>
        <v>-3506.2702079999999</v>
      </c>
    </row>
    <row r="118" spans="1:5" ht="15.75" x14ac:dyDescent="0.3">
      <c r="A118" s="100" t="s">
        <v>31</v>
      </c>
      <c r="B118" s="100" t="s">
        <v>100</v>
      </c>
      <c r="C118" s="101">
        <v>166652.20000000001</v>
      </c>
      <c r="D118" s="213">
        <v>8.8999999999999999E-3</v>
      </c>
      <c r="E118" s="102">
        <f>C118*D118</f>
        <v>1483.2045800000001</v>
      </c>
    </row>
    <row r="119" spans="1:5" ht="15.75" x14ac:dyDescent="0.3">
      <c r="A119" s="100" t="s">
        <v>31</v>
      </c>
      <c r="B119" s="100" t="s">
        <v>101</v>
      </c>
      <c r="C119" s="101">
        <v>60137.61</v>
      </c>
      <c r="D119" s="213">
        <v>-4.1099999999999998E-2</v>
      </c>
      <c r="E119" s="102">
        <f>C119*D119</f>
        <v>-2471.6557709999997</v>
      </c>
    </row>
    <row r="120" spans="1:5" s="106" customFormat="1" ht="15.75" x14ac:dyDescent="0.3">
      <c r="A120" s="103" t="s">
        <v>128</v>
      </c>
      <c r="B120" s="103"/>
      <c r="C120" s="104">
        <f>SUM(C116:C119)</f>
        <v>1797542.63</v>
      </c>
      <c r="D120" s="105"/>
      <c r="E120" s="105">
        <f>SUM(E116:E119)</f>
        <v>692.58044099999961</v>
      </c>
    </row>
    <row r="121" spans="1:5" ht="15.75" x14ac:dyDescent="0.3">
      <c r="A121" s="100" t="s">
        <v>32</v>
      </c>
      <c r="B121" s="100" t="s">
        <v>98</v>
      </c>
      <c r="C121" s="101">
        <v>20330600.966600012</v>
      </c>
      <c r="D121" s="213">
        <v>4.0000000000000001E-3</v>
      </c>
      <c r="E121" s="102">
        <f>C121*D121</f>
        <v>81322.403866400055</v>
      </c>
    </row>
    <row r="122" spans="1:5" ht="15.75" x14ac:dyDescent="0.3">
      <c r="A122" s="100" t="s">
        <v>32</v>
      </c>
      <c r="B122" s="100" t="s">
        <v>99</v>
      </c>
      <c r="C122" s="101">
        <v>401957.60600000003</v>
      </c>
      <c r="D122" s="213">
        <v>-1.2800000000000001E-2</v>
      </c>
      <c r="E122" s="102">
        <f>C122*D122</f>
        <v>-5145.0573568000009</v>
      </c>
    </row>
    <row r="123" spans="1:5" ht="15.75" x14ac:dyDescent="0.3">
      <c r="A123" s="100" t="s">
        <v>32</v>
      </c>
      <c r="B123" s="100" t="s">
        <v>100</v>
      </c>
      <c r="C123" s="101">
        <v>1640698.0723999999</v>
      </c>
      <c r="D123" s="213">
        <v>8.8999999999999999E-3</v>
      </c>
      <c r="E123" s="102">
        <f>C123*D123</f>
        <v>14602.21284436</v>
      </c>
    </row>
    <row r="124" spans="1:5" ht="15.75" x14ac:dyDescent="0.3">
      <c r="A124" s="100" t="s">
        <v>32</v>
      </c>
      <c r="B124" s="100" t="s">
        <v>101</v>
      </c>
      <c r="C124" s="101">
        <v>150636.66</v>
      </c>
      <c r="D124" s="213">
        <v>-4.1099999999999998E-2</v>
      </c>
      <c r="E124" s="102">
        <f>C124*D124</f>
        <v>-6191.1667259999995</v>
      </c>
    </row>
    <row r="125" spans="1:5" s="106" customFormat="1" ht="15.75" x14ac:dyDescent="0.3">
      <c r="A125" s="103" t="s">
        <v>129</v>
      </c>
      <c r="B125" s="103"/>
      <c r="C125" s="104">
        <f>SUM(C121:C124)</f>
        <v>22523893.305000011</v>
      </c>
      <c r="D125" s="105"/>
      <c r="E125" s="105">
        <f>SUM(E121:E124)</f>
        <v>84588.392627960056</v>
      </c>
    </row>
    <row r="126" spans="1:5" ht="15.75" x14ac:dyDescent="0.3">
      <c r="A126" s="100" t="s">
        <v>33</v>
      </c>
      <c r="B126" s="100" t="s">
        <v>98</v>
      </c>
      <c r="C126" s="101">
        <v>212226.55</v>
      </c>
      <c r="D126" s="213">
        <v>4.0000000000000001E-3</v>
      </c>
      <c r="E126" s="102">
        <f>C126*D126</f>
        <v>848.90620000000001</v>
      </c>
    </row>
    <row r="127" spans="1:5" ht="15.75" x14ac:dyDescent="0.3">
      <c r="A127" s="100" t="s">
        <v>33</v>
      </c>
      <c r="B127" s="100" t="s">
        <v>99</v>
      </c>
      <c r="C127" s="101">
        <v>113149.7</v>
      </c>
      <c r="D127" s="213">
        <v>-1.2800000000000001E-2</v>
      </c>
      <c r="E127" s="102">
        <f>C127*D127</f>
        <v>-1448.3161600000001</v>
      </c>
    </row>
    <row r="128" spans="1:5" ht="15.75" x14ac:dyDescent="0.3">
      <c r="A128" s="100" t="s">
        <v>33</v>
      </c>
      <c r="B128" s="100" t="s">
        <v>101</v>
      </c>
      <c r="C128" s="101">
        <v>76518</v>
      </c>
      <c r="D128" s="213">
        <v>-4.1099999999999998E-2</v>
      </c>
      <c r="E128" s="102">
        <f>C128*D128</f>
        <v>-3144.8897999999999</v>
      </c>
    </row>
    <row r="129" spans="1:5" s="106" customFormat="1" ht="15.75" x14ac:dyDescent="0.3">
      <c r="A129" s="103" t="s">
        <v>130</v>
      </c>
      <c r="B129" s="103"/>
      <c r="C129" s="104">
        <f>SUM(C126:C128)</f>
        <v>401894.25</v>
      </c>
      <c r="D129" s="105"/>
      <c r="E129" s="105">
        <f>SUM(E126:E128)</f>
        <v>-3744.2997599999999</v>
      </c>
    </row>
    <row r="130" spans="1:5" ht="15.75" x14ac:dyDescent="0.3">
      <c r="A130" s="100" t="s">
        <v>34</v>
      </c>
      <c r="B130" s="100" t="s">
        <v>98</v>
      </c>
      <c r="C130" s="101">
        <v>2161119.6710000001</v>
      </c>
      <c r="D130" s="213">
        <v>4.0000000000000001E-3</v>
      </c>
      <c r="E130" s="102">
        <f>C130*D130</f>
        <v>8644.4786839999997</v>
      </c>
    </row>
    <row r="131" spans="1:5" ht="15.75" x14ac:dyDescent="0.3">
      <c r="A131" s="100" t="s">
        <v>34</v>
      </c>
      <c r="B131" s="100" t="s">
        <v>99</v>
      </c>
      <c r="C131" s="101">
        <v>56436.095300000001</v>
      </c>
      <c r="D131" s="213">
        <v>-1.2800000000000001E-2</v>
      </c>
      <c r="E131" s="102">
        <f>C131*D131</f>
        <v>-722.38201984</v>
      </c>
    </row>
    <row r="132" spans="1:5" ht="15.75" x14ac:dyDescent="0.3">
      <c r="A132" s="100" t="s">
        <v>34</v>
      </c>
      <c r="B132" s="100" t="s">
        <v>100</v>
      </c>
      <c r="C132" s="101">
        <v>154922</v>
      </c>
      <c r="D132" s="213">
        <v>8.8999999999999999E-3</v>
      </c>
      <c r="E132" s="102">
        <f>C132*D132</f>
        <v>1378.8058000000001</v>
      </c>
    </row>
    <row r="133" spans="1:5" ht="15.75" x14ac:dyDescent="0.3">
      <c r="A133" s="100" t="s">
        <v>34</v>
      </c>
      <c r="B133" s="100" t="s">
        <v>101</v>
      </c>
      <c r="C133" s="101">
        <v>103603.4771</v>
      </c>
      <c r="D133" s="213">
        <v>-4.1099999999999998E-2</v>
      </c>
      <c r="E133" s="102">
        <f>C133*D133</f>
        <v>-4258.1029088099995</v>
      </c>
    </row>
    <row r="134" spans="1:5" s="106" customFormat="1" ht="15.75" x14ac:dyDescent="0.3">
      <c r="A134" s="103" t="s">
        <v>131</v>
      </c>
      <c r="B134" s="103"/>
      <c r="C134" s="104">
        <f>SUM(C130:C133)</f>
        <v>2476081.2434</v>
      </c>
      <c r="D134" s="105"/>
      <c r="E134" s="105">
        <f>SUM(E130:E133)</f>
        <v>5042.7995553500014</v>
      </c>
    </row>
    <row r="135" spans="1:5" ht="15.75" x14ac:dyDescent="0.3">
      <c r="A135" s="100" t="s">
        <v>35</v>
      </c>
      <c r="B135" s="100" t="s">
        <v>98</v>
      </c>
      <c r="C135" s="101">
        <v>606976.82700000005</v>
      </c>
      <c r="D135" s="213">
        <v>4.0000000000000001E-3</v>
      </c>
      <c r="E135" s="102">
        <f>C135*D135</f>
        <v>2427.9073080000003</v>
      </c>
    </row>
    <row r="136" spans="1:5" ht="15.75" x14ac:dyDescent="0.3">
      <c r="A136" s="100" t="s">
        <v>35</v>
      </c>
      <c r="B136" s="100" t="s">
        <v>99</v>
      </c>
      <c r="C136" s="101">
        <v>118880</v>
      </c>
      <c r="D136" s="213">
        <v>-1.2800000000000001E-2</v>
      </c>
      <c r="E136" s="102">
        <f>C136*D136</f>
        <v>-1521.664</v>
      </c>
    </row>
    <row r="137" spans="1:5" ht="15.75" x14ac:dyDescent="0.3">
      <c r="A137" s="100" t="s">
        <v>35</v>
      </c>
      <c r="B137" s="100" t="s">
        <v>100</v>
      </c>
      <c r="C137" s="101">
        <v>130808.98</v>
      </c>
      <c r="D137" s="213">
        <v>8.8999999999999999E-3</v>
      </c>
      <c r="E137" s="102">
        <f>C137*D137</f>
        <v>1164.199922</v>
      </c>
    </row>
    <row r="138" spans="1:5" ht="15.75" x14ac:dyDescent="0.3">
      <c r="A138" s="100" t="s">
        <v>35</v>
      </c>
      <c r="B138" s="100" t="s">
        <v>101</v>
      </c>
      <c r="C138" s="101">
        <v>84075</v>
      </c>
      <c r="D138" s="213">
        <v>-4.1099999999999998E-2</v>
      </c>
      <c r="E138" s="102">
        <f>C138*D138</f>
        <v>-3455.4824999999996</v>
      </c>
    </row>
    <row r="139" spans="1:5" s="106" customFormat="1" ht="15.75" x14ac:dyDescent="0.3">
      <c r="A139" s="103" t="s">
        <v>132</v>
      </c>
      <c r="B139" s="103"/>
      <c r="C139" s="104">
        <f>SUM(C135:C138)</f>
        <v>940740.80700000003</v>
      </c>
      <c r="D139" s="105"/>
      <c r="E139" s="105">
        <f>SUM(E135:E138)</f>
        <v>-1385.0392699999993</v>
      </c>
    </row>
    <row r="140" spans="1:5" ht="15.75" x14ac:dyDescent="0.3">
      <c r="A140" s="100" t="s">
        <v>36</v>
      </c>
      <c r="B140" s="100" t="s">
        <v>98</v>
      </c>
      <c r="C140" s="101">
        <v>216132.59999999998</v>
      </c>
      <c r="D140" s="213">
        <v>4.0000000000000001E-3</v>
      </c>
      <c r="E140" s="102">
        <f>C140*D140</f>
        <v>864.53039999999987</v>
      </c>
    </row>
    <row r="141" spans="1:5" ht="15.75" x14ac:dyDescent="0.3">
      <c r="A141" s="100" t="s">
        <v>36</v>
      </c>
      <c r="B141" s="100" t="s">
        <v>99</v>
      </c>
      <c r="C141" s="101">
        <v>105809.2</v>
      </c>
      <c r="D141" s="213">
        <v>-1.2800000000000001E-2</v>
      </c>
      <c r="E141" s="102">
        <f>C141*D141</f>
        <v>-1354.3577600000001</v>
      </c>
    </row>
    <row r="142" spans="1:5" ht="15.75" x14ac:dyDescent="0.3">
      <c r="A142" s="100" t="s">
        <v>36</v>
      </c>
      <c r="B142" s="100" t="s">
        <v>101</v>
      </c>
      <c r="C142" s="101">
        <v>61786.400000000001</v>
      </c>
      <c r="D142" s="213">
        <v>-4.1099999999999998E-2</v>
      </c>
      <c r="E142" s="102">
        <f>C142*D142</f>
        <v>-2539.4210399999997</v>
      </c>
    </row>
    <row r="143" spans="1:5" s="106" customFormat="1" ht="15.75" x14ac:dyDescent="0.3">
      <c r="A143" s="103" t="s">
        <v>133</v>
      </c>
      <c r="B143" s="103"/>
      <c r="C143" s="104">
        <f>SUM(C140:C142)</f>
        <v>383728.2</v>
      </c>
      <c r="D143" s="105"/>
      <c r="E143" s="105">
        <f>SUM(E140:E142)</f>
        <v>-3029.2483999999999</v>
      </c>
    </row>
    <row r="144" spans="1:5" ht="15.75" x14ac:dyDescent="0.3">
      <c r="A144" s="100" t="s">
        <v>37</v>
      </c>
      <c r="B144" s="100" t="s">
        <v>98</v>
      </c>
      <c r="C144" s="101">
        <v>146662.86479999998</v>
      </c>
      <c r="D144" s="213">
        <v>4.0000000000000001E-3</v>
      </c>
      <c r="E144" s="102">
        <f>C144*D144</f>
        <v>586.65145919999998</v>
      </c>
    </row>
    <row r="145" spans="1:5" ht="15.75" x14ac:dyDescent="0.3">
      <c r="A145" s="100" t="s">
        <v>37</v>
      </c>
      <c r="B145" s="100" t="s">
        <v>101</v>
      </c>
      <c r="C145" s="101">
        <v>73441.2</v>
      </c>
      <c r="D145" s="213">
        <v>-4.1099999999999998E-2</v>
      </c>
      <c r="E145" s="102">
        <f>C145*D145</f>
        <v>-3018.4333199999996</v>
      </c>
    </row>
    <row r="146" spans="1:5" s="106" customFormat="1" ht="15.75" x14ac:dyDescent="0.3">
      <c r="A146" s="103" t="s">
        <v>134</v>
      </c>
      <c r="B146" s="103"/>
      <c r="C146" s="104">
        <f>SUM(C144:C145)</f>
        <v>220104.06479999999</v>
      </c>
      <c r="D146" s="105"/>
      <c r="E146" s="105">
        <f>SUM(E144:E145)</f>
        <v>-2431.7818607999998</v>
      </c>
    </row>
    <row r="147" spans="1:5" ht="15.75" x14ac:dyDescent="0.3">
      <c r="A147" s="100" t="s">
        <v>38</v>
      </c>
      <c r="B147" s="100" t="s">
        <v>98</v>
      </c>
      <c r="C147" s="101">
        <v>4347006.72</v>
      </c>
      <c r="D147" s="213">
        <v>4.0000000000000001E-3</v>
      </c>
      <c r="E147" s="102">
        <f>C147*D147</f>
        <v>17388.026879999998</v>
      </c>
    </row>
    <row r="148" spans="1:5" ht="15.75" x14ac:dyDescent="0.3">
      <c r="A148" s="100" t="s">
        <v>38</v>
      </c>
      <c r="B148" s="100" t="s">
        <v>99</v>
      </c>
      <c r="C148" s="101">
        <v>189873.72000000003</v>
      </c>
      <c r="D148" s="213">
        <v>-1.2800000000000001E-2</v>
      </c>
      <c r="E148" s="102">
        <f>C148*D148</f>
        <v>-2430.3836160000005</v>
      </c>
    </row>
    <row r="149" spans="1:5" ht="15.75" x14ac:dyDescent="0.3">
      <c r="A149" s="100" t="s">
        <v>38</v>
      </c>
      <c r="B149" s="100" t="s">
        <v>100</v>
      </c>
      <c r="C149" s="101">
        <v>517124.1</v>
      </c>
      <c r="D149" s="213">
        <v>8.8999999999999999E-3</v>
      </c>
      <c r="E149" s="102">
        <f>C149*D149</f>
        <v>4602.4044899999999</v>
      </c>
    </row>
    <row r="150" spans="1:5" ht="15.75" x14ac:dyDescent="0.3">
      <c r="A150" s="100" t="s">
        <v>38</v>
      </c>
      <c r="B150" s="100" t="s">
        <v>101</v>
      </c>
      <c r="C150" s="101">
        <v>100309.86</v>
      </c>
      <c r="D150" s="213">
        <v>-4.1099999999999998E-2</v>
      </c>
      <c r="E150" s="102">
        <f>C150*D150</f>
        <v>-4122.7352460000002</v>
      </c>
    </row>
    <row r="151" spans="1:5" s="106" customFormat="1" ht="15.75" x14ac:dyDescent="0.3">
      <c r="A151" s="103" t="s">
        <v>135</v>
      </c>
      <c r="B151" s="103"/>
      <c r="C151" s="104">
        <f>SUM(C147:C150)</f>
        <v>5154314.3999999994</v>
      </c>
      <c r="D151" s="105"/>
      <c r="E151" s="105">
        <f>SUM(E147:E150)</f>
        <v>15437.312507999995</v>
      </c>
    </row>
    <row r="152" spans="1:5" ht="15.75" x14ac:dyDescent="0.3">
      <c r="A152" s="100" t="s">
        <v>39</v>
      </c>
      <c r="B152" s="100" t="s">
        <v>98</v>
      </c>
      <c r="C152" s="101">
        <v>8349022.4574999986</v>
      </c>
      <c r="D152" s="213">
        <v>4.0000000000000001E-3</v>
      </c>
      <c r="E152" s="102">
        <f>C152*D152</f>
        <v>33396.089829999997</v>
      </c>
    </row>
    <row r="153" spans="1:5" ht="15.75" x14ac:dyDescent="0.3">
      <c r="A153" s="100" t="s">
        <v>39</v>
      </c>
      <c r="B153" s="100" t="s">
        <v>99</v>
      </c>
      <c r="C153" s="101">
        <v>213714.67000000004</v>
      </c>
      <c r="D153" s="213">
        <v>-1.2800000000000001E-2</v>
      </c>
      <c r="E153" s="102">
        <f>C153*D153</f>
        <v>-2735.5477760000008</v>
      </c>
    </row>
    <row r="154" spans="1:5" ht="15.75" x14ac:dyDescent="0.3">
      <c r="A154" s="100" t="s">
        <v>39</v>
      </c>
      <c r="B154" s="100" t="s">
        <v>100</v>
      </c>
      <c r="C154" s="101">
        <v>396346.005</v>
      </c>
      <c r="D154" s="213">
        <v>8.8999999999999999E-3</v>
      </c>
      <c r="E154" s="102">
        <f>C154*D154</f>
        <v>3527.4794445000002</v>
      </c>
    </row>
    <row r="155" spans="1:5" ht="15.75" x14ac:dyDescent="0.3">
      <c r="A155" s="100" t="s">
        <v>39</v>
      </c>
      <c r="B155" s="100" t="s">
        <v>101</v>
      </c>
      <c r="C155" s="101">
        <v>102699.54</v>
      </c>
      <c r="D155" s="213">
        <v>-4.1099999999999998E-2</v>
      </c>
      <c r="E155" s="102">
        <f>C155*D155</f>
        <v>-4220.9510939999991</v>
      </c>
    </row>
    <row r="156" spans="1:5" s="106" customFormat="1" ht="15.75" x14ac:dyDescent="0.3">
      <c r="A156" s="103" t="s">
        <v>136</v>
      </c>
      <c r="B156" s="103"/>
      <c r="C156" s="104">
        <f>SUM(C152:C155)</f>
        <v>9061782.6724999994</v>
      </c>
      <c r="D156" s="105"/>
      <c r="E156" s="105">
        <f>SUM(E152:E155)</f>
        <v>29967.070404499998</v>
      </c>
    </row>
    <row r="157" spans="1:5" ht="15.75" x14ac:dyDescent="0.3">
      <c r="A157" s="100" t="s">
        <v>40</v>
      </c>
      <c r="B157" s="100" t="s">
        <v>98</v>
      </c>
      <c r="C157" s="101">
        <v>3626568.9290920012</v>
      </c>
      <c r="D157" s="213">
        <v>4.0000000000000001E-3</v>
      </c>
      <c r="E157" s="102">
        <f>C157*D157</f>
        <v>14506.275716368005</v>
      </c>
    </row>
    <row r="158" spans="1:5" ht="15.75" x14ac:dyDescent="0.3">
      <c r="A158" s="100" t="s">
        <v>40</v>
      </c>
      <c r="B158" s="100" t="s">
        <v>99</v>
      </c>
      <c r="C158" s="101">
        <v>330420.87102399999</v>
      </c>
      <c r="D158" s="213">
        <v>-1.2800000000000001E-2</v>
      </c>
      <c r="E158" s="102">
        <f>C158*D158</f>
        <v>-4229.3871491072005</v>
      </c>
    </row>
    <row r="159" spans="1:5" ht="15.75" x14ac:dyDescent="0.3">
      <c r="A159" s="100" t="s">
        <v>40</v>
      </c>
      <c r="B159" s="100" t="s">
        <v>100</v>
      </c>
      <c r="C159" s="101">
        <v>173276.41868800001</v>
      </c>
      <c r="D159" s="213">
        <v>8.8999999999999999E-3</v>
      </c>
      <c r="E159" s="102">
        <f>C159*D159</f>
        <v>1542.1601263232001</v>
      </c>
    </row>
    <row r="160" spans="1:5" ht="15.75" x14ac:dyDescent="0.3">
      <c r="A160" s="100" t="s">
        <v>40</v>
      </c>
      <c r="B160" s="100" t="s">
        <v>101</v>
      </c>
      <c r="C160" s="101">
        <v>135253.818</v>
      </c>
      <c r="D160" s="213">
        <v>-4.1099999999999998E-2</v>
      </c>
      <c r="E160" s="102">
        <f>C160*D160</f>
        <v>-5558.9319197999994</v>
      </c>
    </row>
    <row r="161" spans="1:5" s="106" customFormat="1" ht="15.75" x14ac:dyDescent="0.3">
      <c r="A161" s="103" t="s">
        <v>137</v>
      </c>
      <c r="B161" s="103"/>
      <c r="C161" s="104">
        <f>SUM(C157:C160)</f>
        <v>4265520.0368040018</v>
      </c>
      <c r="D161" s="105"/>
      <c r="E161" s="105">
        <f>SUM(E157:E160)</f>
        <v>6260.116773784006</v>
      </c>
    </row>
    <row r="162" spans="1:5" ht="15.75" x14ac:dyDescent="0.3">
      <c r="A162" s="100" t="s">
        <v>41</v>
      </c>
      <c r="B162" s="100" t="s">
        <v>98</v>
      </c>
      <c r="C162" s="101">
        <v>709435.60000000021</v>
      </c>
      <c r="D162" s="213">
        <v>4.0000000000000001E-3</v>
      </c>
      <c r="E162" s="102">
        <f>C162*D162</f>
        <v>2837.742400000001</v>
      </c>
    </row>
    <row r="163" spans="1:5" ht="15.75" x14ac:dyDescent="0.3">
      <c r="A163" s="100" t="s">
        <v>41</v>
      </c>
      <c r="B163" s="100" t="s">
        <v>99</v>
      </c>
      <c r="C163" s="101">
        <v>122627.54000000001</v>
      </c>
      <c r="D163" s="213">
        <v>-1.2800000000000001E-2</v>
      </c>
      <c r="E163" s="102">
        <f>C163*D163</f>
        <v>-1569.6325120000001</v>
      </c>
    </row>
    <row r="164" spans="1:5" ht="15.75" x14ac:dyDescent="0.3">
      <c r="A164" s="100" t="s">
        <v>41</v>
      </c>
      <c r="B164" s="100" t="s">
        <v>101</v>
      </c>
      <c r="C164" s="101">
        <v>83113.2</v>
      </c>
      <c r="D164" s="213">
        <v>-4.1099999999999998E-2</v>
      </c>
      <c r="E164" s="102">
        <f>C164*D164</f>
        <v>-3415.9525199999998</v>
      </c>
    </row>
    <row r="165" spans="1:5" s="106" customFormat="1" ht="15.75" x14ac:dyDescent="0.3">
      <c r="A165" s="103" t="s">
        <v>138</v>
      </c>
      <c r="B165" s="103"/>
      <c r="C165" s="104">
        <f>SUM(C162:C164)</f>
        <v>915176.3400000002</v>
      </c>
      <c r="D165" s="105"/>
      <c r="E165" s="105">
        <f>SUM(E162:E164)</f>
        <v>-2147.842631999999</v>
      </c>
    </row>
    <row r="166" spans="1:5" ht="15.75" x14ac:dyDescent="0.3">
      <c r="A166" s="100" t="s">
        <v>42</v>
      </c>
      <c r="B166" s="100" t="s">
        <v>98</v>
      </c>
      <c r="C166" s="101">
        <v>171045.6</v>
      </c>
      <c r="D166" s="213">
        <v>4.0000000000000001E-3</v>
      </c>
      <c r="E166" s="102">
        <f>C166*D166</f>
        <v>684.18240000000003</v>
      </c>
    </row>
    <row r="167" spans="1:5" ht="15.75" x14ac:dyDescent="0.3">
      <c r="A167" s="100" t="s">
        <v>42</v>
      </c>
      <c r="B167" s="100" t="s">
        <v>99</v>
      </c>
      <c r="C167" s="101">
        <v>79944.800000000003</v>
      </c>
      <c r="D167" s="213">
        <v>-1.2800000000000001E-2</v>
      </c>
      <c r="E167" s="102">
        <f>C167*D167</f>
        <v>-1023.29344</v>
      </c>
    </row>
    <row r="168" spans="1:5" ht="15.75" x14ac:dyDescent="0.3">
      <c r="A168" s="100" t="s">
        <v>42</v>
      </c>
      <c r="B168" s="100" t="s">
        <v>101</v>
      </c>
      <c r="C168" s="101">
        <v>72216</v>
      </c>
      <c r="D168" s="213">
        <v>-4.1099999999999998E-2</v>
      </c>
      <c r="E168" s="102">
        <f>C168*D168</f>
        <v>-2968.0775999999996</v>
      </c>
    </row>
    <row r="169" spans="1:5" s="106" customFormat="1" ht="15.75" x14ac:dyDescent="0.3">
      <c r="A169" s="103" t="s">
        <v>139</v>
      </c>
      <c r="B169" s="103"/>
      <c r="C169" s="104">
        <f>SUM(C166:C168)</f>
        <v>323206.40000000002</v>
      </c>
      <c r="D169" s="105"/>
      <c r="E169" s="105">
        <f>SUM(E166:E168)</f>
        <v>-3307.1886399999994</v>
      </c>
    </row>
    <row r="170" spans="1:5" ht="15.75" x14ac:dyDescent="0.3">
      <c r="A170" s="100" t="s">
        <v>43</v>
      </c>
      <c r="B170" s="100" t="s">
        <v>98</v>
      </c>
      <c r="C170" s="101">
        <v>339650.48</v>
      </c>
      <c r="D170" s="213">
        <v>4.0000000000000001E-3</v>
      </c>
      <c r="E170" s="102">
        <f>C170*D170</f>
        <v>1358.6019200000001</v>
      </c>
    </row>
    <row r="171" spans="1:5" ht="15.75" x14ac:dyDescent="0.3">
      <c r="A171" s="100" t="s">
        <v>43</v>
      </c>
      <c r="B171" s="100" t="s">
        <v>101</v>
      </c>
      <c r="C171" s="101">
        <v>60621</v>
      </c>
      <c r="D171" s="213">
        <v>-4.1099999999999998E-2</v>
      </c>
      <c r="E171" s="102">
        <f>C171*D171</f>
        <v>-2491.5230999999999</v>
      </c>
    </row>
    <row r="172" spans="1:5" s="106" customFormat="1" ht="15.75" x14ac:dyDescent="0.3">
      <c r="A172" s="103" t="s">
        <v>140</v>
      </c>
      <c r="B172" s="103"/>
      <c r="C172" s="104">
        <f>SUM(C170:C171)</f>
        <v>400271.48</v>
      </c>
      <c r="D172" s="105"/>
      <c r="E172" s="105">
        <f>SUM(E170:E171)</f>
        <v>-1132.9211799999998</v>
      </c>
    </row>
    <row r="173" spans="1:5" ht="15.75" x14ac:dyDescent="0.3">
      <c r="A173" s="100" t="s">
        <v>44</v>
      </c>
      <c r="B173" s="100" t="s">
        <v>98</v>
      </c>
      <c r="C173" s="101">
        <v>3920559.1607600008</v>
      </c>
      <c r="D173" s="213">
        <v>4.0000000000000001E-3</v>
      </c>
      <c r="E173" s="102">
        <f>C173*D173</f>
        <v>15682.236643040003</v>
      </c>
    </row>
    <row r="174" spans="1:5" ht="15.75" x14ac:dyDescent="0.3">
      <c r="A174" s="100" t="s">
        <v>44</v>
      </c>
      <c r="B174" s="100" t="s">
        <v>99</v>
      </c>
      <c r="C174" s="101">
        <v>79325.903488000011</v>
      </c>
      <c r="D174" s="213">
        <v>-1.2800000000000001E-2</v>
      </c>
      <c r="E174" s="102">
        <f>C174*D174</f>
        <v>-1015.3715646464002</v>
      </c>
    </row>
    <row r="175" spans="1:5" ht="15.75" x14ac:dyDescent="0.3">
      <c r="A175" s="100" t="s">
        <v>44</v>
      </c>
      <c r="B175" s="100" t="s">
        <v>100</v>
      </c>
      <c r="C175" s="101">
        <v>577464.96704000002</v>
      </c>
      <c r="D175" s="213">
        <v>8.8999999999999999E-3</v>
      </c>
      <c r="E175" s="102">
        <f>C175*D175</f>
        <v>5139.4382066560001</v>
      </c>
    </row>
    <row r="176" spans="1:5" ht="15.75" x14ac:dyDescent="0.3">
      <c r="A176" s="100" t="s">
        <v>44</v>
      </c>
      <c r="B176" s="100" t="s">
        <v>101</v>
      </c>
      <c r="C176" s="101">
        <v>98258.017200000002</v>
      </c>
      <c r="D176" s="213">
        <v>-4.1099999999999998E-2</v>
      </c>
      <c r="E176" s="102">
        <f>C176*D176</f>
        <v>-4038.4045069199997</v>
      </c>
    </row>
    <row r="177" spans="1:5" s="106" customFormat="1" ht="15.75" x14ac:dyDescent="0.3">
      <c r="A177" s="103" t="s">
        <v>141</v>
      </c>
      <c r="B177" s="103"/>
      <c r="C177" s="104">
        <f>SUM(C173:C176)</f>
        <v>4675608.0484880004</v>
      </c>
      <c r="D177" s="105"/>
      <c r="E177" s="105">
        <f>SUM(E173:E176)</f>
        <v>15767.898778129602</v>
      </c>
    </row>
    <row r="178" spans="1:5" ht="15.75" x14ac:dyDescent="0.3">
      <c r="A178" s="100" t="s">
        <v>45</v>
      </c>
      <c r="B178" s="100" t="s">
        <v>98</v>
      </c>
      <c r="C178" s="101">
        <v>4866062.7520000003</v>
      </c>
      <c r="D178" s="213">
        <v>4.0000000000000001E-3</v>
      </c>
      <c r="E178" s="102">
        <f>C178*D178</f>
        <v>19464.251008000003</v>
      </c>
    </row>
    <row r="179" spans="1:5" ht="15.75" x14ac:dyDescent="0.3">
      <c r="A179" s="100" t="s">
        <v>45</v>
      </c>
      <c r="B179" s="100" t="s">
        <v>99</v>
      </c>
      <c r="C179" s="101">
        <v>123291</v>
      </c>
      <c r="D179" s="213">
        <v>-1.2800000000000001E-2</v>
      </c>
      <c r="E179" s="102">
        <f>C179*D179</f>
        <v>-1578.1248000000001</v>
      </c>
    </row>
    <row r="180" spans="1:5" ht="15.75" x14ac:dyDescent="0.3">
      <c r="A180" s="100" t="s">
        <v>45</v>
      </c>
      <c r="B180" s="100" t="s">
        <v>101</v>
      </c>
      <c r="C180" s="101">
        <v>108792.44500000001</v>
      </c>
      <c r="D180" s="213">
        <v>-4.1099999999999998E-2</v>
      </c>
      <c r="E180" s="102">
        <f>C180*D180</f>
        <v>-4471.3694894999999</v>
      </c>
    </row>
    <row r="181" spans="1:5" s="106" customFormat="1" ht="15.75" x14ac:dyDescent="0.3">
      <c r="A181" s="103" t="s">
        <v>142</v>
      </c>
      <c r="B181" s="103"/>
      <c r="C181" s="104">
        <f>SUM(C178:C180)</f>
        <v>5098146.1970000006</v>
      </c>
      <c r="D181" s="105"/>
      <c r="E181" s="105">
        <f>SUM(E178:E180)</f>
        <v>13414.756718500001</v>
      </c>
    </row>
    <row r="182" spans="1:5" ht="15.75" x14ac:dyDescent="0.3">
      <c r="A182" s="100" t="s">
        <v>46</v>
      </c>
      <c r="B182" s="100" t="s">
        <v>98</v>
      </c>
      <c r="C182" s="101">
        <v>2233094.2409959035</v>
      </c>
      <c r="D182" s="213">
        <v>4.0000000000000001E-3</v>
      </c>
      <c r="E182" s="102">
        <f>C182*D182</f>
        <v>8932.3769639836137</v>
      </c>
    </row>
    <row r="183" spans="1:5" ht="15.75" x14ac:dyDescent="0.3">
      <c r="A183" s="100" t="s">
        <v>46</v>
      </c>
      <c r="B183" s="100" t="s">
        <v>99</v>
      </c>
      <c r="C183" s="101">
        <v>238298.31999999995</v>
      </c>
      <c r="D183" s="213">
        <v>-1.2800000000000001E-2</v>
      </c>
      <c r="E183" s="102">
        <f>C183*D183</f>
        <v>-3050.2184959999995</v>
      </c>
    </row>
    <row r="184" spans="1:5" ht="15.75" x14ac:dyDescent="0.3">
      <c r="A184" s="100" t="s">
        <v>46</v>
      </c>
      <c r="B184" s="100" t="s">
        <v>100</v>
      </c>
      <c r="C184" s="101">
        <v>284201.52</v>
      </c>
      <c r="D184" s="213">
        <v>8.8999999999999999E-3</v>
      </c>
      <c r="E184" s="102">
        <f>C184*D184</f>
        <v>2529.3935280000001</v>
      </c>
    </row>
    <row r="185" spans="1:5" s="106" customFormat="1" ht="15.75" x14ac:dyDescent="0.3">
      <c r="A185" s="103" t="s">
        <v>143</v>
      </c>
      <c r="B185" s="103"/>
      <c r="C185" s="104">
        <f>SUM(C182:C184)</f>
        <v>2755594.0809959034</v>
      </c>
      <c r="D185" s="105"/>
      <c r="E185" s="105">
        <f>SUM(E182:E184)</f>
        <v>8411.5519959836147</v>
      </c>
    </row>
    <row r="186" spans="1:5" ht="15.75" x14ac:dyDescent="0.3">
      <c r="A186" s="100" t="s">
        <v>47</v>
      </c>
      <c r="B186" s="100" t="s">
        <v>98</v>
      </c>
      <c r="C186" s="101">
        <v>48209579.372923054</v>
      </c>
      <c r="D186" s="213">
        <v>4.0000000000000001E-3</v>
      </c>
      <c r="E186" s="102">
        <f>C186*D186</f>
        <v>192838.31749169223</v>
      </c>
    </row>
    <row r="187" spans="1:5" ht="15.75" x14ac:dyDescent="0.3">
      <c r="A187" s="100" t="s">
        <v>47</v>
      </c>
      <c r="B187" s="100" t="s">
        <v>99</v>
      </c>
      <c r="C187" s="101">
        <v>275174.75836110301</v>
      </c>
      <c r="D187" s="213">
        <v>-1.2800000000000001E-2</v>
      </c>
      <c r="E187" s="102">
        <f>C187*D187</f>
        <v>-3522.2369070221189</v>
      </c>
    </row>
    <row r="188" spans="1:5" ht="15.75" x14ac:dyDescent="0.3">
      <c r="A188" s="100" t="s">
        <v>47</v>
      </c>
      <c r="B188" s="100" t="s">
        <v>100</v>
      </c>
      <c r="C188" s="101">
        <v>3508803.8002406014</v>
      </c>
      <c r="D188" s="213">
        <v>8.8999999999999999E-3</v>
      </c>
      <c r="E188" s="102">
        <f>C188*D188</f>
        <v>31228.353822141351</v>
      </c>
    </row>
    <row r="189" spans="1:5" ht="15.75" x14ac:dyDescent="0.3">
      <c r="A189" s="100" t="s">
        <v>47</v>
      </c>
      <c r="B189" s="100" t="s">
        <v>101</v>
      </c>
      <c r="C189" s="101">
        <v>172846.567341577</v>
      </c>
      <c r="D189" s="213">
        <v>-4.1099999999999998E-2</v>
      </c>
      <c r="E189" s="102">
        <f>C189*D189</f>
        <v>-7103.9939177388142</v>
      </c>
    </row>
    <row r="190" spans="1:5" s="106" customFormat="1" ht="15.75" x14ac:dyDescent="0.3">
      <c r="A190" s="103" t="s">
        <v>144</v>
      </c>
      <c r="B190" s="103"/>
      <c r="C190" s="104">
        <f>SUM(C186:C189)</f>
        <v>52166404.498866327</v>
      </c>
      <c r="D190" s="105"/>
      <c r="E190" s="105">
        <f>SUM(E186:E189)</f>
        <v>213440.44048907264</v>
      </c>
    </row>
    <row r="191" spans="1:5" ht="15.75" x14ac:dyDescent="0.3">
      <c r="A191" s="100" t="s">
        <v>48</v>
      </c>
      <c r="B191" s="100" t="s">
        <v>98</v>
      </c>
      <c r="C191" s="101">
        <v>4074526.35</v>
      </c>
      <c r="D191" s="213">
        <v>4.0000000000000001E-3</v>
      </c>
      <c r="E191" s="102">
        <f>C191*D191</f>
        <v>16298.1054</v>
      </c>
    </row>
    <row r="192" spans="1:5" ht="15.75" x14ac:dyDescent="0.3">
      <c r="A192" s="100" t="s">
        <v>48</v>
      </c>
      <c r="B192" s="100" t="s">
        <v>99</v>
      </c>
      <c r="C192" s="101">
        <v>641200</v>
      </c>
      <c r="D192" s="213">
        <v>-1.2800000000000001E-2</v>
      </c>
      <c r="E192" s="102">
        <f>C192*D192</f>
        <v>-8207.36</v>
      </c>
    </row>
    <row r="193" spans="1:5" ht="15.75" x14ac:dyDescent="0.3">
      <c r="A193" s="100" t="s">
        <v>48</v>
      </c>
      <c r="B193" s="100" t="s">
        <v>100</v>
      </c>
      <c r="C193" s="101">
        <v>200437</v>
      </c>
      <c r="D193" s="213">
        <v>8.8999999999999999E-3</v>
      </c>
      <c r="E193" s="102">
        <f>C193*D193</f>
        <v>1783.8893</v>
      </c>
    </row>
    <row r="194" spans="1:5" ht="15.75" x14ac:dyDescent="0.3">
      <c r="A194" s="100" t="s">
        <v>48</v>
      </c>
      <c r="B194" s="100" t="s">
        <v>101</v>
      </c>
      <c r="C194" s="101">
        <v>73097</v>
      </c>
      <c r="D194" s="213">
        <v>-4.1099999999999998E-2</v>
      </c>
      <c r="E194" s="102">
        <f>C194*D194</f>
        <v>-3004.2866999999997</v>
      </c>
    </row>
    <row r="195" spans="1:5" s="106" customFormat="1" ht="15.75" x14ac:dyDescent="0.3">
      <c r="A195" s="103" t="s">
        <v>145</v>
      </c>
      <c r="B195" s="103"/>
      <c r="C195" s="104">
        <f>SUM(C191:C194)</f>
        <v>4989260.3499999996</v>
      </c>
      <c r="D195" s="105"/>
      <c r="E195" s="105">
        <f>SUM(E191:E194)</f>
        <v>6870.3480000000009</v>
      </c>
    </row>
    <row r="196" spans="1:5" ht="15.75" x14ac:dyDescent="0.3">
      <c r="A196" s="100" t="s">
        <v>49</v>
      </c>
      <c r="B196" s="100" t="s">
        <v>98</v>
      </c>
      <c r="C196" s="101">
        <v>1166896.4317099997</v>
      </c>
      <c r="D196" s="213">
        <v>4.0000000000000001E-3</v>
      </c>
      <c r="E196" s="102">
        <f>C196*D196</f>
        <v>4667.5857268399986</v>
      </c>
    </row>
    <row r="197" spans="1:5" ht="15.75" x14ac:dyDescent="0.3">
      <c r="A197" s="100" t="s">
        <v>49</v>
      </c>
      <c r="B197" s="100" t="s">
        <v>99</v>
      </c>
      <c r="C197" s="101">
        <v>50684.497500000012</v>
      </c>
      <c r="D197" s="213">
        <v>-1.2800000000000001E-2</v>
      </c>
      <c r="E197" s="102">
        <f>C197*D197</f>
        <v>-648.76156800000024</v>
      </c>
    </row>
    <row r="198" spans="1:5" ht="15.75" x14ac:dyDescent="0.3">
      <c r="A198" s="100" t="s">
        <v>49</v>
      </c>
      <c r="B198" s="100" t="s">
        <v>100</v>
      </c>
      <c r="C198" s="101">
        <v>60285.268609999999</v>
      </c>
      <c r="D198" s="213">
        <v>8.8999999999999999E-3</v>
      </c>
      <c r="E198" s="102">
        <f>C198*D198</f>
        <v>536.53889062899998</v>
      </c>
    </row>
    <row r="199" spans="1:5" ht="15.75" x14ac:dyDescent="0.3">
      <c r="A199" s="100" t="s">
        <v>49</v>
      </c>
      <c r="B199" s="100" t="s">
        <v>101</v>
      </c>
      <c r="C199" s="101">
        <v>15511.02</v>
      </c>
      <c r="D199" s="213">
        <v>-4.1099999999999998E-2</v>
      </c>
      <c r="E199" s="102">
        <f>C199*D199</f>
        <v>-637.50292200000001</v>
      </c>
    </row>
    <row r="200" spans="1:5" s="106" customFormat="1" ht="15.75" x14ac:dyDescent="0.3">
      <c r="A200" s="103" t="s">
        <v>146</v>
      </c>
      <c r="B200" s="103"/>
      <c r="C200" s="104">
        <f>SUM(C196:C199)</f>
        <v>1293377.2178199997</v>
      </c>
      <c r="D200" s="105"/>
      <c r="E200" s="105">
        <f>SUM(E196:E199)</f>
        <v>3917.8601274689986</v>
      </c>
    </row>
    <row r="201" spans="1:5" ht="15.75" x14ac:dyDescent="0.3">
      <c r="A201" s="100" t="s">
        <v>50</v>
      </c>
      <c r="B201" s="100" t="s">
        <v>98</v>
      </c>
      <c r="C201" s="101">
        <v>2605655.1937229605</v>
      </c>
      <c r="D201" s="213">
        <v>4.0000000000000001E-3</v>
      </c>
      <c r="E201" s="102">
        <f>C201*D201</f>
        <v>10422.620774891842</v>
      </c>
    </row>
    <row r="202" spans="1:5" ht="15.75" x14ac:dyDescent="0.3">
      <c r="A202" s="100" t="s">
        <v>50</v>
      </c>
      <c r="B202" s="100" t="s">
        <v>99</v>
      </c>
      <c r="C202" s="101">
        <v>471796.44143328001</v>
      </c>
      <c r="D202" s="213">
        <v>-1.2800000000000001E-2</v>
      </c>
      <c r="E202" s="102">
        <f>C202*D202</f>
        <v>-6038.9944503459847</v>
      </c>
    </row>
    <row r="203" spans="1:5" ht="15.75" x14ac:dyDescent="0.3">
      <c r="A203" s="100" t="s">
        <v>50</v>
      </c>
      <c r="B203" s="100" t="s">
        <v>100</v>
      </c>
      <c r="C203" s="101">
        <v>93894.041561599995</v>
      </c>
      <c r="D203" s="213">
        <v>8.8999999999999999E-3</v>
      </c>
      <c r="E203" s="102">
        <f>C203*D203</f>
        <v>835.65696989823994</v>
      </c>
    </row>
    <row r="204" spans="1:5" ht="15.75" x14ac:dyDescent="0.3">
      <c r="A204" s="100" t="s">
        <v>50</v>
      </c>
      <c r="B204" s="100" t="s">
        <v>101</v>
      </c>
      <c r="C204" s="101">
        <v>102604.575664</v>
      </c>
      <c r="D204" s="213">
        <v>-4.1099999999999998E-2</v>
      </c>
      <c r="E204" s="102">
        <f>C204*D204</f>
        <v>-4217.0480597903997</v>
      </c>
    </row>
    <row r="205" spans="1:5" ht="15.75" x14ac:dyDescent="0.3">
      <c r="A205" s="103" t="s">
        <v>147</v>
      </c>
      <c r="B205" s="103"/>
      <c r="C205" s="104">
        <f>SUM(C201:C204)</f>
        <v>3273950.2523818403</v>
      </c>
      <c r="D205" s="105"/>
      <c r="E205" s="105">
        <f>SUM(E201:E204)</f>
        <v>1002.2352346536982</v>
      </c>
    </row>
    <row r="206" spans="1:5" s="106" customFormat="1" ht="15.75" x14ac:dyDescent="0.3">
      <c r="A206" s="100" t="s">
        <v>51</v>
      </c>
      <c r="B206" s="100" t="s">
        <v>98</v>
      </c>
      <c r="C206" s="101">
        <v>1218223</v>
      </c>
      <c r="D206" s="213">
        <v>4.0000000000000001E-3</v>
      </c>
      <c r="E206" s="102">
        <f>C206*D206</f>
        <v>4872.8919999999998</v>
      </c>
    </row>
    <row r="207" spans="1:5" ht="15.75" x14ac:dyDescent="0.3">
      <c r="A207" s="100" t="s">
        <v>51</v>
      </c>
      <c r="B207" s="100" t="s">
        <v>101</v>
      </c>
      <c r="C207" s="101">
        <v>44238.48</v>
      </c>
      <c r="D207" s="213">
        <v>-4.1099999999999998E-2</v>
      </c>
      <c r="E207" s="102">
        <f>C207*D207</f>
        <v>-1818.2015280000001</v>
      </c>
    </row>
    <row r="208" spans="1:5" ht="15.75" x14ac:dyDescent="0.3">
      <c r="A208" s="103" t="s">
        <v>148</v>
      </c>
      <c r="B208" s="103"/>
      <c r="C208" s="104">
        <f>SUM(C206:C207)</f>
        <v>1262461.48</v>
      </c>
      <c r="D208" s="105"/>
      <c r="E208" s="105">
        <f>SUM(E206:E207)</f>
        <v>3054.6904719999998</v>
      </c>
    </row>
    <row r="209" spans="1:5" s="106" customFormat="1" ht="15.75" x14ac:dyDescent="0.3">
      <c r="A209" s="100" t="s">
        <v>52</v>
      </c>
      <c r="B209" s="100" t="s">
        <v>98</v>
      </c>
      <c r="C209" s="101">
        <v>20440700.800000019</v>
      </c>
      <c r="D209" s="213">
        <v>4.0000000000000001E-3</v>
      </c>
      <c r="E209" s="102">
        <f>C209*D209</f>
        <v>81762.803200000082</v>
      </c>
    </row>
    <row r="210" spans="1:5" ht="15.75" x14ac:dyDescent="0.3">
      <c r="A210" s="100" t="s">
        <v>52</v>
      </c>
      <c r="B210" s="100" t="s">
        <v>99</v>
      </c>
      <c r="C210" s="101">
        <v>1246377.6000000001</v>
      </c>
      <c r="D210" s="213">
        <v>-1.2800000000000001E-2</v>
      </c>
      <c r="E210" s="102">
        <f>C210*D210</f>
        <v>-15953.633280000002</v>
      </c>
    </row>
    <row r="211" spans="1:5" ht="15.75" x14ac:dyDescent="0.3">
      <c r="A211" s="100" t="s">
        <v>52</v>
      </c>
      <c r="B211" s="100" t="s">
        <v>100</v>
      </c>
      <c r="C211" s="101">
        <v>2443979.1999999993</v>
      </c>
      <c r="D211" s="213">
        <v>8.8999999999999999E-3</v>
      </c>
      <c r="E211" s="102">
        <f>C211*D211</f>
        <v>21751.414879999993</v>
      </c>
    </row>
    <row r="212" spans="1:5" ht="15.75" x14ac:dyDescent="0.3">
      <c r="A212" s="100" t="s">
        <v>52</v>
      </c>
      <c r="B212" s="100" t="s">
        <v>101</v>
      </c>
      <c r="C212" s="101">
        <v>211515.2</v>
      </c>
      <c r="D212" s="213">
        <v>-4.1099999999999998E-2</v>
      </c>
      <c r="E212" s="102">
        <f>C212*D212</f>
        <v>-8693.2747199999994</v>
      </c>
    </row>
    <row r="213" spans="1:5" ht="15.75" x14ac:dyDescent="0.3">
      <c r="A213" s="103" t="s">
        <v>149</v>
      </c>
      <c r="B213" s="103"/>
      <c r="C213" s="104">
        <f>SUM(C209:C212)</f>
        <v>24342572.800000019</v>
      </c>
      <c r="D213" s="105"/>
      <c r="E213" s="105">
        <f>SUM(E209:E212)</f>
        <v>78867.310080000068</v>
      </c>
    </row>
    <row r="214" spans="1:5" s="106" customFormat="1" ht="15.75" x14ac:dyDescent="0.3">
      <c r="A214" s="100" t="s">
        <v>53</v>
      </c>
      <c r="B214" s="100" t="s">
        <v>98</v>
      </c>
      <c r="C214" s="101">
        <v>4586602.6179999989</v>
      </c>
      <c r="D214" s="213">
        <v>4.0000000000000001E-3</v>
      </c>
      <c r="E214" s="102">
        <f>C214*D214</f>
        <v>18346.410471999996</v>
      </c>
    </row>
    <row r="215" spans="1:5" ht="15.75" x14ac:dyDescent="0.3">
      <c r="A215" s="100" t="s">
        <v>53</v>
      </c>
      <c r="B215" s="100" t="s">
        <v>99</v>
      </c>
      <c r="C215" s="101">
        <v>269451.31199999998</v>
      </c>
      <c r="D215" s="213">
        <v>-1.2800000000000001E-2</v>
      </c>
      <c r="E215" s="102">
        <f>C215*D215</f>
        <v>-3448.9767935999998</v>
      </c>
    </row>
    <row r="216" spans="1:5" ht="15.75" x14ac:dyDescent="0.3">
      <c r="A216" s="100" t="s">
        <v>53</v>
      </c>
      <c r="B216" s="100" t="s">
        <v>100</v>
      </c>
      <c r="C216" s="101">
        <v>97739.199999999997</v>
      </c>
      <c r="D216" s="213">
        <v>8.8999999999999999E-3</v>
      </c>
      <c r="E216" s="102">
        <f>C216*D216</f>
        <v>869.87887999999998</v>
      </c>
    </row>
    <row r="217" spans="1:5" ht="15.75" x14ac:dyDescent="0.3">
      <c r="A217" s="100" t="s">
        <v>53</v>
      </c>
      <c r="B217" s="100" t="s">
        <v>101</v>
      </c>
      <c r="C217" s="101">
        <v>111879.61199999999</v>
      </c>
      <c r="D217" s="213">
        <v>-4.1099999999999998E-2</v>
      </c>
      <c r="E217" s="102">
        <f>C217*D217</f>
        <v>-4598.2520531999999</v>
      </c>
    </row>
    <row r="218" spans="1:5" ht="15.75" x14ac:dyDescent="0.3">
      <c r="A218" s="103" t="s">
        <v>150</v>
      </c>
      <c r="B218" s="103"/>
      <c r="C218" s="104">
        <f>SUM(C214:C217)</f>
        <v>5065672.7419999987</v>
      </c>
      <c r="D218" s="105"/>
      <c r="E218" s="105">
        <f>SUM(E214:E217)</f>
        <v>11169.060505199997</v>
      </c>
    </row>
    <row r="219" spans="1:5" s="106" customFormat="1" ht="15.75" x14ac:dyDescent="0.3">
      <c r="A219" s="100" t="s">
        <v>54</v>
      </c>
      <c r="B219" s="100" t="s">
        <v>98</v>
      </c>
      <c r="C219" s="101">
        <v>18721003.625144634</v>
      </c>
      <c r="D219" s="213">
        <v>4.0000000000000001E-3</v>
      </c>
      <c r="E219" s="102">
        <f>C219*D219</f>
        <v>74884.014500578545</v>
      </c>
    </row>
    <row r="220" spans="1:5" ht="15.75" x14ac:dyDescent="0.3">
      <c r="A220" s="100" t="s">
        <v>54</v>
      </c>
      <c r="B220" s="100" t="s">
        <v>99</v>
      </c>
      <c r="C220" s="101">
        <v>837767.22069720016</v>
      </c>
      <c r="D220" s="213">
        <v>-1.2800000000000001E-2</v>
      </c>
      <c r="E220" s="102">
        <f>C220*D220</f>
        <v>-10723.420424924163</v>
      </c>
    </row>
    <row r="221" spans="1:5" ht="15.75" x14ac:dyDescent="0.3">
      <c r="A221" s="100" t="s">
        <v>54</v>
      </c>
      <c r="B221" s="100" t="s">
        <v>100</v>
      </c>
      <c r="C221" s="101">
        <v>1578890.5078445994</v>
      </c>
      <c r="D221" s="213">
        <v>8.8999999999999999E-3</v>
      </c>
      <c r="E221" s="102">
        <f>C221*D221</f>
        <v>14052.125519816935</v>
      </c>
    </row>
    <row r="222" spans="1:5" ht="15.75" x14ac:dyDescent="0.3">
      <c r="A222" s="100" t="s">
        <v>54</v>
      </c>
      <c r="B222" s="100" t="s">
        <v>101</v>
      </c>
      <c r="C222" s="101">
        <v>141155.25599999999</v>
      </c>
      <c r="D222" s="213">
        <v>-4.1099999999999998E-2</v>
      </c>
      <c r="E222" s="102">
        <f>C222*D222</f>
        <v>-5801.4810215999996</v>
      </c>
    </row>
    <row r="223" spans="1:5" ht="15.75" x14ac:dyDescent="0.3">
      <c r="A223" s="103" t="s">
        <v>151</v>
      </c>
      <c r="B223" s="103"/>
      <c r="C223" s="104">
        <f>SUM(C219:C222)</f>
        <v>21278816.609686438</v>
      </c>
      <c r="D223" s="105"/>
      <c r="E223" s="105">
        <f>SUM(E219:E222)</f>
        <v>72411.23857387132</v>
      </c>
    </row>
    <row r="224" spans="1:5" s="106" customFormat="1" ht="15.75" x14ac:dyDescent="0.3">
      <c r="A224" s="100" t="s">
        <v>55</v>
      </c>
      <c r="B224" s="100" t="s">
        <v>98</v>
      </c>
      <c r="C224" s="101">
        <v>9669338.8539999947</v>
      </c>
      <c r="D224" s="213">
        <v>4.0000000000000001E-3</v>
      </c>
      <c r="E224" s="102">
        <f>C224*D224</f>
        <v>38677.355415999977</v>
      </c>
    </row>
    <row r="225" spans="1:5" ht="15.75" x14ac:dyDescent="0.3">
      <c r="A225" s="100" t="s">
        <v>55</v>
      </c>
      <c r="B225" s="100" t="s">
        <v>99</v>
      </c>
      <c r="C225" s="101">
        <v>490081.41275000002</v>
      </c>
      <c r="D225" s="213">
        <v>-1.2800000000000001E-2</v>
      </c>
      <c r="E225" s="102">
        <f>C225*D225</f>
        <v>-6273.0420832000009</v>
      </c>
    </row>
    <row r="226" spans="1:5" ht="15.75" x14ac:dyDescent="0.3">
      <c r="A226" s="100" t="s">
        <v>55</v>
      </c>
      <c r="B226" s="100" t="s">
        <v>100</v>
      </c>
      <c r="C226" s="101">
        <v>233085.83374999999</v>
      </c>
      <c r="D226" s="213">
        <v>8.8999999999999999E-3</v>
      </c>
      <c r="E226" s="102">
        <f>C226*D226</f>
        <v>2074.4639203749998</v>
      </c>
    </row>
    <row r="227" spans="1:5" ht="15.75" x14ac:dyDescent="0.3">
      <c r="A227" s="100" t="s">
        <v>55</v>
      </c>
      <c r="B227" s="100" t="s">
        <v>101</v>
      </c>
      <c r="C227" s="101">
        <v>85005.414000000004</v>
      </c>
      <c r="D227" s="213">
        <v>-4.1099999999999998E-2</v>
      </c>
      <c r="E227" s="102">
        <f>C227*D227</f>
        <v>-3493.7225153999998</v>
      </c>
    </row>
    <row r="228" spans="1:5" ht="15.75" x14ac:dyDescent="0.3">
      <c r="A228" s="103" t="s">
        <v>152</v>
      </c>
      <c r="B228" s="103"/>
      <c r="C228" s="104">
        <f>SUM(C224:C227)</f>
        <v>10477511.514499996</v>
      </c>
      <c r="D228" s="105"/>
      <c r="E228" s="105">
        <f>SUM(E224:E227)</f>
        <v>30985.054737774972</v>
      </c>
    </row>
    <row r="229" spans="1:5" s="106" customFormat="1" ht="15.75" x14ac:dyDescent="0.3">
      <c r="A229" s="100" t="s">
        <v>56</v>
      </c>
      <c r="B229" s="100" t="s">
        <v>98</v>
      </c>
      <c r="C229" s="101">
        <v>14128605.150000002</v>
      </c>
      <c r="D229" s="213">
        <v>4.0000000000000001E-3</v>
      </c>
      <c r="E229" s="102">
        <f>C229*D229</f>
        <v>56514.420600000012</v>
      </c>
    </row>
    <row r="230" spans="1:5" ht="15.75" x14ac:dyDescent="0.3">
      <c r="A230" s="100" t="s">
        <v>56</v>
      </c>
      <c r="B230" s="100" t="s">
        <v>99</v>
      </c>
      <c r="C230" s="101">
        <v>290294.84999999998</v>
      </c>
      <c r="D230" s="213">
        <v>-1.2800000000000001E-2</v>
      </c>
      <c r="E230" s="102">
        <f>C230*D230</f>
        <v>-3715.7740799999997</v>
      </c>
    </row>
    <row r="231" spans="1:5" ht="15.75" x14ac:dyDescent="0.3">
      <c r="A231" s="100" t="s">
        <v>56</v>
      </c>
      <c r="B231" s="100" t="s">
        <v>100</v>
      </c>
      <c r="C231" s="101">
        <v>1636794.7</v>
      </c>
      <c r="D231" s="213">
        <v>8.8999999999999999E-3</v>
      </c>
      <c r="E231" s="102">
        <f>C231*D231</f>
        <v>14567.472829999999</v>
      </c>
    </row>
    <row r="232" spans="1:5" ht="15.75" x14ac:dyDescent="0.3">
      <c r="A232" s="103" t="s">
        <v>153</v>
      </c>
      <c r="B232" s="103"/>
      <c r="C232" s="104">
        <f>SUM(C229:C231)</f>
        <v>16055694.700000001</v>
      </c>
      <c r="D232" s="105"/>
      <c r="E232" s="105">
        <f>SUM(E229:E231)</f>
        <v>67366.119350000008</v>
      </c>
    </row>
    <row r="233" spans="1:5" ht="15.75" x14ac:dyDescent="0.3">
      <c r="A233" s="100" t="s">
        <v>57</v>
      </c>
      <c r="B233" s="100" t="s">
        <v>98</v>
      </c>
      <c r="C233" s="101">
        <v>8241782.6989679942</v>
      </c>
      <c r="D233" s="213">
        <v>4.0000000000000001E-3</v>
      </c>
      <c r="E233" s="102">
        <f>C233*D233</f>
        <v>32967.130795871977</v>
      </c>
    </row>
    <row r="234" spans="1:5" s="106" customFormat="1" ht="15.75" x14ac:dyDescent="0.3">
      <c r="A234" s="100" t="s">
        <v>57</v>
      </c>
      <c r="B234" s="100" t="s">
        <v>99</v>
      </c>
      <c r="C234" s="101">
        <v>294188.44603200001</v>
      </c>
      <c r="D234" s="213">
        <v>-1.2800000000000001E-2</v>
      </c>
      <c r="E234" s="102">
        <f>C234*D234</f>
        <v>-3765.6121092096005</v>
      </c>
    </row>
    <row r="235" spans="1:5" ht="15.75" x14ac:dyDescent="0.3">
      <c r="A235" s="100" t="s">
        <v>57</v>
      </c>
      <c r="B235" s="100" t="s">
        <v>100</v>
      </c>
      <c r="C235" s="101">
        <v>852494.42408000014</v>
      </c>
      <c r="D235" s="213">
        <v>8.8999999999999999E-3</v>
      </c>
      <c r="E235" s="102">
        <f>C235*D235</f>
        <v>7587.2003743120013</v>
      </c>
    </row>
    <row r="236" spans="1:5" ht="15.75" x14ac:dyDescent="0.3">
      <c r="A236" s="103" t="s">
        <v>154</v>
      </c>
      <c r="B236" s="103"/>
      <c r="C236" s="104">
        <f>SUM(C233:C235)</f>
        <v>9388465.5690799933</v>
      </c>
      <c r="D236" s="105"/>
      <c r="E236" s="105">
        <f>SUM(E233:E235)</f>
        <v>36788.719060974377</v>
      </c>
    </row>
    <row r="237" spans="1:5" ht="15.75" x14ac:dyDescent="0.3">
      <c r="A237" s="100" t="s">
        <v>58</v>
      </c>
      <c r="B237" s="100" t="s">
        <v>98</v>
      </c>
      <c r="C237" s="101">
        <v>1296738.7007169996</v>
      </c>
      <c r="D237" s="213">
        <v>4.0000000000000001E-3</v>
      </c>
      <c r="E237" s="102">
        <f>C237*D237</f>
        <v>5186.9548028679983</v>
      </c>
    </row>
    <row r="238" spans="1:5" ht="15.75" x14ac:dyDescent="0.3">
      <c r="A238" s="100" t="s">
        <v>58</v>
      </c>
      <c r="B238" s="100" t="s">
        <v>99</v>
      </c>
      <c r="C238" s="101">
        <v>254076.04983500001</v>
      </c>
      <c r="D238" s="213">
        <v>-1.2800000000000001E-2</v>
      </c>
      <c r="E238" s="102">
        <f>C238*D238</f>
        <v>-3252.1734378880005</v>
      </c>
    </row>
    <row r="239" spans="1:5" s="106" customFormat="1" ht="15.75" x14ac:dyDescent="0.3">
      <c r="A239" s="100" t="s">
        <v>58</v>
      </c>
      <c r="B239" s="100" t="s">
        <v>100</v>
      </c>
      <c r="C239" s="101">
        <v>153433.66940000001</v>
      </c>
      <c r="D239" s="213">
        <v>8.8999999999999999E-3</v>
      </c>
      <c r="E239" s="102">
        <f>C239*D239</f>
        <v>1365.5596576600001</v>
      </c>
    </row>
    <row r="240" spans="1:5" ht="15.75" x14ac:dyDescent="0.3">
      <c r="A240" s="100" t="s">
        <v>58</v>
      </c>
      <c r="B240" s="100" t="s">
        <v>101</v>
      </c>
      <c r="C240" s="101">
        <v>76158.439500000008</v>
      </c>
      <c r="D240" s="213">
        <v>-4.1099999999999998E-2</v>
      </c>
      <c r="E240" s="102">
        <f>C240*D240</f>
        <v>-3130.1118634500003</v>
      </c>
    </row>
    <row r="241" spans="1:5" ht="15.75" x14ac:dyDescent="0.3">
      <c r="A241" s="103" t="s">
        <v>155</v>
      </c>
      <c r="B241" s="103"/>
      <c r="C241" s="104">
        <f>SUM(C237:C240)</f>
        <v>1780406.8594519997</v>
      </c>
      <c r="D241" s="105"/>
      <c r="E241" s="105">
        <f>SUM(E237:E240)</f>
        <v>170.22915918999752</v>
      </c>
    </row>
    <row r="242" spans="1:5" ht="15.75" x14ac:dyDescent="0.3">
      <c r="A242" s="100" t="s">
        <v>59</v>
      </c>
      <c r="B242" s="100" t="s">
        <v>98</v>
      </c>
      <c r="C242" s="101">
        <v>2928068.4000000013</v>
      </c>
      <c r="D242" s="213">
        <v>4.0000000000000001E-3</v>
      </c>
      <c r="E242" s="102">
        <f>C242*D242</f>
        <v>11712.273600000006</v>
      </c>
    </row>
    <row r="243" spans="1:5" ht="15.75" x14ac:dyDescent="0.3">
      <c r="A243" s="100" t="s">
        <v>59</v>
      </c>
      <c r="B243" s="100" t="s">
        <v>99</v>
      </c>
      <c r="C243" s="101">
        <v>197186.49600000001</v>
      </c>
      <c r="D243" s="213">
        <v>-1.2800000000000001E-2</v>
      </c>
      <c r="E243" s="102">
        <f>C243*D243</f>
        <v>-2523.9871488000003</v>
      </c>
    </row>
    <row r="244" spans="1:5" s="106" customFormat="1" ht="15.75" x14ac:dyDescent="0.3">
      <c r="A244" s="100" t="s">
        <v>59</v>
      </c>
      <c r="B244" s="100" t="s">
        <v>100</v>
      </c>
      <c r="C244" s="101">
        <v>246717.12000000002</v>
      </c>
      <c r="D244" s="213">
        <v>8.8999999999999999E-3</v>
      </c>
      <c r="E244" s="102">
        <f>C244*D244</f>
        <v>2195.7823680000001</v>
      </c>
    </row>
    <row r="245" spans="1:5" ht="15.75" x14ac:dyDescent="0.3">
      <c r="A245" s="100" t="s">
        <v>59</v>
      </c>
      <c r="B245" s="100" t="s">
        <v>101</v>
      </c>
      <c r="C245" s="101">
        <v>35462.605999999992</v>
      </c>
      <c r="D245" s="213">
        <v>-4.1099999999999998E-2</v>
      </c>
      <c r="E245" s="102">
        <f>C245*D245</f>
        <v>-1457.5131065999997</v>
      </c>
    </row>
    <row r="246" spans="1:5" ht="15.75" x14ac:dyDescent="0.3">
      <c r="A246" s="103" t="s">
        <v>156</v>
      </c>
      <c r="B246" s="103"/>
      <c r="C246" s="104">
        <f>SUM(C242:C245)</f>
        <v>3407434.6220000014</v>
      </c>
      <c r="D246" s="105"/>
      <c r="E246" s="105">
        <f>SUM(E242:E245)</f>
        <v>9926.5557126000058</v>
      </c>
    </row>
    <row r="247" spans="1:5" ht="15.75" x14ac:dyDescent="0.3">
      <c r="A247" s="100" t="s">
        <v>60</v>
      </c>
      <c r="B247" s="100" t="s">
        <v>98</v>
      </c>
      <c r="C247" s="101">
        <v>4286455.1451199995</v>
      </c>
      <c r="D247" s="213">
        <v>4.0000000000000001E-3</v>
      </c>
      <c r="E247" s="102">
        <f>C247*D247</f>
        <v>17145.820580479998</v>
      </c>
    </row>
    <row r="248" spans="1:5" ht="15.75" x14ac:dyDescent="0.3">
      <c r="A248" s="100" t="s">
        <v>60</v>
      </c>
      <c r="B248" s="100" t="s">
        <v>99</v>
      </c>
      <c r="C248" s="101">
        <v>94715.99487000001</v>
      </c>
      <c r="D248" s="213">
        <v>-1.2800000000000001E-2</v>
      </c>
      <c r="E248" s="102">
        <f>C248*D248</f>
        <v>-1212.3647343360001</v>
      </c>
    </row>
    <row r="249" spans="1:5" s="106" customFormat="1" ht="15.75" x14ac:dyDescent="0.3">
      <c r="A249" s="100" t="s">
        <v>60</v>
      </c>
      <c r="B249" s="100" t="s">
        <v>101</v>
      </c>
      <c r="C249" s="101">
        <v>117348.399</v>
      </c>
      <c r="D249" s="213">
        <v>-4.1099999999999998E-2</v>
      </c>
      <c r="E249" s="102">
        <f>C249*D249</f>
        <v>-4823.0191988999995</v>
      </c>
    </row>
    <row r="250" spans="1:5" ht="15.75" x14ac:dyDescent="0.3">
      <c r="A250" s="103" t="s">
        <v>157</v>
      </c>
      <c r="B250" s="103"/>
      <c r="C250" s="104">
        <f>SUM(C247:C249)</f>
        <v>4498519.5389899993</v>
      </c>
      <c r="D250" s="105"/>
      <c r="E250" s="105">
        <f>SUM(E247:E249)</f>
        <v>11110.436647243998</v>
      </c>
    </row>
    <row r="251" spans="1:5" ht="15.75" x14ac:dyDescent="0.3">
      <c r="A251" s="100" t="s">
        <v>61</v>
      </c>
      <c r="B251" s="100" t="s">
        <v>98</v>
      </c>
      <c r="C251" s="101">
        <v>2373908.5759999999</v>
      </c>
      <c r="D251" s="213">
        <v>4.0000000000000001E-3</v>
      </c>
      <c r="E251" s="102">
        <f>C251*D251</f>
        <v>9495.6343039999992</v>
      </c>
    </row>
    <row r="252" spans="1:5" ht="15.75" x14ac:dyDescent="0.3">
      <c r="A252" s="100" t="s">
        <v>61</v>
      </c>
      <c r="B252" s="100" t="s">
        <v>99</v>
      </c>
      <c r="C252" s="101">
        <v>203065.2</v>
      </c>
      <c r="D252" s="213">
        <v>-1.2800000000000001E-2</v>
      </c>
      <c r="E252" s="102">
        <f>C252*D252</f>
        <v>-2599.2345600000003</v>
      </c>
    </row>
    <row r="253" spans="1:5" s="106" customFormat="1" ht="15.75" x14ac:dyDescent="0.3">
      <c r="A253" s="100" t="s">
        <v>61</v>
      </c>
      <c r="B253" s="100" t="s">
        <v>100</v>
      </c>
      <c r="C253" s="101">
        <v>406827.19999999995</v>
      </c>
      <c r="D253" s="213">
        <v>8.8999999999999999E-3</v>
      </c>
      <c r="E253" s="102">
        <f>C253*D253</f>
        <v>3620.7620799999995</v>
      </c>
    </row>
    <row r="254" spans="1:5" ht="15.75" x14ac:dyDescent="0.3">
      <c r="A254" s="100" t="s">
        <v>61</v>
      </c>
      <c r="B254" s="100" t="s">
        <v>101</v>
      </c>
      <c r="C254" s="101">
        <v>83122</v>
      </c>
      <c r="D254" s="213">
        <v>-4.1099999999999998E-2</v>
      </c>
      <c r="E254" s="102">
        <f>C254*D254</f>
        <v>-3416.3141999999998</v>
      </c>
    </row>
    <row r="255" spans="1:5" ht="15.75" x14ac:dyDescent="0.3">
      <c r="A255" s="103" t="s">
        <v>158</v>
      </c>
      <c r="B255" s="103"/>
      <c r="C255" s="104">
        <f>SUM(C251:C254)</f>
        <v>3066922.9759999998</v>
      </c>
      <c r="D255" s="105"/>
      <c r="E255" s="105">
        <f>SUM(E251:E254)</f>
        <v>7100.8476239999991</v>
      </c>
    </row>
    <row r="256" spans="1:5" ht="15.75" x14ac:dyDescent="0.3">
      <c r="A256" s="100" t="s">
        <v>62</v>
      </c>
      <c r="B256" s="100" t="s">
        <v>98</v>
      </c>
      <c r="C256" s="101">
        <v>5906002.9400000004</v>
      </c>
      <c r="D256" s="213">
        <v>4.0000000000000001E-3</v>
      </c>
      <c r="E256" s="102">
        <f>C256*D256</f>
        <v>23624.011760000001</v>
      </c>
    </row>
    <row r="257" spans="1:5" ht="15.75" x14ac:dyDescent="0.3">
      <c r="A257" s="100" t="s">
        <v>62</v>
      </c>
      <c r="B257" s="100" t="s">
        <v>99</v>
      </c>
      <c r="C257" s="101">
        <v>190140.72000000003</v>
      </c>
      <c r="D257" s="213">
        <v>-1.2800000000000001E-2</v>
      </c>
      <c r="E257" s="102">
        <f>C257*D257</f>
        <v>-2433.8012160000003</v>
      </c>
    </row>
    <row r="258" spans="1:5" ht="15.75" x14ac:dyDescent="0.3">
      <c r="A258" s="100" t="s">
        <v>62</v>
      </c>
      <c r="B258" s="100" t="s">
        <v>101</v>
      </c>
      <c r="C258" s="101">
        <v>61931.100000000013</v>
      </c>
      <c r="D258" s="213">
        <v>-4.1099999999999998E-2</v>
      </c>
      <c r="E258" s="102">
        <f>C258*D258</f>
        <v>-2545.3682100000005</v>
      </c>
    </row>
    <row r="259" spans="1:5" ht="15.75" x14ac:dyDescent="0.3">
      <c r="A259" s="103" t="s">
        <v>159</v>
      </c>
      <c r="B259" s="103"/>
      <c r="C259" s="104">
        <f>SUM(C256:C258)</f>
        <v>6158074.7599999998</v>
      </c>
      <c r="D259" s="105"/>
      <c r="E259" s="105">
        <f>SUM(E256:E258)</f>
        <v>18644.842334000001</v>
      </c>
    </row>
    <row r="260" spans="1:5" ht="15.75" x14ac:dyDescent="0.3">
      <c r="A260" s="100" t="s">
        <v>63</v>
      </c>
      <c r="B260" s="100" t="s">
        <v>98</v>
      </c>
      <c r="C260" s="101">
        <v>5804655.8694000011</v>
      </c>
      <c r="D260" s="213">
        <v>4.0000000000000001E-3</v>
      </c>
      <c r="E260" s="102">
        <f>C260*D260</f>
        <v>23218.623477600006</v>
      </c>
    </row>
    <row r="261" spans="1:5" ht="15.75" x14ac:dyDescent="0.3">
      <c r="A261" s="100" t="s">
        <v>63</v>
      </c>
      <c r="B261" s="100" t="s">
        <v>99</v>
      </c>
      <c r="C261" s="101">
        <v>339253.23679999996</v>
      </c>
      <c r="D261" s="213">
        <v>-1.2800000000000001E-2</v>
      </c>
      <c r="E261" s="102">
        <f>C261*D261</f>
        <v>-4342.4414310399998</v>
      </c>
    </row>
    <row r="262" spans="1:5" ht="15.75" x14ac:dyDescent="0.3">
      <c r="A262" s="100" t="s">
        <v>63</v>
      </c>
      <c r="B262" s="100" t="s">
        <v>101</v>
      </c>
      <c r="C262" s="101">
        <v>132737.52100000001</v>
      </c>
      <c r="D262" s="213">
        <v>-4.1099999999999998E-2</v>
      </c>
      <c r="E262" s="102">
        <f>C262*D262</f>
        <v>-5455.5121130999996</v>
      </c>
    </row>
    <row r="263" spans="1:5" ht="15.75" x14ac:dyDescent="0.3">
      <c r="A263" s="103" t="s">
        <v>160</v>
      </c>
      <c r="B263" s="103"/>
      <c r="C263" s="104">
        <f>SUM(C260:C262)</f>
        <v>6276646.6272000009</v>
      </c>
      <c r="D263" s="105"/>
      <c r="E263" s="105">
        <f>SUM(E260:E262)</f>
        <v>13420.669933460007</v>
      </c>
    </row>
    <row r="264" spans="1:5" ht="15.75" x14ac:dyDescent="0.3">
      <c r="A264" s="100" t="s">
        <v>64</v>
      </c>
      <c r="B264" s="100" t="s">
        <v>98</v>
      </c>
      <c r="C264" s="101">
        <v>1596129.5999999999</v>
      </c>
      <c r="D264" s="213">
        <v>4.0000000000000001E-3</v>
      </c>
      <c r="E264" s="102">
        <f>C264*D264</f>
        <v>6384.5183999999999</v>
      </c>
    </row>
    <row r="265" spans="1:5" s="106" customFormat="1" ht="15.75" x14ac:dyDescent="0.3">
      <c r="A265" s="100" t="s">
        <v>64</v>
      </c>
      <c r="B265" s="100" t="s">
        <v>101</v>
      </c>
      <c r="C265" s="101">
        <v>80775.5</v>
      </c>
      <c r="D265" s="213">
        <v>-4.1099999999999998E-2</v>
      </c>
      <c r="E265" s="102">
        <f>C265*D265</f>
        <v>-3319.8730499999997</v>
      </c>
    </row>
    <row r="266" spans="1:5" ht="15.75" x14ac:dyDescent="0.3">
      <c r="A266" s="103" t="s">
        <v>161</v>
      </c>
      <c r="B266" s="103"/>
      <c r="C266" s="104">
        <f>SUM(C264:C265)</f>
        <v>1676905.0999999999</v>
      </c>
      <c r="D266" s="105"/>
      <c r="E266" s="105">
        <f>SUM(E264:E265)</f>
        <v>3064.6453500000002</v>
      </c>
    </row>
    <row r="267" spans="1:5" ht="15.75" x14ac:dyDescent="0.3">
      <c r="A267" s="100" t="s">
        <v>65</v>
      </c>
      <c r="B267" s="100" t="s">
        <v>98</v>
      </c>
      <c r="C267" s="101">
        <v>664121.92700000003</v>
      </c>
      <c r="D267" s="213">
        <v>4.0000000000000001E-3</v>
      </c>
      <c r="E267" s="102">
        <f>C267*D267</f>
        <v>2656.4877080000001</v>
      </c>
    </row>
    <row r="268" spans="1:5" ht="15.75" x14ac:dyDescent="0.3">
      <c r="A268" s="100" t="s">
        <v>65</v>
      </c>
      <c r="B268" s="100" t="s">
        <v>99</v>
      </c>
      <c r="C268" s="101">
        <v>231617.64250000002</v>
      </c>
      <c r="D268" s="213">
        <v>-1.2800000000000001E-2</v>
      </c>
      <c r="E268" s="102">
        <f>C268*D268</f>
        <v>-2964.7058240000006</v>
      </c>
    </row>
    <row r="269" spans="1:5" ht="15.75" x14ac:dyDescent="0.3">
      <c r="A269" s="100" t="s">
        <v>65</v>
      </c>
      <c r="B269" s="100" t="s">
        <v>100</v>
      </c>
      <c r="C269" s="101">
        <v>48263.9</v>
      </c>
      <c r="D269" s="213">
        <v>8.8999999999999999E-3</v>
      </c>
      <c r="E269" s="102">
        <f>C269*D269</f>
        <v>429.54871000000003</v>
      </c>
    </row>
    <row r="270" spans="1:5" s="106" customFormat="1" ht="15.75" x14ac:dyDescent="0.3">
      <c r="A270" s="100" t="s">
        <v>65</v>
      </c>
      <c r="B270" s="100" t="s">
        <v>101</v>
      </c>
      <c r="C270" s="101">
        <v>55437.600000000013</v>
      </c>
      <c r="D270" s="213">
        <v>-4.1099999999999998E-2</v>
      </c>
      <c r="E270" s="102">
        <f>C270*D270</f>
        <v>-2278.4853600000006</v>
      </c>
    </row>
    <row r="271" spans="1:5" ht="15.75" x14ac:dyDescent="0.3">
      <c r="A271" s="103" t="s">
        <v>162</v>
      </c>
      <c r="B271" s="103"/>
      <c r="C271" s="104">
        <f>SUM(C267:C270)</f>
        <v>999441.06949999998</v>
      </c>
      <c r="D271" s="105"/>
      <c r="E271" s="105">
        <f>SUM(E267:E270)</f>
        <v>-2157.154766000001</v>
      </c>
    </row>
    <row r="272" spans="1:5" ht="15.75" x14ac:dyDescent="0.3">
      <c r="A272" s="100" t="s">
        <v>66</v>
      </c>
      <c r="B272" s="100" t="s">
        <v>98</v>
      </c>
      <c r="C272" s="101">
        <v>205608</v>
      </c>
      <c r="D272" s="213">
        <v>4.0000000000000001E-3</v>
      </c>
      <c r="E272" s="102">
        <f>C272*D272</f>
        <v>822.43200000000002</v>
      </c>
    </row>
    <row r="273" spans="1:5" ht="15.75" x14ac:dyDescent="0.3">
      <c r="A273" s="100" t="s">
        <v>66</v>
      </c>
      <c r="B273" s="100" t="s">
        <v>99</v>
      </c>
      <c r="C273" s="101">
        <v>159120</v>
      </c>
      <c r="D273" s="213">
        <v>-1.2800000000000001E-2</v>
      </c>
      <c r="E273" s="102">
        <f>C273*D273</f>
        <v>-2036.7360000000001</v>
      </c>
    </row>
    <row r="274" spans="1:5" ht="15.75" x14ac:dyDescent="0.3">
      <c r="A274" s="100" t="s">
        <v>66</v>
      </c>
      <c r="B274" s="100" t="s">
        <v>100</v>
      </c>
      <c r="C274" s="101">
        <v>50128</v>
      </c>
      <c r="D274" s="213">
        <v>8.8999999999999999E-3</v>
      </c>
      <c r="E274" s="102">
        <f>C274*D274</f>
        <v>446.13920000000002</v>
      </c>
    </row>
    <row r="275" spans="1:5" s="106" customFormat="1" ht="15.75" x14ac:dyDescent="0.3">
      <c r="A275" s="100" t="s">
        <v>66</v>
      </c>
      <c r="B275" s="100" t="s">
        <v>101</v>
      </c>
      <c r="C275" s="101">
        <v>18313.355</v>
      </c>
      <c r="D275" s="213">
        <v>-4.1099999999999998E-2</v>
      </c>
      <c r="E275" s="102">
        <f>C275*D275</f>
        <v>-752.67889049999997</v>
      </c>
    </row>
    <row r="276" spans="1:5" ht="15.75" x14ac:dyDescent="0.3">
      <c r="A276" s="103" t="s">
        <v>163</v>
      </c>
      <c r="B276" s="103"/>
      <c r="C276" s="104">
        <f>SUM(C272:C275)</f>
        <v>433169.35499999998</v>
      </c>
      <c r="D276" s="105"/>
      <c r="E276" s="105">
        <f>SUM(E272:E275)</f>
        <v>-1520.8436904999999</v>
      </c>
    </row>
    <row r="277" spans="1:5" ht="15.75" x14ac:dyDescent="0.3">
      <c r="A277" s="100" t="s">
        <v>67</v>
      </c>
      <c r="B277" s="100" t="s">
        <v>98</v>
      </c>
      <c r="C277" s="101">
        <v>327080.02496000007</v>
      </c>
      <c r="D277" s="213">
        <v>4.0000000000000001E-3</v>
      </c>
      <c r="E277" s="102">
        <f>C277*D277</f>
        <v>1308.3200998400002</v>
      </c>
    </row>
    <row r="278" spans="1:5" s="106" customFormat="1" ht="15.75" x14ac:dyDescent="0.3">
      <c r="A278" s="100" t="s">
        <v>67</v>
      </c>
      <c r="B278" s="100" t="s">
        <v>101</v>
      </c>
      <c r="C278" s="101">
        <v>91513.395000000004</v>
      </c>
      <c r="D278" s="213">
        <v>-4.1099999999999998E-2</v>
      </c>
      <c r="E278" s="102">
        <f>C278*D278</f>
        <v>-3761.2005344999998</v>
      </c>
    </row>
    <row r="279" spans="1:5" ht="15.75" x14ac:dyDescent="0.3">
      <c r="A279" s="103" t="s">
        <v>164</v>
      </c>
      <c r="B279" s="103"/>
      <c r="C279" s="104">
        <f>SUM(C277:C278)</f>
        <v>418593.41996000009</v>
      </c>
      <c r="D279" s="105"/>
      <c r="E279" s="105">
        <f>SUM(E277:E278)</f>
        <v>-2452.8804346599995</v>
      </c>
    </row>
    <row r="280" spans="1:5" ht="15.75" x14ac:dyDescent="0.3">
      <c r="A280" s="100" t="s">
        <v>68</v>
      </c>
      <c r="B280" s="100" t="s">
        <v>98</v>
      </c>
      <c r="C280" s="101">
        <v>8292049</v>
      </c>
      <c r="D280" s="213">
        <v>4.0000000000000001E-3</v>
      </c>
      <c r="E280" s="102">
        <f>C280*D280</f>
        <v>33168.196000000004</v>
      </c>
    </row>
    <row r="281" spans="1:5" ht="15.75" x14ac:dyDescent="0.3">
      <c r="A281" s="100" t="s">
        <v>68</v>
      </c>
      <c r="B281" s="100" t="s">
        <v>99</v>
      </c>
      <c r="C281" s="101">
        <v>252642</v>
      </c>
      <c r="D281" s="213">
        <v>-1.2800000000000001E-2</v>
      </c>
      <c r="E281" s="102">
        <f>C281*D281</f>
        <v>-3233.8176000000003</v>
      </c>
    </row>
    <row r="282" spans="1:5" s="106" customFormat="1" ht="15.75" x14ac:dyDescent="0.3">
      <c r="A282" s="100" t="s">
        <v>68</v>
      </c>
      <c r="B282" s="100" t="s">
        <v>100</v>
      </c>
      <c r="C282" s="101">
        <v>673479</v>
      </c>
      <c r="D282" s="213">
        <v>8.8999999999999999E-3</v>
      </c>
      <c r="E282" s="102">
        <f>C282*D282</f>
        <v>5993.9630999999999</v>
      </c>
    </row>
    <row r="283" spans="1:5" ht="15.75" x14ac:dyDescent="0.3">
      <c r="A283" s="100" t="s">
        <v>68</v>
      </c>
      <c r="B283" s="100" t="s">
        <v>101</v>
      </c>
      <c r="C283" s="101">
        <v>95316.5</v>
      </c>
      <c r="D283" s="213">
        <v>-4.1099999999999998E-2</v>
      </c>
      <c r="E283" s="102">
        <f>C283*D283</f>
        <v>-3917.5081499999997</v>
      </c>
    </row>
    <row r="284" spans="1:5" ht="15.75" x14ac:dyDescent="0.3">
      <c r="A284" s="103" t="s">
        <v>165</v>
      </c>
      <c r="B284" s="103"/>
      <c r="C284" s="104">
        <f>SUM(C280:C283)</f>
        <v>9313486.5</v>
      </c>
      <c r="D284" s="105"/>
      <c r="E284" s="105">
        <f>SUM(E280:E283)</f>
        <v>32010.833350000001</v>
      </c>
    </row>
    <row r="285" spans="1:5" ht="15.75" x14ac:dyDescent="0.3">
      <c r="A285" s="100" t="s">
        <v>69</v>
      </c>
      <c r="B285" s="100" t="s">
        <v>98</v>
      </c>
      <c r="C285" s="101">
        <v>364566.45999999996</v>
      </c>
      <c r="D285" s="213">
        <v>4.0000000000000001E-3</v>
      </c>
      <c r="E285" s="102">
        <f>C285*D285</f>
        <v>1458.2658399999998</v>
      </c>
    </row>
    <row r="286" spans="1:5" ht="15.75" x14ac:dyDescent="0.3">
      <c r="A286" s="100" t="s">
        <v>69</v>
      </c>
      <c r="B286" s="100" t="s">
        <v>99</v>
      </c>
      <c r="C286" s="101">
        <v>75759.969999999987</v>
      </c>
      <c r="D286" s="213">
        <v>-1.2800000000000001E-2</v>
      </c>
      <c r="E286" s="102">
        <f>C286*D286</f>
        <v>-969.7276159999999</v>
      </c>
    </row>
    <row r="287" spans="1:5" s="106" customFormat="1" ht="15.75" x14ac:dyDescent="0.3">
      <c r="A287" s="100" t="s">
        <v>69</v>
      </c>
      <c r="B287" s="100" t="s">
        <v>101</v>
      </c>
      <c r="C287" s="101">
        <v>68635.290000000008</v>
      </c>
      <c r="D287" s="213">
        <v>-4.1099999999999998E-2</v>
      </c>
      <c r="E287" s="102">
        <f>C287*D287</f>
        <v>-2820.9104190000003</v>
      </c>
    </row>
    <row r="288" spans="1:5" ht="15.75" x14ac:dyDescent="0.3">
      <c r="A288" s="103" t="s">
        <v>166</v>
      </c>
      <c r="B288" s="103"/>
      <c r="C288" s="104">
        <f>SUM(C285:C287)</f>
        <v>508961.72</v>
      </c>
      <c r="D288" s="105"/>
      <c r="E288" s="105">
        <f>SUM(E285:E287)</f>
        <v>-2332.3721950000004</v>
      </c>
    </row>
    <row r="289" spans="1:5" ht="15.75" x14ac:dyDescent="0.3">
      <c r="A289" s="100" t="s">
        <v>70</v>
      </c>
      <c r="B289" s="100" t="s">
        <v>98</v>
      </c>
      <c r="C289" s="101">
        <v>1108182.95</v>
      </c>
      <c r="D289" s="213">
        <v>4.0000000000000001E-3</v>
      </c>
      <c r="E289" s="102">
        <f>C289*D289</f>
        <v>4432.7317999999996</v>
      </c>
    </row>
    <row r="290" spans="1:5" ht="15.75" x14ac:dyDescent="0.3">
      <c r="A290" s="100" t="s">
        <v>70</v>
      </c>
      <c r="B290" s="100" t="s">
        <v>99</v>
      </c>
      <c r="C290" s="101">
        <v>247429</v>
      </c>
      <c r="D290" s="213">
        <v>-1.2800000000000001E-2</v>
      </c>
      <c r="E290" s="102">
        <f>C290*D290</f>
        <v>-3167.0912000000003</v>
      </c>
    </row>
    <row r="291" spans="1:5" s="106" customFormat="1" ht="15.75" x14ac:dyDescent="0.3">
      <c r="A291" s="100" t="s">
        <v>70</v>
      </c>
      <c r="B291" s="100" t="s">
        <v>101</v>
      </c>
      <c r="C291" s="101">
        <v>59176.4</v>
      </c>
      <c r="D291" s="213">
        <v>-4.1099999999999998E-2</v>
      </c>
      <c r="E291" s="102">
        <f>C291*D291</f>
        <v>-2432.15004</v>
      </c>
    </row>
    <row r="292" spans="1:5" ht="15.75" x14ac:dyDescent="0.3">
      <c r="A292" s="103" t="s">
        <v>167</v>
      </c>
      <c r="B292" s="103"/>
      <c r="C292" s="104">
        <f>SUM(C289:C291)</f>
        <v>1414788.3499999999</v>
      </c>
      <c r="D292" s="105"/>
      <c r="E292" s="105">
        <f>SUM(E289:E291)</f>
        <v>-1166.5094400000007</v>
      </c>
    </row>
    <row r="293" spans="1:5" ht="15.75" x14ac:dyDescent="0.3">
      <c r="A293" s="100" t="s">
        <v>71</v>
      </c>
      <c r="B293" s="100" t="s">
        <v>98</v>
      </c>
      <c r="C293" s="101">
        <v>433550.19999999995</v>
      </c>
      <c r="D293" s="213">
        <v>4.0000000000000001E-3</v>
      </c>
      <c r="E293" s="102">
        <f>C293*D293</f>
        <v>1734.2007999999998</v>
      </c>
    </row>
    <row r="294" spans="1:5" ht="15.75" x14ac:dyDescent="0.3">
      <c r="A294" s="100" t="s">
        <v>71</v>
      </c>
      <c r="B294" s="100" t="s">
        <v>99</v>
      </c>
      <c r="C294" s="101">
        <v>94188</v>
      </c>
      <c r="D294" s="213">
        <v>-1.2800000000000001E-2</v>
      </c>
      <c r="E294" s="102">
        <f>C294*D294</f>
        <v>-1205.6064000000001</v>
      </c>
    </row>
    <row r="295" spans="1:5" s="106" customFormat="1" ht="15.75" x14ac:dyDescent="0.3">
      <c r="A295" s="100" t="s">
        <v>71</v>
      </c>
      <c r="B295" s="100" t="s">
        <v>100</v>
      </c>
      <c r="C295" s="101">
        <v>55682.25</v>
      </c>
      <c r="D295" s="213">
        <v>8.8999999999999999E-3</v>
      </c>
      <c r="E295" s="102">
        <f>C295*D295</f>
        <v>495.572025</v>
      </c>
    </row>
    <row r="296" spans="1:5" ht="15.75" x14ac:dyDescent="0.3">
      <c r="A296" s="100" t="s">
        <v>71</v>
      </c>
      <c r="B296" s="100" t="s">
        <v>101</v>
      </c>
      <c r="C296" s="101">
        <v>77970</v>
      </c>
      <c r="D296" s="213">
        <v>-4.1099999999999998E-2</v>
      </c>
      <c r="E296" s="102">
        <f>C296*D296</f>
        <v>-3204.567</v>
      </c>
    </row>
    <row r="297" spans="1:5" ht="15.75" x14ac:dyDescent="0.3">
      <c r="A297" s="103" t="s">
        <v>168</v>
      </c>
      <c r="B297" s="103"/>
      <c r="C297" s="104">
        <f>SUM(C293:C296)</f>
        <v>661390.44999999995</v>
      </c>
      <c r="D297" s="105"/>
      <c r="E297" s="105">
        <f>SUM(E293:E296)</f>
        <v>-2180.4005750000006</v>
      </c>
    </row>
    <row r="298" spans="1:5" ht="15.75" x14ac:dyDescent="0.3">
      <c r="A298" s="103"/>
      <c r="B298" s="103"/>
      <c r="C298" s="108"/>
      <c r="D298" s="106"/>
      <c r="E298" s="105"/>
    </row>
    <row r="299" spans="1:5" ht="15.75" x14ac:dyDescent="0.3">
      <c r="A299" s="103" t="s">
        <v>169</v>
      </c>
      <c r="B299" s="103"/>
      <c r="C299" s="105">
        <f>C6+C11+C16+C20+C25+C30+C35+C40+C45+C50+C55+C59+C63+C66+C69+C74+C78+C83+C87+C91+C95+C99+C103+C107+C111+C115+C120+C125+C129+C134+C139+C143+C146+C151+C156+C161+C165+C169+C172+C177+C181+C185+C190+C195+C200+C205+C208+C213+C218+C223+C228+C232+C236+C241+C246+C250+C255+C259+C263+C266+C271+C276+C279+C284+C288+C292+C297</f>
        <v>340688923.48276162</v>
      </c>
      <c r="D299" s="105"/>
      <c r="E299" s="105">
        <f>E6+E11+E16+E20+E25+E30+E35+E40+E45+E50+E55+E59+E63+E66+E69+E74+E78+E83+E87+E91+E95+E99+E103+E107+E111+E115+E120+E125+E129+E134+E139+E143+E146+E151+E156+E161+E165+E169+E172+E177+E181+E185+E190+E195+E200+E205+E208+E213+E218+E223+E228+E232+E236+E241+E246+E250+E255+E259+E263+E266+E271+E276+E279+E284+E288+E292+E297</f>
        <v>973120.39975932718</v>
      </c>
    </row>
    <row r="300" spans="1:5" s="106" customFormat="1" ht="15.75" x14ac:dyDescent="0.3">
      <c r="A300" s="100"/>
      <c r="B300" s="100"/>
      <c r="C300" s="214"/>
      <c r="D300" s="100"/>
      <c r="E300" s="109"/>
    </row>
    <row r="301" spans="1:5" s="106" customFormat="1" ht="16.5" thickBot="1" x14ac:dyDescent="0.35">
      <c r="A301" s="100"/>
      <c r="B301" s="100"/>
      <c r="C301" s="101"/>
      <c r="D301" s="100"/>
      <c r="E301" s="105"/>
    </row>
    <row r="302" spans="1:5" s="106" customFormat="1" ht="15.75" x14ac:dyDescent="0.3">
      <c r="A302" s="100"/>
      <c r="B302" s="110" t="s">
        <v>98</v>
      </c>
      <c r="C302" s="111">
        <f>C2+C7+C12+C17+C21+C26+C31+C36+C41+C46+C51+C56+C60+C64+C67+C70+C75+C79+C84+C88+C92+C96+C100+C104+C108+C112+C116+C121+C126+C130+C135+C140+C144+C147+C152+C157+C162+C166+C170+C173+C178+C182+C186+C191+C196+C201+C206+C209+C214+C219+C224+C229+C233+C237+C242+C247+C251+C256+C260+C264+C267+C272+C277+C280+C285+C289+C293</f>
        <v>297897296.4515655</v>
      </c>
      <c r="D302" s="111"/>
      <c r="E302" s="222">
        <f>E2+E7+E12+E17+E21+E26+E31+E36+E41+E46+E51+E56+E60+E64+E67+E70+E75+E79+E84+E88+E92+E96+E100+E104+E108+E112+E116+E121+E126+E130+E135+E140+E144+E147+E152+E157+E162+E166+E170+E173+E178+E182+E186+E191+E196+E201+E206+E209+E214+E219+E224+E229+E233+E237+E242+E247+E251+E256+E260+E264+E267+E272+E277+E280+E285+E289+E293</f>
        <v>1191589.1858062621</v>
      </c>
    </row>
    <row r="303" spans="1:5" ht="15.75" x14ac:dyDescent="0.3">
      <c r="A303" s="100"/>
      <c r="B303" s="112" t="s">
        <v>99</v>
      </c>
      <c r="C303" s="113">
        <f>C3+C8+C13+C18+C22+C27+C32+C37+C42+C47+C52+C71+C76+C80+C85+C89+C93+C97+C101+C109+C113+C117+C122+C127+C131+C136+C141+C148+C153+C158+C163+C167+C174+C179+C183+C187+C192+C197+C202+C210+C215+C220+C225+C230+C234+C238+C243+C248+C252+C257+C261+C268+C273+C281+C286+C290+C294</f>
        <v>14546444.314928584</v>
      </c>
      <c r="D303" s="113"/>
      <c r="E303" s="223">
        <f>E3+E8+E13+E18+E22+E27+E32+E37+E42+E47+E52+E71+E76+E80+E85+E89+E93+E97+E101+E109+E113+E117+E122+E127+E131+E136+E141+E148+E153+E158+E163+E167+E174+E179+E183+E187+E192+E197+E202+E210+E215+E220+E225+E230+E234+E238+E243+E248+E252+E257+E261+E268+E273+E281+E286+E290+E294</f>
        <v>-186194.48723108595</v>
      </c>
    </row>
    <row r="304" spans="1:5" ht="15.75" x14ac:dyDescent="0.3">
      <c r="A304" s="100"/>
      <c r="B304" s="112" t="s">
        <v>100</v>
      </c>
      <c r="C304" s="113">
        <f>C4+C9+C14+C23+C28+C33+C38+C43+C48+C53+C57+C61+C72+C81+C86+C98+C105+C118+C123+C132+C137+C149+C154+C159+C175+C184+C188+C193+C198+C203+C211+C216+C221+C226+C231+C235+C239+C244+C253+C269+C274+C282+C295</f>
        <v>22572054.216454796</v>
      </c>
      <c r="D304" s="113"/>
      <c r="E304" s="223">
        <f>E4+E9+E14+E23+E28+E33+E38+E43+E48+E53+E57+E61+E72+E81+E86+E98+E105+E118+E123+E132+E137+E149+E154+E159+E175+E184+E188+E193+E198+E203+E211+E216+E221+E226+E231+E235+E239+E244+E253+E269+E274+E282+E295</f>
        <v>200891.28252644767</v>
      </c>
    </row>
    <row r="305" spans="1:5" ht="15.75" x14ac:dyDescent="0.3">
      <c r="A305" s="100"/>
      <c r="B305" s="112" t="s">
        <v>101</v>
      </c>
      <c r="C305" s="224">
        <f>C5+C10+C15+C19+C24+C29+C34+C39+C44+C49+C54+C58+C62+C65+C68+C73+C77+C82+C90+C94+C102+C106+C110+C114+C119+C124+C128+C133+C138+C142+C145+C150+C155+C160+C164+C168+C171+C176+C180+C189+C194+C199+C204+C207+C212+C217+C222+C227+C240+C245+C249+C254+C258+C262+C265+C270+C275+C278+C283+C287+C291+C296</f>
        <v>5673128.4998125751</v>
      </c>
      <c r="D305" s="113"/>
      <c r="E305" s="225">
        <f>E5+E10+E15+E19+E24+E29+E34+E39+E44+E49+E54+E58+E62+E65+E68+E73+E77+E82+E90+E94+E102+E106+E110+E114+E119+E124+E128+E133+E138+E142+E145+E150+E155+E160+E164+E168+E171+E176+E180+E189+E194+E199+E204+E207+E212+E217+E222+E227+E240+E245+E249+E254+E258+E262+E265+E270+E275+E278+E283+E287+E291+E296</f>
        <v>-233165.58134229694</v>
      </c>
    </row>
    <row r="306" spans="1:5" ht="16.5" thickBot="1" x14ac:dyDescent="0.35">
      <c r="A306" s="100"/>
      <c r="B306" s="114"/>
      <c r="C306" s="115">
        <f>SUM(C302:C305)</f>
        <v>340688923.4827615</v>
      </c>
      <c r="D306" s="115"/>
      <c r="E306" s="116">
        <f>SUM(E302:E305)</f>
        <v>973120.39975932683</v>
      </c>
    </row>
    <row r="307" spans="1:5" s="120" customFormat="1" ht="15.75" x14ac:dyDescent="0.3">
      <c r="A307" s="117"/>
      <c r="B307" s="117"/>
      <c r="C307" s="118">
        <f>C299-C306</f>
        <v>0</v>
      </c>
      <c r="D307" s="119"/>
      <c r="E307" s="118">
        <f>E299-E306</f>
        <v>0</v>
      </c>
    </row>
    <row r="308" spans="1:5" s="120" customFormat="1" ht="15.75" x14ac:dyDescent="0.3">
      <c r="A308" s="117"/>
      <c r="B308" s="117"/>
      <c r="C308" s="118"/>
      <c r="D308" s="119"/>
      <c r="E308" s="118"/>
    </row>
  </sheetData>
  <autoFilter ref="A1:E297" xr:uid="{A917B256-BF83-4E80-8C4C-D0F1F79B638F}"/>
  <dataValidations count="1">
    <dataValidation type="decimal" operator="greaterThanOrEqual" allowBlank="1" showInputMessage="1" showErrorMessage="1" sqref="B253:C253 B109:C109 F256:XFD256 E109:XFD109" xr:uid="{D7A5830A-6BFE-4A78-8BFC-2E3DDBE0036A}">
      <formula1>0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4B7B1-0248-4327-95F2-002A0E223476}">
  <sheetPr>
    <pageSetUpPr fitToPage="1"/>
  </sheetPr>
  <dimension ref="A1:S77"/>
  <sheetViews>
    <sheetView zoomScaleNormal="100" workbookViewId="0">
      <pane xSplit="2" ySplit="4" topLeftCell="C53" activePane="bottomRight" state="frozen"/>
      <selection pane="topRight" activeCell="C1" sqref="C1"/>
      <selection pane="bottomLeft" activeCell="A5" sqref="A5"/>
      <selection pane="bottomRight" activeCell="M18" sqref="M18"/>
    </sheetView>
  </sheetViews>
  <sheetFormatPr defaultRowHeight="15.75" outlineLevelRow="1" outlineLevelCol="1" x14ac:dyDescent="0.3"/>
  <cols>
    <col min="1" max="1" width="9.5703125" style="226" customWidth="1"/>
    <col min="2" max="2" width="14.5703125" style="100" customWidth="1"/>
    <col min="3" max="3" width="12.5703125" style="100" customWidth="1"/>
    <col min="4" max="4" width="14.7109375" style="227" customWidth="1" outlineLevel="1"/>
    <col min="5" max="5" width="14.42578125" style="100" customWidth="1" outlineLevel="1"/>
    <col min="6" max="6" width="15" style="100" customWidth="1" outlineLevel="1"/>
    <col min="7" max="7" width="14" style="100" customWidth="1" outlineLevel="1"/>
    <col min="8" max="8" width="12.7109375" style="100" customWidth="1"/>
    <col min="9" max="9" width="12.140625" style="100" customWidth="1"/>
    <col min="10" max="10" width="11.5703125" style="100" customWidth="1"/>
    <col min="11" max="11" width="13.28515625" style="100" customWidth="1"/>
    <col min="12" max="12" width="12" style="100" customWidth="1"/>
    <col min="13" max="13" width="11.85546875" style="100" customWidth="1"/>
    <col min="14" max="14" width="11.42578125" style="100" customWidth="1"/>
    <col min="15" max="15" width="19" style="100" customWidth="1"/>
    <col min="16" max="16" width="14.28515625" style="100" customWidth="1"/>
    <col min="17" max="17" width="17.7109375" style="100" customWidth="1"/>
    <col min="18" max="18" width="9.140625" style="100"/>
    <col min="19" max="19" width="17" style="100" customWidth="1"/>
    <col min="20" max="16384" width="9.140625" style="100"/>
  </cols>
  <sheetData>
    <row r="1" spans="1:19" ht="16.5" thickBot="1" x14ac:dyDescent="0.35">
      <c r="A1" s="495" t="s">
        <v>218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7"/>
    </row>
    <row r="2" spans="1:19" ht="11.25" customHeight="1" thickBot="1" x14ac:dyDescent="0.35"/>
    <row r="3" spans="1:19" ht="15" customHeight="1" thickBot="1" x14ac:dyDescent="0.35">
      <c r="C3" s="228"/>
      <c r="D3" s="498" t="s">
        <v>219</v>
      </c>
      <c r="E3" s="499"/>
      <c r="F3" s="499"/>
      <c r="G3" s="499"/>
      <c r="H3" s="500" t="s">
        <v>239</v>
      </c>
      <c r="I3" s="501"/>
      <c r="J3" s="502"/>
      <c r="K3" s="503" t="s">
        <v>240</v>
      </c>
      <c r="L3" s="504"/>
      <c r="M3" s="504"/>
      <c r="N3" s="504"/>
      <c r="O3" s="504"/>
      <c r="P3" s="504"/>
      <c r="Q3" s="505"/>
      <c r="R3" s="506" t="s">
        <v>241</v>
      </c>
      <c r="S3" s="507"/>
    </row>
    <row r="4" spans="1:19" s="103" customFormat="1" ht="48" thickBot="1" x14ac:dyDescent="0.35">
      <c r="A4" s="229" t="s">
        <v>220</v>
      </c>
      <c r="B4" s="229" t="s">
        <v>2</v>
      </c>
      <c r="C4" s="230" t="s">
        <v>221</v>
      </c>
      <c r="D4" s="258" t="s">
        <v>222</v>
      </c>
      <c r="E4" s="259" t="s">
        <v>223</v>
      </c>
      <c r="F4" s="260" t="s">
        <v>224</v>
      </c>
      <c r="G4" s="258" t="s">
        <v>225</v>
      </c>
      <c r="H4" s="272" t="s">
        <v>236</v>
      </c>
      <c r="I4" s="273" t="s">
        <v>237</v>
      </c>
      <c r="J4" s="274" t="s">
        <v>238</v>
      </c>
      <c r="K4" s="268" t="s">
        <v>226</v>
      </c>
      <c r="L4" s="231" t="s">
        <v>227</v>
      </c>
      <c r="M4" s="231" t="s">
        <v>228</v>
      </c>
      <c r="N4" s="231" t="s">
        <v>229</v>
      </c>
      <c r="O4" s="232" t="s">
        <v>230</v>
      </c>
      <c r="P4" s="232" t="s">
        <v>231</v>
      </c>
      <c r="Q4" s="292" t="s">
        <v>232</v>
      </c>
      <c r="R4" s="296" t="s">
        <v>242</v>
      </c>
      <c r="S4" s="297" t="s">
        <v>230</v>
      </c>
    </row>
    <row r="5" spans="1:19" x14ac:dyDescent="0.3">
      <c r="A5" s="233">
        <v>1</v>
      </c>
      <c r="B5" s="234" t="s">
        <v>20</v>
      </c>
      <c r="C5" s="233">
        <v>16</v>
      </c>
      <c r="D5" s="261">
        <v>29641</v>
      </c>
      <c r="E5" s="261">
        <v>30260</v>
      </c>
      <c r="F5" s="261">
        <v>28954</v>
      </c>
      <c r="G5" s="262">
        <f t="shared" ref="G5:G36" si="0">SUM(D5:F5)/3</f>
        <v>29618.333333333332</v>
      </c>
      <c r="H5" s="338"/>
      <c r="I5" s="275"/>
      <c r="J5" s="339">
        <f t="shared" ref="J5:J68" si="1">C5+H5+I5</f>
        <v>16</v>
      </c>
      <c r="K5" s="269">
        <f t="shared" ref="K5:K68" si="2">G5/J5</f>
        <v>1851.1458333333333</v>
      </c>
      <c r="L5" s="263"/>
      <c r="M5" s="340"/>
      <c r="N5" s="235">
        <f t="shared" ref="N5:N35" si="3">ROUND(L5+M5,2)</f>
        <v>0</v>
      </c>
      <c r="O5" s="236">
        <f t="shared" ref="O5:O68" si="4">N5*$O$76</f>
        <v>0</v>
      </c>
      <c r="P5" s="236"/>
      <c r="Q5" s="293">
        <f t="shared" ref="Q5:Q68" si="5">P5+O5</f>
        <v>0</v>
      </c>
      <c r="R5" s="300"/>
      <c r="S5" s="301"/>
    </row>
    <row r="6" spans="1:19" x14ac:dyDescent="0.3">
      <c r="A6" s="233">
        <v>1</v>
      </c>
      <c r="B6" s="234" t="s">
        <v>50</v>
      </c>
      <c r="C6" s="233">
        <v>9</v>
      </c>
      <c r="D6" s="261">
        <v>16645</v>
      </c>
      <c r="E6" s="261">
        <v>17941</v>
      </c>
      <c r="F6" s="261">
        <v>17451</v>
      </c>
      <c r="G6" s="262">
        <f t="shared" si="0"/>
        <v>17345.666666666668</v>
      </c>
      <c r="H6" s="276"/>
      <c r="I6" s="277"/>
      <c r="J6" s="278">
        <f t="shared" si="1"/>
        <v>9</v>
      </c>
      <c r="K6" s="270">
        <f t="shared" si="2"/>
        <v>1927.2962962962965</v>
      </c>
      <c r="L6" s="263"/>
      <c r="M6" s="341"/>
      <c r="N6" s="237">
        <f t="shared" si="3"/>
        <v>0</v>
      </c>
      <c r="O6" s="236">
        <f t="shared" si="4"/>
        <v>0</v>
      </c>
      <c r="P6" s="236"/>
      <c r="Q6" s="293">
        <f t="shared" si="5"/>
        <v>0</v>
      </c>
      <c r="R6" s="300"/>
      <c r="S6" s="301"/>
    </row>
    <row r="7" spans="1:19" x14ac:dyDescent="0.3">
      <c r="A7" s="233">
        <v>1</v>
      </c>
      <c r="B7" s="234" t="s">
        <v>61</v>
      </c>
      <c r="C7" s="233">
        <v>8</v>
      </c>
      <c r="D7" s="261">
        <v>13326</v>
      </c>
      <c r="E7" s="261">
        <v>14259</v>
      </c>
      <c r="F7" s="261">
        <v>13846</v>
      </c>
      <c r="G7" s="262">
        <f t="shared" si="0"/>
        <v>13810.333333333334</v>
      </c>
      <c r="H7" s="276"/>
      <c r="I7" s="277"/>
      <c r="J7" s="278">
        <f t="shared" si="1"/>
        <v>8</v>
      </c>
      <c r="K7" s="270">
        <f t="shared" si="2"/>
        <v>1726.2916666666667</v>
      </c>
      <c r="L7" s="263"/>
      <c r="M7" s="341"/>
      <c r="N7" s="237">
        <f t="shared" si="3"/>
        <v>0</v>
      </c>
      <c r="O7" s="236">
        <f t="shared" si="4"/>
        <v>0</v>
      </c>
      <c r="P7" s="236"/>
      <c r="Q7" s="293">
        <f t="shared" si="5"/>
        <v>0</v>
      </c>
      <c r="R7" s="300"/>
      <c r="S7" s="301"/>
    </row>
    <row r="8" spans="1:19" x14ac:dyDescent="0.3">
      <c r="A8" s="233">
        <v>1</v>
      </c>
      <c r="B8" s="234" t="s">
        <v>70</v>
      </c>
      <c r="C8" s="233">
        <v>5</v>
      </c>
      <c r="D8" s="261">
        <v>9392</v>
      </c>
      <c r="E8" s="261">
        <v>11881</v>
      </c>
      <c r="F8" s="261">
        <v>9189</v>
      </c>
      <c r="G8" s="262">
        <f t="shared" si="0"/>
        <v>10154</v>
      </c>
      <c r="H8" s="276"/>
      <c r="I8" s="277"/>
      <c r="J8" s="278">
        <f t="shared" si="1"/>
        <v>5</v>
      </c>
      <c r="K8" s="270">
        <f t="shared" si="2"/>
        <v>2030.8</v>
      </c>
      <c r="L8" s="263"/>
      <c r="M8" s="341"/>
      <c r="N8" s="237">
        <f t="shared" si="3"/>
        <v>0</v>
      </c>
      <c r="O8" s="236">
        <f t="shared" si="4"/>
        <v>0</v>
      </c>
      <c r="P8" s="236"/>
      <c r="Q8" s="293">
        <f t="shared" si="5"/>
        <v>0</v>
      </c>
      <c r="R8" s="300"/>
      <c r="S8" s="301"/>
    </row>
    <row r="9" spans="1:19" x14ac:dyDescent="0.3">
      <c r="A9" s="233">
        <v>2</v>
      </c>
      <c r="B9" s="234" t="s">
        <v>22</v>
      </c>
      <c r="C9" s="233">
        <v>1.5</v>
      </c>
      <c r="D9" s="261">
        <v>1676</v>
      </c>
      <c r="E9" s="261">
        <v>1688</v>
      </c>
      <c r="F9" s="261">
        <v>1483</v>
      </c>
      <c r="G9" s="262">
        <f t="shared" si="0"/>
        <v>1615.6666666666667</v>
      </c>
      <c r="H9" s="276"/>
      <c r="I9" s="277"/>
      <c r="J9" s="278">
        <f t="shared" si="1"/>
        <v>1.5</v>
      </c>
      <c r="K9" s="270">
        <f t="shared" si="2"/>
        <v>1077.1111111111111</v>
      </c>
      <c r="L9" s="263"/>
      <c r="M9" s="264"/>
      <c r="N9" s="237">
        <f t="shared" si="3"/>
        <v>0</v>
      </c>
      <c r="O9" s="236">
        <f t="shared" si="4"/>
        <v>0</v>
      </c>
      <c r="P9" s="236"/>
      <c r="Q9" s="293">
        <f t="shared" si="5"/>
        <v>0</v>
      </c>
      <c r="R9" s="300"/>
      <c r="S9" s="301"/>
    </row>
    <row r="10" spans="1:19" x14ac:dyDescent="0.3">
      <c r="A10" s="233">
        <v>2</v>
      </c>
      <c r="B10" s="234" t="s">
        <v>23</v>
      </c>
      <c r="C10" s="233">
        <v>1.67</v>
      </c>
      <c r="D10" s="261">
        <v>3757</v>
      </c>
      <c r="E10" s="261">
        <v>3976</v>
      </c>
      <c r="F10" s="261">
        <v>3607</v>
      </c>
      <c r="G10" s="262">
        <f t="shared" si="0"/>
        <v>3780</v>
      </c>
      <c r="H10" s="276"/>
      <c r="I10" s="277"/>
      <c r="J10" s="278">
        <f t="shared" si="1"/>
        <v>1.67</v>
      </c>
      <c r="K10" s="270">
        <f t="shared" si="2"/>
        <v>2263.4730538922158</v>
      </c>
      <c r="L10" s="263"/>
      <c r="M10" s="264"/>
      <c r="N10" s="237">
        <f t="shared" si="3"/>
        <v>0</v>
      </c>
      <c r="O10" s="236">
        <f t="shared" si="4"/>
        <v>0</v>
      </c>
      <c r="P10" s="236"/>
      <c r="Q10" s="293">
        <f t="shared" si="5"/>
        <v>0</v>
      </c>
      <c r="R10" s="300"/>
      <c r="S10" s="301"/>
    </row>
    <row r="11" spans="1:19" x14ac:dyDescent="0.3">
      <c r="A11" s="233">
        <v>2</v>
      </c>
      <c r="B11" s="234" t="s">
        <v>36</v>
      </c>
      <c r="C11" s="233">
        <v>1.5</v>
      </c>
      <c r="D11" s="261">
        <v>1090</v>
      </c>
      <c r="E11" s="261">
        <v>1030</v>
      </c>
      <c r="F11" s="261">
        <v>1134</v>
      </c>
      <c r="G11" s="262">
        <f t="shared" si="0"/>
        <v>1084.6666666666667</v>
      </c>
      <c r="H11" s="276"/>
      <c r="I11" s="277"/>
      <c r="J11" s="278">
        <f t="shared" si="1"/>
        <v>1.5</v>
      </c>
      <c r="K11" s="270">
        <f t="shared" si="2"/>
        <v>723.1111111111112</v>
      </c>
      <c r="L11" s="263"/>
      <c r="M11" s="264"/>
      <c r="N11" s="237">
        <f t="shared" si="3"/>
        <v>0</v>
      </c>
      <c r="O11" s="236">
        <f t="shared" si="4"/>
        <v>0</v>
      </c>
      <c r="P11" s="236"/>
      <c r="Q11" s="293">
        <f t="shared" si="5"/>
        <v>0</v>
      </c>
      <c r="R11" s="300"/>
      <c r="S11" s="301"/>
    </row>
    <row r="12" spans="1:19" x14ac:dyDescent="0.3">
      <c r="A12" s="233">
        <v>2</v>
      </c>
      <c r="B12" s="234" t="s">
        <v>40</v>
      </c>
      <c r="C12" s="233">
        <v>18.16</v>
      </c>
      <c r="D12" s="261">
        <v>23861</v>
      </c>
      <c r="E12" s="261">
        <v>23979</v>
      </c>
      <c r="F12" s="261">
        <v>23721</v>
      </c>
      <c r="G12" s="262">
        <f t="shared" si="0"/>
        <v>23853.666666666668</v>
      </c>
      <c r="H12" s="276"/>
      <c r="I12" s="277">
        <v>1</v>
      </c>
      <c r="J12" s="278">
        <f t="shared" si="1"/>
        <v>19.16</v>
      </c>
      <c r="K12" s="270">
        <f t="shared" si="2"/>
        <v>1244.9721642310369</v>
      </c>
      <c r="L12" s="263">
        <f t="shared" ref="L12" si="6">((K12*$D$76)/$D$77)*M12</f>
        <v>1.8656071117417246</v>
      </c>
      <c r="M12" s="264">
        <v>1</v>
      </c>
      <c r="N12" s="237">
        <f t="shared" si="3"/>
        <v>2.87</v>
      </c>
      <c r="O12" s="236">
        <f t="shared" si="4"/>
        <v>224497.14</v>
      </c>
      <c r="P12" s="236"/>
      <c r="Q12" s="293">
        <f t="shared" si="5"/>
        <v>224497.14</v>
      </c>
      <c r="R12" s="302">
        <f t="shared" ref="R12" si="7">H12+I12</f>
        <v>1</v>
      </c>
      <c r="S12" s="301">
        <f t="shared" ref="S12" si="8">R12*$O$76</f>
        <v>78222</v>
      </c>
    </row>
    <row r="13" spans="1:19" x14ac:dyDescent="0.3">
      <c r="A13" s="233">
        <v>2</v>
      </c>
      <c r="B13" s="234" t="s">
        <v>42</v>
      </c>
      <c r="C13" s="233">
        <v>1.67</v>
      </c>
      <c r="D13" s="261">
        <v>701</v>
      </c>
      <c r="E13" s="261">
        <v>643</v>
      </c>
      <c r="F13" s="261">
        <v>591</v>
      </c>
      <c r="G13" s="262">
        <f t="shared" si="0"/>
        <v>645</v>
      </c>
      <c r="H13" s="276"/>
      <c r="I13" s="277"/>
      <c r="J13" s="278">
        <f t="shared" si="1"/>
        <v>1.67</v>
      </c>
      <c r="K13" s="270">
        <f t="shared" si="2"/>
        <v>386.22754491017963</v>
      </c>
      <c r="L13" s="263"/>
      <c r="M13" s="264"/>
      <c r="N13" s="237">
        <f t="shared" si="3"/>
        <v>0</v>
      </c>
      <c r="O13" s="236">
        <f t="shared" si="4"/>
        <v>0</v>
      </c>
      <c r="P13" s="236"/>
      <c r="Q13" s="293">
        <f t="shared" si="5"/>
        <v>0</v>
      </c>
      <c r="R13" s="300"/>
      <c r="S13" s="301"/>
    </row>
    <row r="14" spans="1:19" x14ac:dyDescent="0.3">
      <c r="A14" s="233">
        <v>2</v>
      </c>
      <c r="B14" s="234" t="s">
        <v>69</v>
      </c>
      <c r="C14" s="233">
        <v>1.5</v>
      </c>
      <c r="D14" s="261">
        <v>2697</v>
      </c>
      <c r="E14" s="261">
        <v>3316</v>
      </c>
      <c r="F14" s="261">
        <v>3026</v>
      </c>
      <c r="G14" s="262">
        <f t="shared" si="0"/>
        <v>3013</v>
      </c>
      <c r="H14" s="276"/>
      <c r="I14" s="277"/>
      <c r="J14" s="278">
        <f t="shared" si="1"/>
        <v>1.5</v>
      </c>
      <c r="K14" s="270">
        <f t="shared" si="2"/>
        <v>2008.6666666666667</v>
      </c>
      <c r="L14" s="263"/>
      <c r="M14" s="264"/>
      <c r="N14" s="237">
        <f t="shared" si="3"/>
        <v>0</v>
      </c>
      <c r="O14" s="236">
        <f t="shared" si="4"/>
        <v>0</v>
      </c>
      <c r="P14" s="236"/>
      <c r="Q14" s="293">
        <f t="shared" si="5"/>
        <v>0</v>
      </c>
      <c r="R14" s="300"/>
      <c r="S14" s="301"/>
    </row>
    <row r="15" spans="1:19" x14ac:dyDescent="0.3">
      <c r="A15" s="233">
        <v>3</v>
      </c>
      <c r="B15" s="234" t="s">
        <v>16</v>
      </c>
      <c r="C15" s="233">
        <v>4.67</v>
      </c>
      <c r="D15" s="261">
        <v>7011</v>
      </c>
      <c r="E15" s="261">
        <v>6784</v>
      </c>
      <c r="F15" s="261">
        <v>6889</v>
      </c>
      <c r="G15" s="262">
        <f t="shared" si="0"/>
        <v>6894.666666666667</v>
      </c>
      <c r="H15" s="276"/>
      <c r="I15" s="277"/>
      <c r="J15" s="278">
        <f t="shared" si="1"/>
        <v>4.67</v>
      </c>
      <c r="K15" s="270">
        <f t="shared" si="2"/>
        <v>1476.3740185581728</v>
      </c>
      <c r="L15" s="263"/>
      <c r="M15" s="264"/>
      <c r="N15" s="237">
        <f t="shared" si="3"/>
        <v>0</v>
      </c>
      <c r="O15" s="236">
        <f t="shared" si="4"/>
        <v>0</v>
      </c>
      <c r="P15" s="236"/>
      <c r="Q15" s="293">
        <f t="shared" si="5"/>
        <v>0</v>
      </c>
      <c r="R15" s="300"/>
      <c r="S15" s="301"/>
    </row>
    <row r="16" spans="1:19" x14ac:dyDescent="0.3">
      <c r="A16" s="233">
        <v>3</v>
      </c>
      <c r="B16" s="234" t="s">
        <v>18</v>
      </c>
      <c r="C16" s="233">
        <v>1.33</v>
      </c>
      <c r="D16" s="261">
        <v>1297</v>
      </c>
      <c r="E16" s="261">
        <v>1492</v>
      </c>
      <c r="F16" s="261">
        <v>1424</v>
      </c>
      <c r="G16" s="262">
        <f t="shared" si="0"/>
        <v>1404.3333333333333</v>
      </c>
      <c r="H16" s="276"/>
      <c r="I16" s="277"/>
      <c r="J16" s="278">
        <f t="shared" si="1"/>
        <v>1.33</v>
      </c>
      <c r="K16" s="270">
        <f t="shared" si="2"/>
        <v>1055.8897243107767</v>
      </c>
      <c r="L16" s="263"/>
      <c r="M16" s="264"/>
      <c r="N16" s="237">
        <f t="shared" si="3"/>
        <v>0</v>
      </c>
      <c r="O16" s="236">
        <f t="shared" si="4"/>
        <v>0</v>
      </c>
      <c r="P16" s="236"/>
      <c r="Q16" s="293">
        <f t="shared" si="5"/>
        <v>0</v>
      </c>
      <c r="R16" s="300"/>
      <c r="S16" s="301"/>
    </row>
    <row r="17" spans="1:19" x14ac:dyDescent="0.3">
      <c r="A17" s="233">
        <v>3</v>
      </c>
      <c r="B17" s="234" t="s">
        <v>27</v>
      </c>
      <c r="C17" s="233">
        <v>1.83</v>
      </c>
      <c r="D17" s="261">
        <v>1303</v>
      </c>
      <c r="E17" s="261">
        <v>1247</v>
      </c>
      <c r="F17" s="261">
        <v>1402</v>
      </c>
      <c r="G17" s="262">
        <f t="shared" si="0"/>
        <v>1317.3333333333333</v>
      </c>
      <c r="H17" s="276"/>
      <c r="I17" s="277"/>
      <c r="J17" s="278">
        <f t="shared" si="1"/>
        <v>1.83</v>
      </c>
      <c r="K17" s="270">
        <f t="shared" si="2"/>
        <v>719.85428051001816</v>
      </c>
      <c r="L17" s="263"/>
      <c r="M17" s="264"/>
      <c r="N17" s="237">
        <f t="shared" si="3"/>
        <v>0</v>
      </c>
      <c r="O17" s="236">
        <f t="shared" si="4"/>
        <v>0</v>
      </c>
      <c r="P17" s="236"/>
      <c r="Q17" s="293">
        <f t="shared" si="5"/>
        <v>0</v>
      </c>
      <c r="R17" s="300"/>
      <c r="S17" s="301"/>
    </row>
    <row r="18" spans="1:19" x14ac:dyDescent="0.3">
      <c r="A18" s="233">
        <v>3</v>
      </c>
      <c r="B18" s="234" t="s">
        <v>37</v>
      </c>
      <c r="C18" s="233">
        <v>1</v>
      </c>
      <c r="D18" s="261">
        <v>513</v>
      </c>
      <c r="E18" s="261">
        <v>380</v>
      </c>
      <c r="F18" s="261">
        <v>480</v>
      </c>
      <c r="G18" s="262">
        <f t="shared" si="0"/>
        <v>457.66666666666669</v>
      </c>
      <c r="H18" s="276"/>
      <c r="I18" s="277"/>
      <c r="J18" s="278">
        <f t="shared" si="1"/>
        <v>1</v>
      </c>
      <c r="K18" s="270">
        <f t="shared" si="2"/>
        <v>457.66666666666669</v>
      </c>
      <c r="L18" s="263"/>
      <c r="M18" s="264"/>
      <c r="N18" s="237">
        <f t="shared" si="3"/>
        <v>0</v>
      </c>
      <c r="O18" s="236">
        <f t="shared" si="4"/>
        <v>0</v>
      </c>
      <c r="P18" s="236"/>
      <c r="Q18" s="293">
        <f t="shared" si="5"/>
        <v>0</v>
      </c>
      <c r="R18" s="300"/>
      <c r="S18" s="301"/>
    </row>
    <row r="19" spans="1:19" x14ac:dyDescent="0.3">
      <c r="A19" s="233">
        <v>3</v>
      </c>
      <c r="B19" s="234" t="s">
        <v>43</v>
      </c>
      <c r="C19" s="233">
        <v>1.5</v>
      </c>
      <c r="D19" s="261">
        <v>1461</v>
      </c>
      <c r="E19" s="261">
        <v>1591</v>
      </c>
      <c r="F19" s="261">
        <v>1462</v>
      </c>
      <c r="G19" s="262">
        <f t="shared" si="0"/>
        <v>1504.6666666666667</v>
      </c>
      <c r="H19" s="276"/>
      <c r="I19" s="277"/>
      <c r="J19" s="278">
        <f t="shared" si="1"/>
        <v>1.5</v>
      </c>
      <c r="K19" s="270">
        <f t="shared" si="2"/>
        <v>1003.1111111111112</v>
      </c>
      <c r="L19" s="263"/>
      <c r="M19" s="264"/>
      <c r="N19" s="237">
        <f t="shared" si="3"/>
        <v>0</v>
      </c>
      <c r="O19" s="236">
        <f t="shared" si="4"/>
        <v>0</v>
      </c>
      <c r="P19" s="236"/>
      <c r="Q19" s="293">
        <f t="shared" si="5"/>
        <v>0</v>
      </c>
      <c r="R19" s="300"/>
      <c r="S19" s="301"/>
    </row>
    <row r="20" spans="1:19" x14ac:dyDescent="0.3">
      <c r="A20" s="233">
        <v>3</v>
      </c>
      <c r="B20" s="234" t="s">
        <v>65</v>
      </c>
      <c r="C20" s="233">
        <v>2.67</v>
      </c>
      <c r="D20" s="261">
        <v>3524</v>
      </c>
      <c r="E20" s="261">
        <v>3764</v>
      </c>
      <c r="F20" s="261">
        <v>3776</v>
      </c>
      <c r="G20" s="262">
        <f t="shared" si="0"/>
        <v>3688</v>
      </c>
      <c r="H20" s="276"/>
      <c r="I20" s="277"/>
      <c r="J20" s="278">
        <f t="shared" si="1"/>
        <v>2.67</v>
      </c>
      <c r="K20" s="270">
        <f t="shared" si="2"/>
        <v>1381.2734082397003</v>
      </c>
      <c r="L20" s="263"/>
      <c r="M20" s="264"/>
      <c r="N20" s="237">
        <f t="shared" si="3"/>
        <v>0</v>
      </c>
      <c r="O20" s="236">
        <f t="shared" si="4"/>
        <v>0</v>
      </c>
      <c r="P20" s="236"/>
      <c r="Q20" s="293">
        <f t="shared" si="5"/>
        <v>0</v>
      </c>
      <c r="R20" s="300"/>
      <c r="S20" s="301"/>
    </row>
    <row r="21" spans="1:19" x14ac:dyDescent="0.3">
      <c r="A21" s="233">
        <v>3</v>
      </c>
      <c r="B21" s="234" t="s">
        <v>66</v>
      </c>
      <c r="C21" s="233">
        <v>2</v>
      </c>
      <c r="D21" s="261">
        <v>2253</v>
      </c>
      <c r="E21" s="261">
        <v>2140</v>
      </c>
      <c r="F21" s="261">
        <v>2291</v>
      </c>
      <c r="G21" s="262">
        <f t="shared" si="0"/>
        <v>2228</v>
      </c>
      <c r="H21" s="276"/>
      <c r="I21" s="277"/>
      <c r="J21" s="278">
        <f t="shared" si="1"/>
        <v>2</v>
      </c>
      <c r="K21" s="270">
        <f t="shared" si="2"/>
        <v>1114</v>
      </c>
      <c r="L21" s="263"/>
      <c r="M21" s="264"/>
      <c r="N21" s="237">
        <f t="shared" si="3"/>
        <v>0</v>
      </c>
      <c r="O21" s="236">
        <f t="shared" si="4"/>
        <v>0</v>
      </c>
      <c r="P21" s="236"/>
      <c r="Q21" s="293">
        <f t="shared" si="5"/>
        <v>0</v>
      </c>
      <c r="R21" s="300"/>
      <c r="S21" s="301"/>
    </row>
    <row r="22" spans="1:19" x14ac:dyDescent="0.3">
      <c r="A22" s="233">
        <v>4</v>
      </c>
      <c r="B22" s="234" t="s">
        <v>14</v>
      </c>
      <c r="C22" s="233">
        <v>6</v>
      </c>
      <c r="D22" s="261">
        <v>14386</v>
      </c>
      <c r="E22" s="261">
        <v>14507</v>
      </c>
      <c r="F22" s="261">
        <v>13980</v>
      </c>
      <c r="G22" s="262">
        <f t="shared" si="0"/>
        <v>14291</v>
      </c>
      <c r="H22" s="276">
        <v>1</v>
      </c>
      <c r="I22" s="277">
        <v>1</v>
      </c>
      <c r="J22" s="278">
        <f t="shared" si="1"/>
        <v>8</v>
      </c>
      <c r="K22" s="270">
        <f t="shared" si="2"/>
        <v>1786.375</v>
      </c>
      <c r="L22" s="263">
        <f t="shared" ref="L22:L29" si="9">((K22*$D$76)/$D$77)*M22</f>
        <v>5.3538127196539609</v>
      </c>
      <c r="M22" s="264">
        <v>2</v>
      </c>
      <c r="N22" s="237">
        <f t="shared" si="3"/>
        <v>7.35</v>
      </c>
      <c r="O22" s="236">
        <f t="shared" si="4"/>
        <v>574931.69999999995</v>
      </c>
      <c r="P22" s="236"/>
      <c r="Q22" s="293">
        <f t="shared" si="5"/>
        <v>574931.69999999995</v>
      </c>
      <c r="R22" s="302">
        <f t="shared" ref="R22:R29" si="10">H22+I22</f>
        <v>2</v>
      </c>
      <c r="S22" s="301">
        <f t="shared" ref="S22:S29" si="11">R22*$O$76</f>
        <v>156444</v>
      </c>
    </row>
    <row r="23" spans="1:19" x14ac:dyDescent="0.3">
      <c r="A23" s="233">
        <v>4</v>
      </c>
      <c r="B23" s="234" t="s">
        <v>19</v>
      </c>
      <c r="C23" s="233">
        <v>45</v>
      </c>
      <c r="D23" s="261">
        <v>111226</v>
      </c>
      <c r="E23" s="261">
        <v>119493</v>
      </c>
      <c r="F23" s="261">
        <v>110678</v>
      </c>
      <c r="G23" s="262">
        <f t="shared" si="0"/>
        <v>113799</v>
      </c>
      <c r="H23" s="276"/>
      <c r="I23" s="277">
        <v>1</v>
      </c>
      <c r="J23" s="278">
        <f t="shared" si="1"/>
        <v>46</v>
      </c>
      <c r="K23" s="270">
        <f t="shared" si="2"/>
        <v>2473.891304347826</v>
      </c>
      <c r="L23" s="263">
        <f t="shared" si="9"/>
        <v>3.7071585563665859</v>
      </c>
      <c r="M23" s="264">
        <v>1</v>
      </c>
      <c r="N23" s="237">
        <f t="shared" si="3"/>
        <v>4.71</v>
      </c>
      <c r="O23" s="236">
        <f t="shared" si="4"/>
        <v>368425.62</v>
      </c>
      <c r="P23" s="236"/>
      <c r="Q23" s="293">
        <f t="shared" si="5"/>
        <v>368425.62</v>
      </c>
      <c r="R23" s="302">
        <f t="shared" si="10"/>
        <v>1</v>
      </c>
      <c r="S23" s="301">
        <f t="shared" si="11"/>
        <v>78222</v>
      </c>
    </row>
    <row r="24" spans="1:19" x14ac:dyDescent="0.3">
      <c r="A24" s="233">
        <v>4</v>
      </c>
      <c r="B24" s="234" t="s">
        <v>49</v>
      </c>
      <c r="C24" s="233">
        <v>4</v>
      </c>
      <c r="D24" s="261">
        <v>5942</v>
      </c>
      <c r="E24" s="261">
        <v>6500</v>
      </c>
      <c r="F24" s="261">
        <v>6945</v>
      </c>
      <c r="G24" s="262">
        <f t="shared" si="0"/>
        <v>6462.333333333333</v>
      </c>
      <c r="H24" s="276">
        <v>1</v>
      </c>
      <c r="I24" s="277"/>
      <c r="J24" s="278">
        <f t="shared" si="1"/>
        <v>5</v>
      </c>
      <c r="K24" s="270">
        <f t="shared" si="2"/>
        <v>1292.4666666666667</v>
      </c>
      <c r="L24" s="263">
        <f t="shared" si="9"/>
        <v>1.9367782463728938</v>
      </c>
      <c r="M24" s="264">
        <v>1</v>
      </c>
      <c r="N24" s="237">
        <f t="shared" si="3"/>
        <v>2.94</v>
      </c>
      <c r="O24" s="236">
        <f t="shared" si="4"/>
        <v>229972.68</v>
      </c>
      <c r="P24" s="236"/>
      <c r="Q24" s="293">
        <f t="shared" si="5"/>
        <v>229972.68</v>
      </c>
      <c r="R24" s="302">
        <f t="shared" si="10"/>
        <v>1</v>
      </c>
      <c r="S24" s="301">
        <f t="shared" si="11"/>
        <v>78222</v>
      </c>
    </row>
    <row r="25" spans="1:19" x14ac:dyDescent="0.3">
      <c r="A25" s="233">
        <v>5</v>
      </c>
      <c r="B25" s="234" t="s">
        <v>13</v>
      </c>
      <c r="C25" s="233">
        <v>7</v>
      </c>
      <c r="D25" s="261">
        <v>10706</v>
      </c>
      <c r="E25" s="261">
        <v>11184</v>
      </c>
      <c r="F25" s="261">
        <v>11143</v>
      </c>
      <c r="G25" s="262">
        <f t="shared" si="0"/>
        <v>11011</v>
      </c>
      <c r="H25" s="276"/>
      <c r="I25" s="277">
        <v>0.5</v>
      </c>
      <c r="J25" s="278">
        <f t="shared" si="1"/>
        <v>7.5</v>
      </c>
      <c r="K25" s="270">
        <f t="shared" si="2"/>
        <v>1468.1333333333334</v>
      </c>
      <c r="L25" s="263">
        <f t="shared" si="9"/>
        <v>1.1000085248265299</v>
      </c>
      <c r="M25" s="264">
        <v>0.5</v>
      </c>
      <c r="N25" s="237">
        <f t="shared" si="3"/>
        <v>1.6</v>
      </c>
      <c r="O25" s="236">
        <f t="shared" si="4"/>
        <v>125155.20000000001</v>
      </c>
      <c r="P25" s="236"/>
      <c r="Q25" s="293">
        <f t="shared" si="5"/>
        <v>125155.20000000001</v>
      </c>
      <c r="R25" s="302">
        <f t="shared" si="10"/>
        <v>0.5</v>
      </c>
      <c r="S25" s="301">
        <f t="shared" si="11"/>
        <v>39111</v>
      </c>
    </row>
    <row r="26" spans="1:19" x14ac:dyDescent="0.3">
      <c r="A26" s="233">
        <v>5</v>
      </c>
      <c r="B26" s="234" t="s">
        <v>30</v>
      </c>
      <c r="C26" s="233">
        <v>7</v>
      </c>
      <c r="D26" s="261">
        <v>16011</v>
      </c>
      <c r="E26" s="261">
        <v>17363</v>
      </c>
      <c r="F26" s="261">
        <v>16815</v>
      </c>
      <c r="G26" s="262">
        <f t="shared" si="0"/>
        <v>16729.666666666668</v>
      </c>
      <c r="H26" s="276">
        <v>1</v>
      </c>
      <c r="I26" s="277"/>
      <c r="J26" s="278">
        <f t="shared" si="1"/>
        <v>8</v>
      </c>
      <c r="K26" s="270">
        <f t="shared" si="2"/>
        <v>2091.2083333333335</v>
      </c>
      <c r="L26" s="263">
        <f t="shared" si="9"/>
        <v>3.1337031066955037</v>
      </c>
      <c r="M26" s="264">
        <v>1</v>
      </c>
      <c r="N26" s="237">
        <f t="shared" si="3"/>
        <v>4.13</v>
      </c>
      <c r="O26" s="236">
        <f t="shared" si="4"/>
        <v>323056.86</v>
      </c>
      <c r="P26" s="236"/>
      <c r="Q26" s="293">
        <f t="shared" si="5"/>
        <v>323056.86</v>
      </c>
      <c r="R26" s="302">
        <f t="shared" si="10"/>
        <v>1</v>
      </c>
      <c r="S26" s="301">
        <f t="shared" si="11"/>
        <v>78222</v>
      </c>
    </row>
    <row r="27" spans="1:19" x14ac:dyDescent="0.3">
      <c r="A27" s="233">
        <v>5</v>
      </c>
      <c r="B27" s="234" t="s">
        <v>38</v>
      </c>
      <c r="C27" s="233">
        <v>12</v>
      </c>
      <c r="D27" s="261">
        <v>26346</v>
      </c>
      <c r="E27" s="261">
        <v>28302</v>
      </c>
      <c r="F27" s="261">
        <v>28709</v>
      </c>
      <c r="G27" s="262">
        <f t="shared" si="0"/>
        <v>27785.666666666668</v>
      </c>
      <c r="H27" s="276">
        <v>1</v>
      </c>
      <c r="I27" s="277">
        <v>1</v>
      </c>
      <c r="J27" s="278">
        <f t="shared" si="1"/>
        <v>14</v>
      </c>
      <c r="K27" s="270">
        <f t="shared" si="2"/>
        <v>1984.6904761904764</v>
      </c>
      <c r="L27" s="263">
        <f t="shared" si="9"/>
        <v>5.9481694022837583</v>
      </c>
      <c r="M27" s="264">
        <v>2</v>
      </c>
      <c r="N27" s="237">
        <f t="shared" si="3"/>
        <v>7.95</v>
      </c>
      <c r="O27" s="236">
        <f t="shared" si="4"/>
        <v>621864.9</v>
      </c>
      <c r="P27" s="236"/>
      <c r="Q27" s="293">
        <f t="shared" si="5"/>
        <v>621864.9</v>
      </c>
      <c r="R27" s="302">
        <f t="shared" si="10"/>
        <v>2</v>
      </c>
      <c r="S27" s="301">
        <f t="shared" si="11"/>
        <v>156444</v>
      </c>
    </row>
    <row r="28" spans="1:19" x14ac:dyDescent="0.3">
      <c r="A28" s="233">
        <v>5</v>
      </c>
      <c r="B28" s="234" t="s">
        <v>45</v>
      </c>
      <c r="C28" s="233">
        <v>15</v>
      </c>
      <c r="D28" s="261">
        <v>29964</v>
      </c>
      <c r="E28" s="261">
        <v>32498</v>
      </c>
      <c r="F28" s="261">
        <v>33651</v>
      </c>
      <c r="G28" s="262">
        <f t="shared" si="0"/>
        <v>32037.666666666668</v>
      </c>
      <c r="H28" s="276">
        <v>1</v>
      </c>
      <c r="I28" s="277">
        <v>1</v>
      </c>
      <c r="J28" s="278">
        <f t="shared" si="1"/>
        <v>17</v>
      </c>
      <c r="K28" s="270">
        <f t="shared" si="2"/>
        <v>1884.5686274509806</v>
      </c>
      <c r="L28" s="263">
        <f t="shared" si="9"/>
        <v>5.6481015960858532</v>
      </c>
      <c r="M28" s="264">
        <v>2</v>
      </c>
      <c r="N28" s="237">
        <f t="shared" si="3"/>
        <v>7.65</v>
      </c>
      <c r="O28" s="236">
        <f t="shared" si="4"/>
        <v>598398.30000000005</v>
      </c>
      <c r="P28" s="236"/>
      <c r="Q28" s="293">
        <f t="shared" si="5"/>
        <v>598398.30000000005</v>
      </c>
      <c r="R28" s="302">
        <f t="shared" si="10"/>
        <v>2</v>
      </c>
      <c r="S28" s="301">
        <f t="shared" si="11"/>
        <v>156444</v>
      </c>
    </row>
    <row r="29" spans="1:19" x14ac:dyDescent="0.3">
      <c r="A29" s="233">
        <v>5</v>
      </c>
      <c r="B29" s="234" t="s">
        <v>64</v>
      </c>
      <c r="C29" s="233">
        <v>4</v>
      </c>
      <c r="D29" s="261">
        <v>7337</v>
      </c>
      <c r="E29" s="261">
        <v>8197</v>
      </c>
      <c r="F29" s="261">
        <v>7974</v>
      </c>
      <c r="G29" s="262">
        <f t="shared" si="0"/>
        <v>7836</v>
      </c>
      <c r="H29" s="276">
        <v>1</v>
      </c>
      <c r="I29" s="277">
        <v>0.5</v>
      </c>
      <c r="J29" s="278">
        <f t="shared" si="1"/>
        <v>5.5</v>
      </c>
      <c r="K29" s="270">
        <f t="shared" si="2"/>
        <v>1424.7272727272727</v>
      </c>
      <c r="L29" s="263">
        <f t="shared" si="9"/>
        <v>3.2024587480645881</v>
      </c>
      <c r="M29" s="264">
        <v>1.5</v>
      </c>
      <c r="N29" s="237">
        <f t="shared" si="3"/>
        <v>4.7</v>
      </c>
      <c r="O29" s="236">
        <f t="shared" si="4"/>
        <v>367643.4</v>
      </c>
      <c r="P29" s="236"/>
      <c r="Q29" s="293">
        <f t="shared" si="5"/>
        <v>367643.4</v>
      </c>
      <c r="R29" s="302">
        <f t="shared" si="10"/>
        <v>1.5</v>
      </c>
      <c r="S29" s="301">
        <f t="shared" si="11"/>
        <v>117333</v>
      </c>
    </row>
    <row r="30" spans="1:19" x14ac:dyDescent="0.3">
      <c r="A30" s="233">
        <v>6</v>
      </c>
      <c r="B30" s="234" t="s">
        <v>55</v>
      </c>
      <c r="C30" s="233">
        <v>23.5</v>
      </c>
      <c r="D30" s="261">
        <v>41866</v>
      </c>
      <c r="E30" s="261">
        <v>44888</v>
      </c>
      <c r="F30" s="261">
        <v>45294</v>
      </c>
      <c r="G30" s="262">
        <f t="shared" si="0"/>
        <v>44016</v>
      </c>
      <c r="H30" s="276"/>
      <c r="I30" s="277"/>
      <c r="J30" s="278">
        <f t="shared" si="1"/>
        <v>23.5</v>
      </c>
      <c r="K30" s="270">
        <f t="shared" si="2"/>
        <v>1873.0212765957447</v>
      </c>
      <c r="L30" s="263"/>
      <c r="M30" s="264"/>
      <c r="N30" s="237">
        <f t="shared" si="3"/>
        <v>0</v>
      </c>
      <c r="O30" s="236">
        <f t="shared" si="4"/>
        <v>0</v>
      </c>
      <c r="P30" s="236"/>
      <c r="Q30" s="293">
        <f t="shared" si="5"/>
        <v>0</v>
      </c>
      <c r="R30" s="302"/>
      <c r="S30" s="301"/>
    </row>
    <row r="31" spans="1:19" x14ac:dyDescent="0.3">
      <c r="A31" s="233">
        <v>6</v>
      </c>
      <c r="B31" s="234" t="s">
        <v>56</v>
      </c>
      <c r="C31" s="233">
        <v>45.5</v>
      </c>
      <c r="D31" s="261">
        <v>85831</v>
      </c>
      <c r="E31" s="261">
        <v>88309</v>
      </c>
      <c r="F31" s="261">
        <v>81487</v>
      </c>
      <c r="G31" s="262">
        <f t="shared" si="0"/>
        <v>85209</v>
      </c>
      <c r="H31" s="276"/>
      <c r="I31" s="277"/>
      <c r="J31" s="278">
        <f t="shared" si="1"/>
        <v>45.5</v>
      </c>
      <c r="K31" s="270">
        <f t="shared" si="2"/>
        <v>1872.7252747252746</v>
      </c>
      <c r="L31" s="263"/>
      <c r="M31" s="264"/>
      <c r="N31" s="237">
        <f t="shared" si="3"/>
        <v>0</v>
      </c>
      <c r="O31" s="236">
        <f t="shared" si="4"/>
        <v>0</v>
      </c>
      <c r="P31" s="236">
        <v>0</v>
      </c>
      <c r="Q31" s="293">
        <f t="shared" si="5"/>
        <v>0</v>
      </c>
      <c r="R31" s="302"/>
      <c r="S31" s="301"/>
    </row>
    <row r="32" spans="1:19" x14ac:dyDescent="0.3">
      <c r="A32" s="233">
        <v>7</v>
      </c>
      <c r="B32" s="234" t="s">
        <v>21</v>
      </c>
      <c r="C32" s="233">
        <v>4</v>
      </c>
      <c r="D32" s="261">
        <v>8866</v>
      </c>
      <c r="E32" s="261">
        <v>9330</v>
      </c>
      <c r="F32" s="261">
        <v>9645</v>
      </c>
      <c r="G32" s="262">
        <f t="shared" si="0"/>
        <v>9280.3333333333339</v>
      </c>
      <c r="H32" s="276"/>
      <c r="I32" s="277"/>
      <c r="J32" s="278">
        <f t="shared" si="1"/>
        <v>4</v>
      </c>
      <c r="K32" s="270">
        <f t="shared" si="2"/>
        <v>2320.0833333333335</v>
      </c>
      <c r="L32" s="263"/>
      <c r="M32" s="264"/>
      <c r="N32" s="237">
        <f t="shared" si="3"/>
        <v>0</v>
      </c>
      <c r="O32" s="236">
        <f t="shared" si="4"/>
        <v>0</v>
      </c>
      <c r="P32" s="236"/>
      <c r="Q32" s="293">
        <f t="shared" si="5"/>
        <v>0</v>
      </c>
      <c r="R32" s="302"/>
      <c r="S32" s="301"/>
    </row>
    <row r="33" spans="1:19" x14ac:dyDescent="0.3">
      <c r="A33" s="233">
        <v>7</v>
      </c>
      <c r="B33" s="234" t="s">
        <v>58</v>
      </c>
      <c r="C33" s="233">
        <v>4</v>
      </c>
      <c r="D33" s="261">
        <v>7299</v>
      </c>
      <c r="E33" s="261">
        <v>7882</v>
      </c>
      <c r="F33" s="261">
        <v>7424</v>
      </c>
      <c r="G33" s="262">
        <f t="shared" si="0"/>
        <v>7535</v>
      </c>
      <c r="H33" s="276"/>
      <c r="I33" s="277"/>
      <c r="J33" s="278">
        <f t="shared" si="1"/>
        <v>4</v>
      </c>
      <c r="K33" s="270">
        <f t="shared" si="2"/>
        <v>1883.75</v>
      </c>
      <c r="L33" s="263"/>
      <c r="M33" s="264"/>
      <c r="N33" s="237">
        <f t="shared" si="3"/>
        <v>0</v>
      </c>
      <c r="O33" s="236">
        <f t="shared" si="4"/>
        <v>0</v>
      </c>
      <c r="P33" s="236"/>
      <c r="Q33" s="293">
        <f t="shared" si="5"/>
        <v>0</v>
      </c>
      <c r="R33" s="302"/>
      <c r="S33" s="301"/>
    </row>
    <row r="34" spans="1:19" x14ac:dyDescent="0.3">
      <c r="A34" s="233">
        <v>7</v>
      </c>
      <c r="B34" s="234" t="s">
        <v>205</v>
      </c>
      <c r="C34" s="233">
        <v>8</v>
      </c>
      <c r="D34" s="261">
        <v>16675</v>
      </c>
      <c r="E34" s="261">
        <v>21485</v>
      </c>
      <c r="F34" s="261">
        <v>20852</v>
      </c>
      <c r="G34" s="262">
        <f t="shared" si="0"/>
        <v>19670.666666666668</v>
      </c>
      <c r="H34" s="276"/>
      <c r="I34" s="277">
        <v>1</v>
      </c>
      <c r="J34" s="278">
        <f t="shared" si="1"/>
        <v>9</v>
      </c>
      <c r="K34" s="270">
        <f t="shared" si="2"/>
        <v>2185.6296296296296</v>
      </c>
      <c r="L34" s="263">
        <f t="shared" ref="L34:L50" si="12">((K34*$D$76)/$D$77)*M34</f>
        <v>3.2751946572146631</v>
      </c>
      <c r="M34" s="264">
        <v>1</v>
      </c>
      <c r="N34" s="237">
        <f t="shared" si="3"/>
        <v>4.28</v>
      </c>
      <c r="O34" s="236">
        <f t="shared" si="4"/>
        <v>334790.16000000003</v>
      </c>
      <c r="P34" s="236"/>
      <c r="Q34" s="293">
        <f t="shared" si="5"/>
        <v>334790.16000000003</v>
      </c>
      <c r="R34" s="302">
        <f t="shared" ref="R34:R49" si="13">H34+I34</f>
        <v>1</v>
      </c>
      <c r="S34" s="301">
        <f t="shared" ref="S34:S50" si="14">R34*$O$76</f>
        <v>78222</v>
      </c>
    </row>
    <row r="35" spans="1:19" x14ac:dyDescent="0.3">
      <c r="A35" s="233">
        <v>7</v>
      </c>
      <c r="B35" s="234" t="s">
        <v>68</v>
      </c>
      <c r="C35" s="233">
        <v>28</v>
      </c>
      <c r="D35" s="261">
        <v>64794</v>
      </c>
      <c r="E35" s="261">
        <v>69354</v>
      </c>
      <c r="F35" s="261">
        <v>62854</v>
      </c>
      <c r="G35" s="262">
        <f t="shared" si="0"/>
        <v>65667.333333333328</v>
      </c>
      <c r="H35" s="276"/>
      <c r="I35" s="277">
        <v>1</v>
      </c>
      <c r="J35" s="278">
        <f t="shared" si="1"/>
        <v>29</v>
      </c>
      <c r="K35" s="270">
        <f t="shared" si="2"/>
        <v>2264.3908045977009</v>
      </c>
      <c r="L35" s="263">
        <f t="shared" si="12"/>
        <v>3.3932193105934192</v>
      </c>
      <c r="M35" s="264">
        <v>1</v>
      </c>
      <c r="N35" s="237">
        <f t="shared" si="3"/>
        <v>4.3899999999999997</v>
      </c>
      <c r="O35" s="236">
        <f t="shared" si="4"/>
        <v>343394.57999999996</v>
      </c>
      <c r="P35" s="236"/>
      <c r="Q35" s="293">
        <f t="shared" si="5"/>
        <v>343394.57999999996</v>
      </c>
      <c r="R35" s="302">
        <f t="shared" si="13"/>
        <v>1</v>
      </c>
      <c r="S35" s="301">
        <f t="shared" si="14"/>
        <v>78222</v>
      </c>
    </row>
    <row r="36" spans="1:19" x14ac:dyDescent="0.3">
      <c r="A36" s="233">
        <v>8</v>
      </c>
      <c r="B36" s="234" t="s">
        <v>5</v>
      </c>
      <c r="C36" s="238">
        <v>13.5</v>
      </c>
      <c r="D36" s="261">
        <v>18874</v>
      </c>
      <c r="E36" s="261">
        <v>19971</v>
      </c>
      <c r="F36" s="261">
        <v>17254</v>
      </c>
      <c r="G36" s="262">
        <f t="shared" si="0"/>
        <v>18699.666666666668</v>
      </c>
      <c r="H36" s="279"/>
      <c r="I36" s="277">
        <v>0.17</v>
      </c>
      <c r="J36" s="280">
        <f t="shared" si="1"/>
        <v>13.67</v>
      </c>
      <c r="K36" s="270">
        <f t="shared" si="2"/>
        <v>1367.9346500853451</v>
      </c>
      <c r="L36" s="263">
        <f t="shared" si="12"/>
        <v>0.34847756153606968</v>
      </c>
      <c r="M36" s="264">
        <v>0.17</v>
      </c>
      <c r="N36" s="237">
        <f>L36+M36</f>
        <v>0.51847756153606972</v>
      </c>
      <c r="O36" s="236">
        <f t="shared" si="4"/>
        <v>40556.351818474446</v>
      </c>
      <c r="P36" s="236"/>
      <c r="Q36" s="293">
        <f t="shared" si="5"/>
        <v>40556.351818474446</v>
      </c>
      <c r="R36" s="300">
        <f t="shared" si="13"/>
        <v>0.17</v>
      </c>
      <c r="S36" s="301">
        <f t="shared" si="14"/>
        <v>13297.740000000002</v>
      </c>
    </row>
    <row r="37" spans="1:19" x14ac:dyDescent="0.3">
      <c r="A37" s="233">
        <v>8</v>
      </c>
      <c r="B37" s="234" t="s">
        <v>6</v>
      </c>
      <c r="C37" s="238">
        <v>2</v>
      </c>
      <c r="D37" s="261">
        <v>2153</v>
      </c>
      <c r="E37" s="261">
        <v>2534</v>
      </c>
      <c r="F37" s="261">
        <v>2348</v>
      </c>
      <c r="G37" s="262">
        <f t="shared" ref="G37:G68" si="15">SUM(D37:F37)/3</f>
        <v>2345</v>
      </c>
      <c r="H37" s="279"/>
      <c r="I37" s="277">
        <v>0.17</v>
      </c>
      <c r="J37" s="280">
        <f t="shared" si="1"/>
        <v>2.17</v>
      </c>
      <c r="K37" s="270">
        <f t="shared" si="2"/>
        <v>1080.6451612903227</v>
      </c>
      <c r="L37" s="263">
        <f t="shared" si="12"/>
        <v>0.27529136035022556</v>
      </c>
      <c r="M37" s="264">
        <v>0.17</v>
      </c>
      <c r="N37" s="237">
        <f>L37+M37</f>
        <v>0.44529136035022554</v>
      </c>
      <c r="O37" s="236">
        <f t="shared" si="4"/>
        <v>34831.58078931534</v>
      </c>
      <c r="P37" s="236"/>
      <c r="Q37" s="293">
        <f t="shared" si="5"/>
        <v>34831.58078931534</v>
      </c>
      <c r="R37" s="300">
        <f t="shared" si="13"/>
        <v>0.17</v>
      </c>
      <c r="S37" s="301">
        <f t="shared" si="14"/>
        <v>13297.740000000002</v>
      </c>
    </row>
    <row r="38" spans="1:19" x14ac:dyDescent="0.3">
      <c r="A38" s="233">
        <v>8</v>
      </c>
      <c r="B38" s="234" t="s">
        <v>8</v>
      </c>
      <c r="C38" s="238">
        <v>2</v>
      </c>
      <c r="D38" s="261">
        <v>2606</v>
      </c>
      <c r="E38" s="261">
        <v>2744</v>
      </c>
      <c r="F38" s="261">
        <v>2601</v>
      </c>
      <c r="G38" s="262">
        <f t="shared" si="15"/>
        <v>2650.3333333333335</v>
      </c>
      <c r="H38" s="279"/>
      <c r="I38" s="277">
        <v>0.17</v>
      </c>
      <c r="J38" s="280">
        <f t="shared" si="1"/>
        <v>2.17</v>
      </c>
      <c r="K38" s="270">
        <f t="shared" si="2"/>
        <v>1221.3517665130569</v>
      </c>
      <c r="L38" s="263">
        <f t="shared" si="12"/>
        <v>0.3111359781300132</v>
      </c>
      <c r="M38" s="264">
        <v>0.17</v>
      </c>
      <c r="N38" s="237">
        <f t="shared" ref="N38:N71" si="16">ROUND(L38+M38,2)</f>
        <v>0.48</v>
      </c>
      <c r="O38" s="236">
        <f t="shared" si="4"/>
        <v>37546.559999999998</v>
      </c>
      <c r="P38" s="236"/>
      <c r="Q38" s="293">
        <f t="shared" si="5"/>
        <v>37546.559999999998</v>
      </c>
      <c r="R38" s="300">
        <f t="shared" si="13"/>
        <v>0.17</v>
      </c>
      <c r="S38" s="301">
        <f t="shared" si="14"/>
        <v>13297.740000000002</v>
      </c>
    </row>
    <row r="39" spans="1:19" x14ac:dyDescent="0.3">
      <c r="A39" s="233">
        <v>8</v>
      </c>
      <c r="B39" s="234" t="s">
        <v>24</v>
      </c>
      <c r="C39" s="238">
        <v>2</v>
      </c>
      <c r="D39" s="261">
        <v>1361</v>
      </c>
      <c r="E39" s="261">
        <v>1421</v>
      </c>
      <c r="F39" s="261">
        <v>1444</v>
      </c>
      <c r="G39" s="262">
        <f t="shared" si="15"/>
        <v>1408.6666666666667</v>
      </c>
      <c r="H39" s="279"/>
      <c r="I39" s="277">
        <v>0.17</v>
      </c>
      <c r="J39" s="280">
        <f t="shared" si="1"/>
        <v>2.17</v>
      </c>
      <c r="K39" s="270">
        <f t="shared" si="2"/>
        <v>649.15514592933948</v>
      </c>
      <c r="L39" s="263">
        <f t="shared" si="12"/>
        <v>0.16537047460412976</v>
      </c>
      <c r="M39" s="264">
        <v>0.17</v>
      </c>
      <c r="N39" s="237">
        <f t="shared" si="16"/>
        <v>0.34</v>
      </c>
      <c r="O39" s="236">
        <f t="shared" si="4"/>
        <v>26595.480000000003</v>
      </c>
      <c r="P39" s="236"/>
      <c r="Q39" s="293">
        <f t="shared" si="5"/>
        <v>26595.480000000003</v>
      </c>
      <c r="R39" s="300">
        <f t="shared" si="13"/>
        <v>0.17</v>
      </c>
      <c r="S39" s="301">
        <f t="shared" si="14"/>
        <v>13297.740000000002</v>
      </c>
    </row>
    <row r="40" spans="1:19" x14ac:dyDescent="0.3">
      <c r="A40" s="233">
        <v>8</v>
      </c>
      <c r="B40" s="234" t="s">
        <v>41</v>
      </c>
      <c r="C40" s="238">
        <v>2</v>
      </c>
      <c r="D40" s="261">
        <v>3914</v>
      </c>
      <c r="E40" s="261">
        <v>3906</v>
      </c>
      <c r="F40" s="261">
        <v>3718</v>
      </c>
      <c r="G40" s="262">
        <f t="shared" si="15"/>
        <v>3846</v>
      </c>
      <c r="H40" s="279"/>
      <c r="I40" s="277">
        <v>0.17</v>
      </c>
      <c r="J40" s="280">
        <f t="shared" si="1"/>
        <v>2.17</v>
      </c>
      <c r="K40" s="270">
        <f t="shared" si="2"/>
        <v>1772.3502304147466</v>
      </c>
      <c r="L40" s="263">
        <f t="shared" si="12"/>
        <v>0.45150130998164922</v>
      </c>
      <c r="M40" s="264">
        <v>0.17</v>
      </c>
      <c r="N40" s="237">
        <f t="shared" si="16"/>
        <v>0.62</v>
      </c>
      <c r="O40" s="236">
        <f t="shared" si="4"/>
        <v>48497.64</v>
      </c>
      <c r="P40" s="236"/>
      <c r="Q40" s="293">
        <f t="shared" si="5"/>
        <v>48497.64</v>
      </c>
      <c r="R40" s="300">
        <f t="shared" si="13"/>
        <v>0.17</v>
      </c>
      <c r="S40" s="301">
        <f t="shared" si="14"/>
        <v>13297.740000000002</v>
      </c>
    </row>
    <row r="41" spans="1:19" x14ac:dyDescent="0.3">
      <c r="A41" s="233">
        <v>8</v>
      </c>
      <c r="B41" s="234" t="s">
        <v>67</v>
      </c>
      <c r="C41" s="238">
        <v>1.5</v>
      </c>
      <c r="D41" s="261">
        <v>916</v>
      </c>
      <c r="E41" s="261">
        <v>863</v>
      </c>
      <c r="F41" s="261">
        <v>984</v>
      </c>
      <c r="G41" s="262">
        <f t="shared" si="15"/>
        <v>921</v>
      </c>
      <c r="H41" s="279"/>
      <c r="I41" s="277">
        <v>0.17</v>
      </c>
      <c r="J41" s="280">
        <f t="shared" si="1"/>
        <v>1.67</v>
      </c>
      <c r="K41" s="270">
        <f t="shared" si="2"/>
        <v>551.49700598802394</v>
      </c>
      <c r="L41" s="263">
        <f t="shared" si="12"/>
        <v>0.1404923340666599</v>
      </c>
      <c r="M41" s="264">
        <v>0.17</v>
      </c>
      <c r="N41" s="237">
        <f t="shared" si="16"/>
        <v>0.31</v>
      </c>
      <c r="O41" s="236">
        <f t="shared" si="4"/>
        <v>24248.82</v>
      </c>
      <c r="P41" s="236"/>
      <c r="Q41" s="293">
        <f t="shared" si="5"/>
        <v>24248.82</v>
      </c>
      <c r="R41" s="300">
        <f t="shared" si="13"/>
        <v>0.17</v>
      </c>
      <c r="S41" s="301">
        <f t="shared" si="14"/>
        <v>13297.740000000002</v>
      </c>
    </row>
    <row r="42" spans="1:19" x14ac:dyDescent="0.3">
      <c r="A42" s="233">
        <v>9</v>
      </c>
      <c r="B42" s="234" t="s">
        <v>52</v>
      </c>
      <c r="C42" s="233">
        <v>58</v>
      </c>
      <c r="D42" s="261">
        <v>143115</v>
      </c>
      <c r="E42" s="261">
        <v>166130</v>
      </c>
      <c r="F42" s="261">
        <v>141118</v>
      </c>
      <c r="G42" s="262">
        <f t="shared" si="15"/>
        <v>150121</v>
      </c>
      <c r="H42" s="276"/>
      <c r="I42" s="277">
        <v>2</v>
      </c>
      <c r="J42" s="278">
        <f t="shared" si="1"/>
        <v>60</v>
      </c>
      <c r="K42" s="270">
        <f t="shared" si="2"/>
        <v>2502.0166666666669</v>
      </c>
      <c r="L42" s="263">
        <f t="shared" si="12"/>
        <v>7.4986095611426533</v>
      </c>
      <c r="M42" s="264">
        <v>2</v>
      </c>
      <c r="N42" s="237">
        <f t="shared" si="16"/>
        <v>9.5</v>
      </c>
      <c r="O42" s="236">
        <f t="shared" si="4"/>
        <v>743109</v>
      </c>
      <c r="P42" s="236"/>
      <c r="Q42" s="293">
        <f t="shared" si="5"/>
        <v>743109</v>
      </c>
      <c r="R42" s="302">
        <f t="shared" si="13"/>
        <v>2</v>
      </c>
      <c r="S42" s="301">
        <f t="shared" si="14"/>
        <v>156444</v>
      </c>
    </row>
    <row r="43" spans="1:19" x14ac:dyDescent="0.3">
      <c r="A43" s="233">
        <v>9</v>
      </c>
      <c r="B43" s="234" t="s">
        <v>53</v>
      </c>
      <c r="C43" s="233">
        <v>14</v>
      </c>
      <c r="D43" s="261">
        <v>27888</v>
      </c>
      <c r="E43" s="261">
        <v>31034</v>
      </c>
      <c r="F43" s="261">
        <v>31184</v>
      </c>
      <c r="G43" s="262">
        <f t="shared" si="15"/>
        <v>30035.333333333332</v>
      </c>
      <c r="H43" s="276">
        <v>1</v>
      </c>
      <c r="I43" s="277"/>
      <c r="J43" s="278">
        <f t="shared" si="1"/>
        <v>15</v>
      </c>
      <c r="K43" s="270">
        <f t="shared" si="2"/>
        <v>2002.3555555555554</v>
      </c>
      <c r="L43" s="263">
        <f t="shared" si="12"/>
        <v>3.0005560541888197</v>
      </c>
      <c r="M43" s="264">
        <v>1</v>
      </c>
      <c r="N43" s="237">
        <f t="shared" si="16"/>
        <v>4</v>
      </c>
      <c r="O43" s="236">
        <f t="shared" si="4"/>
        <v>312888</v>
      </c>
      <c r="P43" s="236"/>
      <c r="Q43" s="293">
        <f t="shared" si="5"/>
        <v>312888</v>
      </c>
      <c r="R43" s="302">
        <f t="shared" si="13"/>
        <v>1</v>
      </c>
      <c r="S43" s="301">
        <f t="shared" si="14"/>
        <v>78222</v>
      </c>
    </row>
    <row r="44" spans="1:19" x14ac:dyDescent="0.3">
      <c r="A44" s="233">
        <v>10</v>
      </c>
      <c r="B44" s="234" t="s">
        <v>28</v>
      </c>
      <c r="C44" s="238">
        <v>2.33</v>
      </c>
      <c r="D44" s="261">
        <v>2063</v>
      </c>
      <c r="E44" s="261">
        <v>2223</v>
      </c>
      <c r="F44" s="261">
        <v>2311</v>
      </c>
      <c r="G44" s="262">
        <f t="shared" si="15"/>
        <v>2199</v>
      </c>
      <c r="H44" s="279"/>
      <c r="I44" s="277"/>
      <c r="J44" s="280">
        <f t="shared" si="1"/>
        <v>2.33</v>
      </c>
      <c r="K44" s="270">
        <f t="shared" si="2"/>
        <v>943.77682403433471</v>
      </c>
      <c r="L44" s="263"/>
      <c r="M44" s="264"/>
      <c r="N44" s="237">
        <f t="shared" si="16"/>
        <v>0</v>
      </c>
      <c r="O44" s="236">
        <f t="shared" si="4"/>
        <v>0</v>
      </c>
      <c r="P44" s="236"/>
      <c r="Q44" s="293">
        <f t="shared" si="5"/>
        <v>0</v>
      </c>
      <c r="R44" s="300"/>
      <c r="S44" s="301"/>
    </row>
    <row r="45" spans="1:19" x14ac:dyDescent="0.3">
      <c r="A45" s="233">
        <v>10</v>
      </c>
      <c r="B45" s="234" t="s">
        <v>31</v>
      </c>
      <c r="C45" s="238">
        <v>5.33</v>
      </c>
      <c r="D45" s="261">
        <v>7483</v>
      </c>
      <c r="E45" s="261">
        <v>8200</v>
      </c>
      <c r="F45" s="261">
        <v>8473</v>
      </c>
      <c r="G45" s="262">
        <f t="shared" si="15"/>
        <v>8052</v>
      </c>
      <c r="H45" s="279"/>
      <c r="I45" s="277"/>
      <c r="J45" s="280">
        <f t="shared" si="1"/>
        <v>5.33</v>
      </c>
      <c r="K45" s="270">
        <f t="shared" si="2"/>
        <v>1510.6941838649157</v>
      </c>
      <c r="L45" s="263"/>
      <c r="M45" s="264"/>
      <c r="N45" s="237">
        <f t="shared" si="16"/>
        <v>0</v>
      </c>
      <c r="O45" s="236">
        <f t="shared" si="4"/>
        <v>0</v>
      </c>
      <c r="P45" s="236"/>
      <c r="Q45" s="293">
        <f t="shared" si="5"/>
        <v>0</v>
      </c>
      <c r="R45" s="300"/>
      <c r="S45" s="301"/>
    </row>
    <row r="46" spans="1:19" x14ac:dyDescent="0.3">
      <c r="A46" s="233">
        <v>10</v>
      </c>
      <c r="B46" s="234" t="s">
        <v>57</v>
      </c>
      <c r="C46" s="238">
        <v>32.340000000000003</v>
      </c>
      <c r="D46" s="261">
        <v>64621</v>
      </c>
      <c r="E46" s="261">
        <v>72071</v>
      </c>
      <c r="F46" s="261">
        <v>73033</v>
      </c>
      <c r="G46" s="262">
        <f t="shared" si="15"/>
        <v>69908.333333333328</v>
      </c>
      <c r="H46" s="279">
        <v>1</v>
      </c>
      <c r="I46" s="277">
        <v>2</v>
      </c>
      <c r="J46" s="280">
        <f t="shared" si="1"/>
        <v>35.340000000000003</v>
      </c>
      <c r="K46" s="270">
        <f t="shared" si="2"/>
        <v>1978.1644972646668</v>
      </c>
      <c r="L46" s="263">
        <f t="shared" si="12"/>
        <v>8.8929163084655709</v>
      </c>
      <c r="M46" s="264">
        <v>3</v>
      </c>
      <c r="N46" s="237">
        <f t="shared" si="16"/>
        <v>11.89</v>
      </c>
      <c r="O46" s="236">
        <f t="shared" si="4"/>
        <v>930059.58000000007</v>
      </c>
      <c r="P46" s="236"/>
      <c r="Q46" s="293">
        <f t="shared" si="5"/>
        <v>930059.58000000007</v>
      </c>
      <c r="R46" s="302">
        <f t="shared" si="13"/>
        <v>3</v>
      </c>
      <c r="S46" s="301">
        <f t="shared" si="14"/>
        <v>234666</v>
      </c>
    </row>
    <row r="47" spans="1:19" x14ac:dyDescent="0.3">
      <c r="A47" s="233">
        <v>11</v>
      </c>
      <c r="B47" s="234" t="s">
        <v>47</v>
      </c>
      <c r="C47" s="233">
        <v>123</v>
      </c>
      <c r="D47" s="261">
        <v>342376</v>
      </c>
      <c r="E47" s="261">
        <v>445128</v>
      </c>
      <c r="F47" s="261">
        <v>410015</v>
      </c>
      <c r="G47" s="262">
        <f t="shared" si="15"/>
        <v>399173</v>
      </c>
      <c r="H47" s="276">
        <v>4</v>
      </c>
      <c r="I47" s="277">
        <v>3</v>
      </c>
      <c r="J47" s="278">
        <f t="shared" si="1"/>
        <v>130</v>
      </c>
      <c r="K47" s="270">
        <f t="shared" si="2"/>
        <v>3070.5615384615385</v>
      </c>
      <c r="L47" s="263">
        <f t="shared" si="12"/>
        <v>32.208937078628324</v>
      </c>
      <c r="M47" s="264">
        <v>7</v>
      </c>
      <c r="N47" s="237">
        <f t="shared" si="16"/>
        <v>39.21</v>
      </c>
      <c r="O47" s="236">
        <f t="shared" si="4"/>
        <v>3067084.62</v>
      </c>
      <c r="P47" s="236">
        <f>1976*N47</f>
        <v>77478.960000000006</v>
      </c>
      <c r="Q47" s="293">
        <f t="shared" si="5"/>
        <v>3144563.58</v>
      </c>
      <c r="R47" s="302">
        <f t="shared" si="13"/>
        <v>7</v>
      </c>
      <c r="S47" s="301">
        <f t="shared" si="14"/>
        <v>547554</v>
      </c>
    </row>
    <row r="48" spans="1:19" x14ac:dyDescent="0.3">
      <c r="A48" s="233">
        <v>12</v>
      </c>
      <c r="B48" s="234" t="s">
        <v>17</v>
      </c>
      <c r="C48" s="233">
        <v>2.84</v>
      </c>
      <c r="D48" s="261">
        <v>2905</v>
      </c>
      <c r="E48" s="261">
        <v>3051</v>
      </c>
      <c r="F48" s="261">
        <v>2965</v>
      </c>
      <c r="G48" s="262">
        <f t="shared" si="15"/>
        <v>2973.6666666666665</v>
      </c>
      <c r="H48" s="276"/>
      <c r="I48" s="277"/>
      <c r="J48" s="278">
        <f t="shared" si="1"/>
        <v>2.84</v>
      </c>
      <c r="K48" s="270">
        <f t="shared" si="2"/>
        <v>1047.0657276995305</v>
      </c>
      <c r="L48" s="263"/>
      <c r="M48" s="264"/>
      <c r="N48" s="237">
        <f t="shared" si="16"/>
        <v>0</v>
      </c>
      <c r="O48" s="236">
        <f t="shared" si="4"/>
        <v>0</v>
      </c>
      <c r="P48" s="236"/>
      <c r="Q48" s="293">
        <f t="shared" si="5"/>
        <v>0</v>
      </c>
      <c r="R48" s="300"/>
      <c r="S48" s="301"/>
    </row>
    <row r="49" spans="1:19" x14ac:dyDescent="0.3">
      <c r="A49" s="233">
        <v>12</v>
      </c>
      <c r="B49" s="234" t="s">
        <v>44</v>
      </c>
      <c r="C49" s="233">
        <v>13.83</v>
      </c>
      <c r="D49" s="261">
        <v>26548</v>
      </c>
      <c r="E49" s="261">
        <v>28042</v>
      </c>
      <c r="F49" s="261">
        <v>28749</v>
      </c>
      <c r="G49" s="262">
        <f t="shared" si="15"/>
        <v>27779.666666666668</v>
      </c>
      <c r="H49" s="276">
        <v>1</v>
      </c>
      <c r="I49" s="277">
        <v>1</v>
      </c>
      <c r="J49" s="278">
        <f t="shared" si="1"/>
        <v>15.83</v>
      </c>
      <c r="K49" s="270">
        <f t="shared" si="2"/>
        <v>1754.8747104653612</v>
      </c>
      <c r="L49" s="263">
        <f t="shared" si="12"/>
        <v>5.2594055258769927</v>
      </c>
      <c r="M49" s="264">
        <v>2</v>
      </c>
      <c r="N49" s="237">
        <f t="shared" si="16"/>
        <v>7.26</v>
      </c>
      <c r="O49" s="236">
        <f t="shared" si="4"/>
        <v>567891.72</v>
      </c>
      <c r="P49" s="236"/>
      <c r="Q49" s="293">
        <f t="shared" si="5"/>
        <v>567891.72</v>
      </c>
      <c r="R49" s="302">
        <f t="shared" si="13"/>
        <v>2</v>
      </c>
      <c r="S49" s="301">
        <f t="shared" si="14"/>
        <v>156444</v>
      </c>
    </row>
    <row r="50" spans="1:19" x14ac:dyDescent="0.3">
      <c r="A50" s="233">
        <v>12</v>
      </c>
      <c r="B50" s="234" t="s">
        <v>62</v>
      </c>
      <c r="C50" s="238">
        <v>15.33</v>
      </c>
      <c r="D50" s="261">
        <v>29664</v>
      </c>
      <c r="E50" s="261">
        <v>34032</v>
      </c>
      <c r="F50" s="261">
        <v>31685</v>
      </c>
      <c r="G50" s="262">
        <f t="shared" si="15"/>
        <v>31793.666666666668</v>
      </c>
      <c r="H50" s="279"/>
      <c r="I50" s="277">
        <v>1</v>
      </c>
      <c r="J50" s="280">
        <f t="shared" si="1"/>
        <v>16.329999999999998</v>
      </c>
      <c r="K50" s="270">
        <f t="shared" si="2"/>
        <v>1946.948356807512</v>
      </c>
      <c r="L50" s="263">
        <f t="shared" si="12"/>
        <v>2.9175276403849799</v>
      </c>
      <c r="M50" s="264">
        <v>1</v>
      </c>
      <c r="N50" s="237">
        <f t="shared" si="16"/>
        <v>3.92</v>
      </c>
      <c r="O50" s="236">
        <f t="shared" si="4"/>
        <v>306630.24</v>
      </c>
      <c r="P50" s="236"/>
      <c r="Q50" s="293">
        <f t="shared" si="5"/>
        <v>306630.24</v>
      </c>
      <c r="R50" s="302">
        <f>H50+I50</f>
        <v>1</v>
      </c>
      <c r="S50" s="301">
        <f t="shared" si="14"/>
        <v>78222</v>
      </c>
    </row>
    <row r="51" spans="1:19" x14ac:dyDescent="0.3">
      <c r="A51" s="233">
        <v>13</v>
      </c>
      <c r="B51" s="234" t="s">
        <v>32</v>
      </c>
      <c r="C51" s="238">
        <v>70</v>
      </c>
      <c r="D51" s="261">
        <v>184495</v>
      </c>
      <c r="E51" s="261">
        <v>231943</v>
      </c>
      <c r="F51" s="261">
        <v>162172</v>
      </c>
      <c r="G51" s="262">
        <f t="shared" si="15"/>
        <v>192870</v>
      </c>
      <c r="H51" s="279"/>
      <c r="I51" s="281"/>
      <c r="J51" s="280">
        <f t="shared" si="1"/>
        <v>70</v>
      </c>
      <c r="K51" s="270">
        <f t="shared" si="2"/>
        <v>2755.2857142857142</v>
      </c>
      <c r="L51" s="263"/>
      <c r="M51" s="265"/>
      <c r="N51" s="237">
        <f t="shared" si="16"/>
        <v>0</v>
      </c>
      <c r="O51" s="236">
        <f t="shared" si="4"/>
        <v>0</v>
      </c>
      <c r="P51" s="236">
        <f>1976*N51</f>
        <v>0</v>
      </c>
      <c r="Q51" s="293">
        <f t="shared" si="5"/>
        <v>0</v>
      </c>
      <c r="R51" s="300"/>
      <c r="S51" s="301"/>
    </row>
    <row r="52" spans="1:19" x14ac:dyDescent="0.3">
      <c r="A52" s="233">
        <v>14</v>
      </c>
      <c r="B52" s="234" t="s">
        <v>7</v>
      </c>
      <c r="C52" s="233">
        <v>12.5</v>
      </c>
      <c r="D52" s="261">
        <v>22001</v>
      </c>
      <c r="E52" s="261">
        <v>23815</v>
      </c>
      <c r="F52" s="261">
        <v>24387</v>
      </c>
      <c r="G52" s="262">
        <f t="shared" si="15"/>
        <v>23401</v>
      </c>
      <c r="H52" s="276">
        <v>1</v>
      </c>
      <c r="I52" s="277">
        <v>1</v>
      </c>
      <c r="J52" s="278">
        <f t="shared" si="1"/>
        <v>14.5</v>
      </c>
      <c r="K52" s="270">
        <f t="shared" si="2"/>
        <v>1613.8620689655172</v>
      </c>
      <c r="L52" s="263">
        <f>((K52*$D$76)/$D$77)*M52</f>
        <v>4.8367869414846512</v>
      </c>
      <c r="M52" s="264">
        <v>2</v>
      </c>
      <c r="N52" s="237">
        <f t="shared" si="16"/>
        <v>6.84</v>
      </c>
      <c r="O52" s="236">
        <f t="shared" si="4"/>
        <v>535038.48</v>
      </c>
      <c r="P52" s="236"/>
      <c r="Q52" s="293">
        <f t="shared" si="5"/>
        <v>535038.48</v>
      </c>
      <c r="R52" s="302">
        <f>H52+I52</f>
        <v>2</v>
      </c>
      <c r="S52" s="301">
        <f>R52*$O$76</f>
        <v>156444</v>
      </c>
    </row>
    <row r="53" spans="1:19" x14ac:dyDescent="0.3">
      <c r="A53" s="233">
        <v>14</v>
      </c>
      <c r="B53" s="234" t="s">
        <v>11</v>
      </c>
      <c r="C53" s="233">
        <v>2</v>
      </c>
      <c r="D53" s="261">
        <v>1253</v>
      </c>
      <c r="E53" s="261">
        <v>1174</v>
      </c>
      <c r="F53" s="261">
        <v>1166</v>
      </c>
      <c r="G53" s="262">
        <f t="shared" si="15"/>
        <v>1197.6666666666667</v>
      </c>
      <c r="H53" s="276"/>
      <c r="I53" s="277"/>
      <c r="J53" s="278">
        <f t="shared" si="1"/>
        <v>2</v>
      </c>
      <c r="K53" s="270">
        <f t="shared" si="2"/>
        <v>598.83333333333337</v>
      </c>
      <c r="L53" s="263"/>
      <c r="M53" s="264"/>
      <c r="N53" s="237">
        <f t="shared" si="16"/>
        <v>0</v>
      </c>
      <c r="O53" s="236">
        <f t="shared" si="4"/>
        <v>0</v>
      </c>
      <c r="P53" s="236"/>
      <c r="Q53" s="293">
        <f t="shared" si="5"/>
        <v>0</v>
      </c>
      <c r="R53" s="300"/>
      <c r="S53" s="301"/>
    </row>
    <row r="54" spans="1:19" x14ac:dyDescent="0.3">
      <c r="A54" s="233">
        <v>14</v>
      </c>
      <c r="B54" s="234" t="s">
        <v>26</v>
      </c>
      <c r="C54" s="233">
        <v>1.5</v>
      </c>
      <c r="D54" s="261">
        <v>1523</v>
      </c>
      <c r="E54" s="261">
        <v>1559</v>
      </c>
      <c r="F54" s="261">
        <v>1462</v>
      </c>
      <c r="G54" s="262">
        <f t="shared" si="15"/>
        <v>1514.6666666666667</v>
      </c>
      <c r="H54" s="276"/>
      <c r="I54" s="277"/>
      <c r="J54" s="278">
        <f t="shared" si="1"/>
        <v>1.5</v>
      </c>
      <c r="K54" s="270">
        <f t="shared" si="2"/>
        <v>1009.7777777777778</v>
      </c>
      <c r="L54" s="263"/>
      <c r="M54" s="264"/>
      <c r="N54" s="237">
        <f t="shared" si="16"/>
        <v>0</v>
      </c>
      <c r="O54" s="236">
        <f t="shared" si="4"/>
        <v>0</v>
      </c>
      <c r="P54" s="236"/>
      <c r="Q54" s="293">
        <f t="shared" si="5"/>
        <v>0</v>
      </c>
      <c r="R54" s="300"/>
      <c r="S54" s="301"/>
    </row>
    <row r="55" spans="1:19" x14ac:dyDescent="0.3">
      <c r="A55" s="233">
        <v>14</v>
      </c>
      <c r="B55" s="234" t="s">
        <v>33</v>
      </c>
      <c r="C55" s="233">
        <v>2</v>
      </c>
      <c r="D55" s="261">
        <v>1938</v>
      </c>
      <c r="E55" s="261">
        <v>1863</v>
      </c>
      <c r="F55" s="261">
        <v>1830</v>
      </c>
      <c r="G55" s="262">
        <f t="shared" si="15"/>
        <v>1877</v>
      </c>
      <c r="H55" s="276"/>
      <c r="I55" s="277"/>
      <c r="J55" s="278">
        <f t="shared" si="1"/>
        <v>2</v>
      </c>
      <c r="K55" s="270">
        <f t="shared" si="2"/>
        <v>938.5</v>
      </c>
      <c r="L55" s="263"/>
      <c r="M55" s="264"/>
      <c r="N55" s="237">
        <f t="shared" si="16"/>
        <v>0</v>
      </c>
      <c r="O55" s="236">
        <f t="shared" si="4"/>
        <v>0</v>
      </c>
      <c r="P55" s="236"/>
      <c r="Q55" s="293">
        <f t="shared" si="5"/>
        <v>0</v>
      </c>
      <c r="R55" s="300"/>
      <c r="S55" s="301"/>
    </row>
    <row r="56" spans="1:19" x14ac:dyDescent="0.3">
      <c r="A56" s="233">
        <v>14</v>
      </c>
      <c r="B56" s="234" t="s">
        <v>35</v>
      </c>
      <c r="C56" s="233">
        <v>2.5</v>
      </c>
      <c r="D56" s="261">
        <v>3282</v>
      </c>
      <c r="E56" s="261">
        <v>3740</v>
      </c>
      <c r="F56" s="261">
        <v>3415</v>
      </c>
      <c r="G56" s="262">
        <f t="shared" si="15"/>
        <v>3479</v>
      </c>
      <c r="H56" s="276"/>
      <c r="I56" s="277"/>
      <c r="J56" s="278">
        <f t="shared" si="1"/>
        <v>2.5</v>
      </c>
      <c r="K56" s="270">
        <f t="shared" si="2"/>
        <v>1391.6</v>
      </c>
      <c r="L56" s="263"/>
      <c r="M56" s="264"/>
      <c r="N56" s="237">
        <f t="shared" si="16"/>
        <v>0</v>
      </c>
      <c r="O56" s="236">
        <f t="shared" si="4"/>
        <v>0</v>
      </c>
      <c r="P56" s="236"/>
      <c r="Q56" s="293">
        <f t="shared" si="5"/>
        <v>0</v>
      </c>
      <c r="R56" s="300"/>
      <c r="S56" s="301"/>
    </row>
    <row r="57" spans="1:19" x14ac:dyDescent="0.3">
      <c r="A57" s="233">
        <v>14</v>
      </c>
      <c r="B57" s="234" t="s">
        <v>71</v>
      </c>
      <c r="C57" s="233">
        <v>1.5</v>
      </c>
      <c r="D57" s="261">
        <v>2193</v>
      </c>
      <c r="E57" s="261">
        <v>2153</v>
      </c>
      <c r="F57" s="261">
        <v>2216</v>
      </c>
      <c r="G57" s="262">
        <f t="shared" si="15"/>
        <v>2187.3333333333335</v>
      </c>
      <c r="H57" s="276"/>
      <c r="I57" s="277"/>
      <c r="J57" s="278">
        <f t="shared" si="1"/>
        <v>1.5</v>
      </c>
      <c r="K57" s="270">
        <f t="shared" si="2"/>
        <v>1458.2222222222224</v>
      </c>
      <c r="L57" s="263"/>
      <c r="M57" s="264"/>
      <c r="N57" s="237">
        <f t="shared" si="16"/>
        <v>0</v>
      </c>
      <c r="O57" s="236">
        <f t="shared" si="4"/>
        <v>0</v>
      </c>
      <c r="P57" s="236"/>
      <c r="Q57" s="293">
        <f t="shared" si="5"/>
        <v>0</v>
      </c>
      <c r="R57" s="300"/>
      <c r="S57" s="301"/>
    </row>
    <row r="58" spans="1:19" x14ac:dyDescent="0.3">
      <c r="A58" s="233">
        <v>15</v>
      </c>
      <c r="B58" s="234" t="s">
        <v>54</v>
      </c>
      <c r="C58" s="238">
        <v>54</v>
      </c>
      <c r="D58" s="261">
        <v>118549</v>
      </c>
      <c r="E58" s="261">
        <v>121931</v>
      </c>
      <c r="F58" s="261">
        <v>120921</v>
      </c>
      <c r="G58" s="262">
        <f t="shared" si="15"/>
        <v>120467</v>
      </c>
      <c r="H58" s="279">
        <v>1</v>
      </c>
      <c r="I58" s="281">
        <v>2</v>
      </c>
      <c r="J58" s="280">
        <f t="shared" si="1"/>
        <v>57</v>
      </c>
      <c r="K58" s="270">
        <f t="shared" si="2"/>
        <v>2113.4561403508774</v>
      </c>
      <c r="L58" s="263">
        <f>((K58*$D$76)/$D$77)*M58</f>
        <v>9.5011252116503755</v>
      </c>
      <c r="M58" s="265">
        <v>3</v>
      </c>
      <c r="N58" s="237">
        <f t="shared" si="16"/>
        <v>12.5</v>
      </c>
      <c r="O58" s="236">
        <f t="shared" si="4"/>
        <v>977775</v>
      </c>
      <c r="P58" s="236">
        <f>1976*N58</f>
        <v>24700</v>
      </c>
      <c r="Q58" s="293">
        <f t="shared" si="5"/>
        <v>1002475</v>
      </c>
      <c r="R58" s="302">
        <f>H58+I58</f>
        <v>3</v>
      </c>
      <c r="S58" s="301">
        <f>R58*$O$76</f>
        <v>234666</v>
      </c>
    </row>
    <row r="59" spans="1:19" x14ac:dyDescent="0.3">
      <c r="A59" s="233">
        <v>16</v>
      </c>
      <c r="B59" s="234" t="s">
        <v>48</v>
      </c>
      <c r="C59" s="233">
        <v>8</v>
      </c>
      <c r="D59" s="261">
        <v>9306</v>
      </c>
      <c r="E59" s="261">
        <v>9607</v>
      </c>
      <c r="F59" s="261">
        <v>8624</v>
      </c>
      <c r="G59" s="262">
        <f t="shared" si="15"/>
        <v>9179</v>
      </c>
      <c r="H59" s="276"/>
      <c r="I59" s="277"/>
      <c r="J59" s="278">
        <f t="shared" si="1"/>
        <v>8</v>
      </c>
      <c r="K59" s="270">
        <f t="shared" si="2"/>
        <v>1147.375</v>
      </c>
      <c r="L59" s="263"/>
      <c r="M59" s="264"/>
      <c r="N59" s="237">
        <f t="shared" si="16"/>
        <v>0</v>
      </c>
      <c r="O59" s="236">
        <f t="shared" si="4"/>
        <v>0</v>
      </c>
      <c r="P59" s="236">
        <v>0</v>
      </c>
      <c r="Q59" s="293">
        <f t="shared" si="5"/>
        <v>0</v>
      </c>
      <c r="R59" s="300"/>
      <c r="S59" s="301"/>
    </row>
    <row r="60" spans="1:19" x14ac:dyDescent="0.3">
      <c r="A60" s="233">
        <v>17</v>
      </c>
      <c r="B60" s="234" t="s">
        <v>10</v>
      </c>
      <c r="C60" s="233">
        <v>90</v>
      </c>
      <c r="D60" s="261">
        <v>178736</v>
      </c>
      <c r="E60" s="261">
        <v>205662</v>
      </c>
      <c r="F60" s="261">
        <v>163799</v>
      </c>
      <c r="G60" s="262">
        <f t="shared" si="15"/>
        <v>182732.33333333334</v>
      </c>
      <c r="H60" s="276"/>
      <c r="I60" s="277"/>
      <c r="J60" s="278">
        <f t="shared" si="1"/>
        <v>90</v>
      </c>
      <c r="K60" s="270">
        <f t="shared" si="2"/>
        <v>2030.3592592592593</v>
      </c>
      <c r="L60" s="263"/>
      <c r="M60" s="264"/>
      <c r="N60" s="237">
        <f t="shared" si="16"/>
        <v>0</v>
      </c>
      <c r="O60" s="236">
        <f t="shared" si="4"/>
        <v>0</v>
      </c>
      <c r="P60" s="236">
        <v>0</v>
      </c>
      <c r="Q60" s="293">
        <f t="shared" si="5"/>
        <v>0</v>
      </c>
      <c r="R60" s="300"/>
      <c r="S60" s="301"/>
    </row>
    <row r="61" spans="1:19" x14ac:dyDescent="0.3">
      <c r="A61" s="233">
        <v>18</v>
      </c>
      <c r="B61" s="234" t="s">
        <v>9</v>
      </c>
      <c r="C61" s="233">
        <v>27</v>
      </c>
      <c r="D61" s="261">
        <v>44906</v>
      </c>
      <c r="E61" s="261">
        <v>46621</v>
      </c>
      <c r="F61" s="261">
        <v>45047</v>
      </c>
      <c r="G61" s="262">
        <f t="shared" si="15"/>
        <v>45524.666666666664</v>
      </c>
      <c r="H61" s="276"/>
      <c r="I61" s="277"/>
      <c r="J61" s="278">
        <f t="shared" si="1"/>
        <v>27</v>
      </c>
      <c r="K61" s="270">
        <f t="shared" si="2"/>
        <v>1686.0987654320986</v>
      </c>
      <c r="L61" s="263"/>
      <c r="M61" s="264"/>
      <c r="N61" s="237">
        <f t="shared" si="16"/>
        <v>0</v>
      </c>
      <c r="O61" s="236">
        <f t="shared" si="4"/>
        <v>0</v>
      </c>
      <c r="P61" s="236"/>
      <c r="Q61" s="293">
        <f t="shared" si="5"/>
        <v>0</v>
      </c>
      <c r="R61" s="300"/>
      <c r="S61" s="301"/>
    </row>
    <row r="62" spans="1:19" x14ac:dyDescent="0.3">
      <c r="A62" s="233">
        <v>18</v>
      </c>
      <c r="B62" s="234" t="s">
        <v>63</v>
      </c>
      <c r="C62" s="233">
        <v>16</v>
      </c>
      <c r="D62" s="261">
        <v>30396</v>
      </c>
      <c r="E62" s="261">
        <v>33690</v>
      </c>
      <c r="F62" s="261">
        <v>35735</v>
      </c>
      <c r="G62" s="262">
        <f t="shared" si="15"/>
        <v>33273.666666666664</v>
      </c>
      <c r="H62" s="276"/>
      <c r="I62" s="277"/>
      <c r="J62" s="278">
        <f t="shared" si="1"/>
        <v>16</v>
      </c>
      <c r="K62" s="270">
        <f t="shared" si="2"/>
        <v>2079.6041666666665</v>
      </c>
      <c r="L62" s="263"/>
      <c r="M62" s="264"/>
      <c r="N62" s="237">
        <f t="shared" si="16"/>
        <v>0</v>
      </c>
      <c r="O62" s="236">
        <f t="shared" si="4"/>
        <v>0</v>
      </c>
      <c r="P62" s="236"/>
      <c r="Q62" s="293">
        <f t="shared" si="5"/>
        <v>0</v>
      </c>
      <c r="R62" s="300"/>
      <c r="S62" s="301"/>
    </row>
    <row r="63" spans="1:19" x14ac:dyDescent="0.3">
      <c r="A63" s="233">
        <v>19</v>
      </c>
      <c r="B63" s="234" t="s">
        <v>34</v>
      </c>
      <c r="C63" s="233">
        <v>6</v>
      </c>
      <c r="D63" s="261">
        <v>9976</v>
      </c>
      <c r="E63" s="261">
        <v>10434</v>
      </c>
      <c r="F63" s="261">
        <v>10211</v>
      </c>
      <c r="G63" s="262">
        <f t="shared" si="15"/>
        <v>10207</v>
      </c>
      <c r="H63" s="276"/>
      <c r="I63" s="277"/>
      <c r="J63" s="278">
        <f t="shared" si="1"/>
        <v>6</v>
      </c>
      <c r="K63" s="270">
        <f t="shared" si="2"/>
        <v>1701.1666666666667</v>
      </c>
      <c r="L63" s="263"/>
      <c r="M63" s="264"/>
      <c r="N63" s="237">
        <f t="shared" si="16"/>
        <v>0</v>
      </c>
      <c r="O63" s="236">
        <f t="shared" si="4"/>
        <v>0</v>
      </c>
      <c r="P63" s="236"/>
      <c r="Q63" s="293">
        <f t="shared" si="5"/>
        <v>0</v>
      </c>
      <c r="R63" s="300"/>
      <c r="S63" s="301"/>
    </row>
    <row r="64" spans="1:19" x14ac:dyDescent="0.3">
      <c r="A64" s="233">
        <v>19</v>
      </c>
      <c r="B64" s="234" t="s">
        <v>46</v>
      </c>
      <c r="C64" s="233">
        <v>8</v>
      </c>
      <c r="D64" s="261">
        <v>9693</v>
      </c>
      <c r="E64" s="261">
        <v>10439</v>
      </c>
      <c r="F64" s="261">
        <v>11186</v>
      </c>
      <c r="G64" s="262">
        <f t="shared" si="15"/>
        <v>10439.333333333334</v>
      </c>
      <c r="H64" s="276"/>
      <c r="I64" s="277"/>
      <c r="J64" s="278">
        <f t="shared" si="1"/>
        <v>8</v>
      </c>
      <c r="K64" s="270">
        <f t="shared" si="2"/>
        <v>1304.9166666666667</v>
      </c>
      <c r="L64" s="263"/>
      <c r="M64" s="264"/>
      <c r="N64" s="237">
        <f t="shared" si="16"/>
        <v>0</v>
      </c>
      <c r="O64" s="236">
        <f t="shared" si="4"/>
        <v>0</v>
      </c>
      <c r="P64" s="236"/>
      <c r="Q64" s="293">
        <f t="shared" si="5"/>
        <v>0</v>
      </c>
      <c r="R64" s="300"/>
      <c r="S64" s="301"/>
    </row>
    <row r="65" spans="1:19" x14ac:dyDescent="0.3">
      <c r="A65" s="233">
        <v>19</v>
      </c>
      <c r="B65" s="234" t="s">
        <v>51</v>
      </c>
      <c r="C65" s="233">
        <v>3</v>
      </c>
      <c r="D65" s="261">
        <v>4150</v>
      </c>
      <c r="E65" s="261">
        <v>4329</v>
      </c>
      <c r="F65" s="261">
        <v>4132</v>
      </c>
      <c r="G65" s="262">
        <f t="shared" si="15"/>
        <v>4203.666666666667</v>
      </c>
      <c r="H65" s="276"/>
      <c r="I65" s="277"/>
      <c r="J65" s="278">
        <f t="shared" si="1"/>
        <v>3</v>
      </c>
      <c r="K65" s="270">
        <f t="shared" si="2"/>
        <v>1401.2222222222224</v>
      </c>
      <c r="L65" s="263"/>
      <c r="M65" s="264"/>
      <c r="N65" s="237">
        <f t="shared" si="16"/>
        <v>0</v>
      </c>
      <c r="O65" s="236">
        <f t="shared" si="4"/>
        <v>0</v>
      </c>
      <c r="P65" s="236"/>
      <c r="Q65" s="293">
        <f t="shared" si="5"/>
        <v>0</v>
      </c>
      <c r="R65" s="300"/>
      <c r="S65" s="301"/>
    </row>
    <row r="66" spans="1:19" x14ac:dyDescent="0.3">
      <c r="A66" s="233">
        <v>19</v>
      </c>
      <c r="B66" s="234" t="s">
        <v>206</v>
      </c>
      <c r="C66" s="233">
        <v>12</v>
      </c>
      <c r="D66" s="261">
        <v>24575</v>
      </c>
      <c r="E66" s="261">
        <v>26434</v>
      </c>
      <c r="F66" s="261">
        <v>27014</v>
      </c>
      <c r="G66" s="262">
        <f t="shared" si="15"/>
        <v>26007.666666666668</v>
      </c>
      <c r="H66" s="276"/>
      <c r="I66" s="277">
        <v>1</v>
      </c>
      <c r="J66" s="278">
        <f t="shared" si="1"/>
        <v>13</v>
      </c>
      <c r="K66" s="270">
        <f t="shared" si="2"/>
        <v>2000.5897435897436</v>
      </c>
      <c r="L66" s="263">
        <f>((K66*$D$76)/$D$77)*M66</f>
        <v>2.9979099618053393</v>
      </c>
      <c r="M66" s="264">
        <v>1</v>
      </c>
      <c r="N66" s="237">
        <f t="shared" si="16"/>
        <v>4</v>
      </c>
      <c r="O66" s="236">
        <f t="shared" si="4"/>
        <v>312888</v>
      </c>
      <c r="P66" s="236"/>
      <c r="Q66" s="293">
        <f t="shared" si="5"/>
        <v>312888</v>
      </c>
      <c r="R66" s="302">
        <f>H66+I66</f>
        <v>1</v>
      </c>
      <c r="S66" s="301">
        <f>R66*$O$76</f>
        <v>78222</v>
      </c>
    </row>
    <row r="67" spans="1:19" x14ac:dyDescent="0.3">
      <c r="A67" s="233">
        <v>20</v>
      </c>
      <c r="B67" s="234" t="s">
        <v>12</v>
      </c>
      <c r="C67" s="233">
        <v>8</v>
      </c>
      <c r="D67" s="261">
        <v>14738</v>
      </c>
      <c r="E67" s="261">
        <v>17666</v>
      </c>
      <c r="F67" s="261">
        <v>17514</v>
      </c>
      <c r="G67" s="262">
        <f t="shared" si="15"/>
        <v>16639.333333333332</v>
      </c>
      <c r="H67" s="276"/>
      <c r="I67" s="277"/>
      <c r="J67" s="278">
        <f t="shared" si="1"/>
        <v>8</v>
      </c>
      <c r="K67" s="270">
        <f t="shared" si="2"/>
        <v>2079.9166666666665</v>
      </c>
      <c r="L67" s="263"/>
      <c r="M67" s="266"/>
      <c r="N67" s="237">
        <f t="shared" si="16"/>
        <v>0</v>
      </c>
      <c r="O67" s="236">
        <f t="shared" si="4"/>
        <v>0</v>
      </c>
      <c r="P67" s="236"/>
      <c r="Q67" s="293">
        <f t="shared" si="5"/>
        <v>0</v>
      </c>
      <c r="R67" s="300"/>
      <c r="S67" s="301"/>
    </row>
    <row r="68" spans="1:19" x14ac:dyDescent="0.3">
      <c r="A68" s="233">
        <v>20</v>
      </c>
      <c r="B68" s="234" t="s">
        <v>15</v>
      </c>
      <c r="C68" s="233">
        <v>14</v>
      </c>
      <c r="D68" s="261">
        <v>25100</v>
      </c>
      <c r="E68" s="261">
        <v>25448</v>
      </c>
      <c r="F68" s="261">
        <v>24309</v>
      </c>
      <c r="G68" s="262">
        <f t="shared" si="15"/>
        <v>24952.333333333332</v>
      </c>
      <c r="H68" s="276"/>
      <c r="I68" s="277"/>
      <c r="J68" s="278">
        <f t="shared" si="1"/>
        <v>14</v>
      </c>
      <c r="K68" s="270">
        <f t="shared" si="2"/>
        <v>1782.3095238095236</v>
      </c>
      <c r="L68" s="263"/>
      <c r="M68" s="266"/>
      <c r="N68" s="237">
        <f t="shared" si="16"/>
        <v>0</v>
      </c>
      <c r="O68" s="236">
        <f t="shared" si="4"/>
        <v>0</v>
      </c>
      <c r="P68" s="236"/>
      <c r="Q68" s="293">
        <f t="shared" si="5"/>
        <v>0</v>
      </c>
      <c r="R68" s="300"/>
      <c r="S68" s="301"/>
    </row>
    <row r="69" spans="1:19" x14ac:dyDescent="0.3">
      <c r="A69" s="233">
        <v>20</v>
      </c>
      <c r="B69" s="234" t="s">
        <v>25</v>
      </c>
      <c r="C69" s="233">
        <v>1.5</v>
      </c>
      <c r="D69" s="261">
        <v>1085</v>
      </c>
      <c r="E69" s="261">
        <v>928</v>
      </c>
      <c r="F69" s="261">
        <v>1367</v>
      </c>
      <c r="G69" s="262">
        <f>SUM(D69:F69)/3</f>
        <v>1126.6666666666667</v>
      </c>
      <c r="H69" s="276"/>
      <c r="I69" s="277"/>
      <c r="J69" s="278">
        <f>C69+H69+I69</f>
        <v>1.5</v>
      </c>
      <c r="K69" s="270">
        <f>G69/J69</f>
        <v>751.1111111111112</v>
      </c>
      <c r="L69" s="263"/>
      <c r="M69" s="266"/>
      <c r="N69" s="237">
        <f t="shared" si="16"/>
        <v>0</v>
      </c>
      <c r="O69" s="236">
        <f>N69*$O$76</f>
        <v>0</v>
      </c>
      <c r="P69" s="236"/>
      <c r="Q69" s="293">
        <f>P69+O69</f>
        <v>0</v>
      </c>
      <c r="R69" s="300"/>
      <c r="S69" s="301"/>
    </row>
    <row r="70" spans="1:19" x14ac:dyDescent="0.3">
      <c r="A70" s="233">
        <v>20</v>
      </c>
      <c r="B70" s="234" t="s">
        <v>29</v>
      </c>
      <c r="C70" s="233">
        <v>1.5</v>
      </c>
      <c r="D70" s="261">
        <v>3639</v>
      </c>
      <c r="E70" s="261">
        <v>3637</v>
      </c>
      <c r="F70" s="261">
        <v>3967</v>
      </c>
      <c r="G70" s="262">
        <f>SUM(D70:F70)/3</f>
        <v>3747.6666666666665</v>
      </c>
      <c r="H70" s="276"/>
      <c r="I70" s="277"/>
      <c r="J70" s="278">
        <f>C70+H70+I70</f>
        <v>1.5</v>
      </c>
      <c r="K70" s="270">
        <f>G70/J70</f>
        <v>2498.4444444444443</v>
      </c>
      <c r="L70" s="263"/>
      <c r="M70" s="266"/>
      <c r="N70" s="237">
        <f t="shared" si="16"/>
        <v>0</v>
      </c>
      <c r="O70" s="236">
        <f>N70*$O$76</f>
        <v>0</v>
      </c>
      <c r="P70" s="236"/>
      <c r="Q70" s="293">
        <f>P70+O70</f>
        <v>0</v>
      </c>
      <c r="R70" s="300"/>
      <c r="S70" s="301"/>
    </row>
    <row r="71" spans="1:19" ht="16.5" thickBot="1" x14ac:dyDescent="0.35">
      <c r="A71" s="233">
        <v>20</v>
      </c>
      <c r="B71" s="234" t="s">
        <v>39</v>
      </c>
      <c r="C71" s="233">
        <v>27</v>
      </c>
      <c r="D71" s="261">
        <v>60511</v>
      </c>
      <c r="E71" s="261">
        <v>71922</v>
      </c>
      <c r="F71" s="261">
        <v>74419</v>
      </c>
      <c r="G71" s="262">
        <f>SUM(D71:F71)/3</f>
        <v>68950.666666666672</v>
      </c>
      <c r="H71" s="282"/>
      <c r="I71" s="283"/>
      <c r="J71" s="284">
        <f>C71+H71+I71</f>
        <v>27</v>
      </c>
      <c r="K71" s="271">
        <f>G71/J71</f>
        <v>2553.7283950617284</v>
      </c>
      <c r="L71" s="267"/>
      <c r="M71" s="342"/>
      <c r="N71" s="239">
        <f t="shared" si="16"/>
        <v>0</v>
      </c>
      <c r="O71" s="240">
        <f>N71*$O$76</f>
        <v>0</v>
      </c>
      <c r="P71" s="240"/>
      <c r="Q71" s="294">
        <f>P71+O71</f>
        <v>0</v>
      </c>
      <c r="R71" s="303"/>
      <c r="S71" s="304"/>
    </row>
    <row r="72" spans="1:19" ht="16.5" thickBot="1" x14ac:dyDescent="0.35">
      <c r="C72" s="226"/>
      <c r="D72" s="241"/>
      <c r="E72" s="241"/>
      <c r="F72" s="241"/>
      <c r="G72" s="242"/>
      <c r="H72" s="226"/>
      <c r="I72" s="226"/>
      <c r="J72" s="243"/>
      <c r="L72" s="102"/>
      <c r="M72" s="244"/>
      <c r="N72" s="105"/>
      <c r="O72" s="245"/>
      <c r="R72" s="103"/>
      <c r="S72" s="295"/>
    </row>
    <row r="73" spans="1:19" ht="16.5" thickBot="1" x14ac:dyDescent="0.35">
      <c r="C73" s="291">
        <f t="shared" ref="C73:I73" si="17">SUM(C5:C71)</f>
        <v>950.00000000000011</v>
      </c>
      <c r="D73" s="288">
        <f t="shared" si="17"/>
        <v>1995929</v>
      </c>
      <c r="E73" s="289">
        <f t="shared" si="17"/>
        <v>2282008</v>
      </c>
      <c r="F73" s="289">
        <f t="shared" si="17"/>
        <v>2080952</v>
      </c>
      <c r="G73" s="290">
        <f t="shared" si="17"/>
        <v>2119629.666666667</v>
      </c>
      <c r="H73" s="285">
        <f t="shared" si="17"/>
        <v>15</v>
      </c>
      <c r="I73" s="286">
        <f t="shared" si="17"/>
        <v>22.02</v>
      </c>
      <c r="J73" s="287">
        <f>C73+H73+I73</f>
        <v>987.0200000000001</v>
      </c>
      <c r="K73" s="117"/>
      <c r="L73" s="305">
        <f t="shared" ref="L73:Q73" si="18">SUM(L5:L71)</f>
        <v>117.3702552821959</v>
      </c>
      <c r="M73" s="306">
        <f t="shared" si="18"/>
        <v>37.019999999999996</v>
      </c>
      <c r="N73" s="307">
        <f t="shared" si="18"/>
        <v>154.4037689218863</v>
      </c>
      <c r="O73" s="308">
        <f t="shared" si="18"/>
        <v>12077771.612607792</v>
      </c>
      <c r="P73" s="308">
        <f t="shared" si="18"/>
        <v>102178.96</v>
      </c>
      <c r="Q73" s="309">
        <f t="shared" si="18"/>
        <v>12179950.572607791</v>
      </c>
      <c r="R73" s="298">
        <f>SUM(R5:R72)</f>
        <v>37.019999999999996</v>
      </c>
      <c r="S73" s="299">
        <f>SUM(S5:S71)</f>
        <v>2895778.44</v>
      </c>
    </row>
    <row r="74" spans="1:19" s="117" customFormat="1" outlineLevel="1" x14ac:dyDescent="0.3">
      <c r="A74" s="246"/>
      <c r="C74" s="247">
        <f>C73-950</f>
        <v>0</v>
      </c>
      <c r="D74" s="248"/>
      <c r="E74" s="249"/>
    </row>
    <row r="75" spans="1:19" x14ac:dyDescent="0.3">
      <c r="D75" s="250"/>
      <c r="M75" s="100" t="s">
        <v>233</v>
      </c>
      <c r="N75" s="252">
        <f>N73/M73</f>
        <v>4.1708203382465241</v>
      </c>
      <c r="Q75" s="251">
        <v>26</v>
      </c>
      <c r="S75" s="251">
        <v>26</v>
      </c>
    </row>
    <row r="76" spans="1:19" x14ac:dyDescent="0.3">
      <c r="B76" s="253" t="s">
        <v>234</v>
      </c>
      <c r="C76" s="254"/>
      <c r="D76" s="255">
        <v>2.566203703703704</v>
      </c>
      <c r="O76" s="256">
        <v>78222</v>
      </c>
      <c r="P76" s="212"/>
    </row>
    <row r="77" spans="1:19" x14ac:dyDescent="0.3">
      <c r="B77" s="253" t="s">
        <v>235</v>
      </c>
      <c r="C77" s="254"/>
      <c r="D77" s="257">
        <v>1712.5</v>
      </c>
      <c r="P77" s="212"/>
    </row>
  </sheetData>
  <autoFilter ref="A4:S4" xr:uid="{09831930-B151-4E67-8C5F-396D0F19AF09}">
    <sortState xmlns:xlrd2="http://schemas.microsoft.com/office/spreadsheetml/2017/richdata2" ref="A5:S71">
      <sortCondition ref="A4"/>
    </sortState>
  </autoFilter>
  <mergeCells count="5">
    <mergeCell ref="A1:S1"/>
    <mergeCell ref="D3:G3"/>
    <mergeCell ref="H3:J3"/>
    <mergeCell ref="K3:Q3"/>
    <mergeCell ref="R3:S3"/>
  </mergeCells>
  <printOptions horizontalCentered="1"/>
  <pageMargins left="0.45" right="0.45" top="0.75" bottom="0.5" header="0.3" footer="0.3"/>
  <pageSetup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84D81-7BFF-4DE3-BCD1-C3FAC93A5D3F}">
  <sheetPr>
    <pageSetUpPr fitToPage="1"/>
  </sheetPr>
  <dimension ref="A1:I75"/>
  <sheetViews>
    <sheetView zoomScale="120" zoomScaleNormal="120" zoomScalePageLayoutView="55" workbookViewId="0">
      <pane xSplit="2" ySplit="2" topLeftCell="C48" activePane="bottomRight" state="frozen"/>
      <selection activeCell="G64" sqref="G64"/>
      <selection pane="topRight" activeCell="G64" sqref="G64"/>
      <selection pane="bottomLeft" activeCell="G64" sqref="G64"/>
      <selection pane="bottomRight" activeCell="F2" sqref="F2"/>
    </sheetView>
  </sheetViews>
  <sheetFormatPr defaultColWidth="2.28515625" defaultRowHeight="13.5" x14ac:dyDescent="0.25"/>
  <cols>
    <col min="1" max="1" width="13.7109375" style="21" customWidth="1"/>
    <col min="2" max="2" width="6.28515625" style="21" customWidth="1"/>
    <col min="3" max="3" width="16.85546875" style="21" customWidth="1"/>
    <col min="4" max="4" width="15" style="364" customWidth="1"/>
    <col min="5" max="5" width="12" style="364" customWidth="1"/>
    <col min="6" max="6" width="17" style="21" customWidth="1"/>
    <col min="7" max="7" width="10.42578125" style="69" customWidth="1"/>
    <col min="8" max="8" width="16.5703125" style="365" customWidth="1"/>
    <col min="9" max="9" width="10.28515625" style="364" customWidth="1"/>
    <col min="10" max="16384" width="2.28515625" style="21"/>
  </cols>
  <sheetData>
    <row r="1" spans="1:9" s="354" customFormat="1" ht="14.25" hidden="1" thickBot="1" x14ac:dyDescent="0.3">
      <c r="A1" s="353" t="s">
        <v>252</v>
      </c>
      <c r="B1" s="353"/>
      <c r="C1" s="353"/>
      <c r="F1" s="355">
        <f>C71</f>
        <v>519800677</v>
      </c>
      <c r="G1" s="356"/>
      <c r="H1" s="357"/>
      <c r="I1" s="358"/>
    </row>
    <row r="2" spans="1:9" s="12" customFormat="1" ht="51.75" thickBot="1" x14ac:dyDescent="0.3">
      <c r="A2" s="9" t="s">
        <v>2</v>
      </c>
      <c r="B2" s="10" t="s">
        <v>3</v>
      </c>
      <c r="C2" s="31" t="s">
        <v>192</v>
      </c>
      <c r="D2" s="11" t="s">
        <v>4</v>
      </c>
      <c r="E2" s="10" t="s">
        <v>251</v>
      </c>
      <c r="F2" s="398" t="s">
        <v>263</v>
      </c>
      <c r="G2" s="417" t="s">
        <v>253</v>
      </c>
      <c r="H2" s="399" t="s">
        <v>254</v>
      </c>
      <c r="I2" s="418" t="s">
        <v>255</v>
      </c>
    </row>
    <row r="3" spans="1:9" s="16" customFormat="1" x14ac:dyDescent="0.25">
      <c r="A3" s="18" t="s">
        <v>7</v>
      </c>
      <c r="B3" s="19">
        <v>5</v>
      </c>
      <c r="C3" s="37">
        <v>4557605</v>
      </c>
      <c r="D3" s="20">
        <v>226530.5</v>
      </c>
      <c r="E3" s="348">
        <f t="shared" ref="E3:E34" si="0">C3/D3</f>
        <v>20.119167176163916</v>
      </c>
      <c r="F3" s="400">
        <f t="shared" ref="F3:F34" si="1">ROUND((D3/$D$71*$F$1),0)</f>
        <v>6190065</v>
      </c>
      <c r="G3" s="401">
        <f t="shared" ref="G3:G34" si="2">F3/$F$1</f>
        <v>1.1908535855946952E-2</v>
      </c>
      <c r="H3" s="404">
        <f t="shared" ref="H3:H34" si="3">F3-C3</f>
        <v>1632460</v>
      </c>
      <c r="I3" s="416">
        <f t="shared" ref="I3:I34" si="4">H3/C3</f>
        <v>0.35818373904715306</v>
      </c>
    </row>
    <row r="4" spans="1:9" customFormat="1" ht="15" x14ac:dyDescent="0.25">
      <c r="A4" s="13" t="s">
        <v>57</v>
      </c>
      <c r="B4" s="14">
        <v>7</v>
      </c>
      <c r="C4" s="37">
        <v>14739850</v>
      </c>
      <c r="D4" s="15">
        <v>683255</v>
      </c>
      <c r="E4" s="344">
        <f t="shared" si="0"/>
        <v>21.572985195863914</v>
      </c>
      <c r="F4" s="400">
        <f t="shared" si="1"/>
        <v>18670301</v>
      </c>
      <c r="G4" s="401">
        <f t="shared" si="2"/>
        <v>3.5918192926863005E-2</v>
      </c>
      <c r="H4" s="404">
        <f t="shared" si="3"/>
        <v>3930451</v>
      </c>
      <c r="I4" s="405">
        <f t="shared" si="4"/>
        <v>0.26665474886108065</v>
      </c>
    </row>
    <row r="5" spans="1:9" s="17" customFormat="1" x14ac:dyDescent="0.25">
      <c r="A5" s="13" t="s">
        <v>47</v>
      </c>
      <c r="B5" s="14">
        <v>8</v>
      </c>
      <c r="C5" s="37">
        <v>83509053</v>
      </c>
      <c r="D5" s="15">
        <v>3738430.5</v>
      </c>
      <c r="E5" s="344">
        <f t="shared" si="0"/>
        <v>22.337997991403078</v>
      </c>
      <c r="F5" s="400">
        <f t="shared" si="1"/>
        <v>102154571</v>
      </c>
      <c r="G5" s="401">
        <f t="shared" si="2"/>
        <v>0.19652642930282294</v>
      </c>
      <c r="H5" s="400">
        <f t="shared" si="3"/>
        <v>18645518</v>
      </c>
      <c r="I5" s="406">
        <f t="shared" si="4"/>
        <v>0.22327540943375324</v>
      </c>
    </row>
    <row r="6" spans="1:9" s="16" customFormat="1" x14ac:dyDescent="0.25">
      <c r="A6" s="13" t="s">
        <v>39</v>
      </c>
      <c r="B6" s="14">
        <v>7</v>
      </c>
      <c r="C6" s="37">
        <v>13783739</v>
      </c>
      <c r="D6" s="15">
        <v>609639.5</v>
      </c>
      <c r="E6" s="344">
        <f t="shared" si="0"/>
        <v>22.60965537830144</v>
      </c>
      <c r="F6" s="400">
        <f t="shared" si="1"/>
        <v>16658719</v>
      </c>
      <c r="G6" s="401">
        <f t="shared" si="2"/>
        <v>3.2048282615068618E-2</v>
      </c>
      <c r="H6" s="400">
        <f t="shared" si="3"/>
        <v>2874980</v>
      </c>
      <c r="I6" s="406">
        <f t="shared" si="4"/>
        <v>0.20857765806505768</v>
      </c>
    </row>
    <row r="7" spans="1:9" s="16" customFormat="1" x14ac:dyDescent="0.25">
      <c r="A7" s="13" t="s">
        <v>59</v>
      </c>
      <c r="B7" s="14">
        <v>5</v>
      </c>
      <c r="C7" s="43">
        <v>4259216</v>
      </c>
      <c r="D7" s="15">
        <v>186641.5</v>
      </c>
      <c r="E7" s="344">
        <f t="shared" si="0"/>
        <v>22.820305237581138</v>
      </c>
      <c r="F7" s="400">
        <f t="shared" si="1"/>
        <v>5100077</v>
      </c>
      <c r="G7" s="401">
        <f t="shared" si="2"/>
        <v>9.8116013034742541E-3</v>
      </c>
      <c r="H7" s="404">
        <f t="shared" si="3"/>
        <v>840861</v>
      </c>
      <c r="I7" s="405">
        <f t="shared" si="4"/>
        <v>0.19742154424664068</v>
      </c>
    </row>
    <row r="8" spans="1:9" s="16" customFormat="1" x14ac:dyDescent="0.25">
      <c r="A8" s="18" t="s">
        <v>52</v>
      </c>
      <c r="B8" s="19">
        <v>8</v>
      </c>
      <c r="C8" s="37">
        <v>34488116</v>
      </c>
      <c r="D8" s="20">
        <v>1489583.5</v>
      </c>
      <c r="E8" s="344">
        <f t="shared" si="0"/>
        <v>23.15285850037947</v>
      </c>
      <c r="F8" s="400">
        <f t="shared" si="1"/>
        <v>40703649</v>
      </c>
      <c r="G8" s="401">
        <f t="shared" si="2"/>
        <v>7.8306263922007166E-2</v>
      </c>
      <c r="H8" s="400">
        <f t="shared" si="3"/>
        <v>6215533</v>
      </c>
      <c r="I8" s="406">
        <f t="shared" si="4"/>
        <v>0.18022245691820335</v>
      </c>
    </row>
    <row r="9" spans="1:9" s="16" customFormat="1" x14ac:dyDescent="0.25">
      <c r="A9" s="13" t="s">
        <v>19</v>
      </c>
      <c r="B9" s="14">
        <v>8</v>
      </c>
      <c r="C9" s="37">
        <v>23190525</v>
      </c>
      <c r="D9" s="15">
        <v>972500.5</v>
      </c>
      <c r="E9" s="344">
        <f t="shared" si="0"/>
        <v>23.846285940212884</v>
      </c>
      <c r="F9" s="400">
        <f t="shared" si="1"/>
        <v>26574085</v>
      </c>
      <c r="G9" s="401">
        <f t="shared" si="2"/>
        <v>5.1123605981759815E-2</v>
      </c>
      <c r="H9" s="404">
        <f t="shared" si="3"/>
        <v>3383560</v>
      </c>
      <c r="I9" s="405">
        <f t="shared" si="4"/>
        <v>0.14590269086189295</v>
      </c>
    </row>
    <row r="10" spans="1:9" s="16" customFormat="1" x14ac:dyDescent="0.25">
      <c r="A10" s="13" t="s">
        <v>43</v>
      </c>
      <c r="B10" s="14">
        <v>3</v>
      </c>
      <c r="C10" s="37">
        <v>648064</v>
      </c>
      <c r="D10" s="15">
        <v>26518</v>
      </c>
      <c r="E10" s="344">
        <f t="shared" si="0"/>
        <v>24.43864544837469</v>
      </c>
      <c r="F10" s="400">
        <f t="shared" si="1"/>
        <v>724618</v>
      </c>
      <c r="G10" s="401">
        <f t="shared" si="2"/>
        <v>1.3940305045043256E-3</v>
      </c>
      <c r="H10" s="404">
        <f t="shared" si="3"/>
        <v>76554</v>
      </c>
      <c r="I10" s="405">
        <f t="shared" si="4"/>
        <v>0.11812722200276515</v>
      </c>
    </row>
    <row r="11" spans="1:9" s="16" customFormat="1" x14ac:dyDescent="0.25">
      <c r="A11" s="13" t="s">
        <v>68</v>
      </c>
      <c r="B11" s="14">
        <v>7</v>
      </c>
      <c r="C11" s="37">
        <v>13677918</v>
      </c>
      <c r="D11" s="15">
        <v>552816.5</v>
      </c>
      <c r="E11" s="344">
        <f t="shared" si="0"/>
        <v>24.742239061243648</v>
      </c>
      <c r="F11" s="400">
        <f t="shared" si="1"/>
        <v>15106000</v>
      </c>
      <c r="G11" s="401">
        <f t="shared" si="2"/>
        <v>2.9061139525987958E-2</v>
      </c>
      <c r="H11" s="404">
        <f t="shared" si="3"/>
        <v>1428082</v>
      </c>
      <c r="I11" s="405">
        <f t="shared" si="4"/>
        <v>0.10440784920629002</v>
      </c>
    </row>
    <row r="12" spans="1:9" s="16" customFormat="1" x14ac:dyDescent="0.25">
      <c r="A12" s="13" t="s">
        <v>12</v>
      </c>
      <c r="B12" s="14">
        <v>5</v>
      </c>
      <c r="C12" s="37">
        <v>4191942</v>
      </c>
      <c r="D12" s="15">
        <v>164184</v>
      </c>
      <c r="E12" s="344">
        <f t="shared" si="0"/>
        <v>25.531976319251573</v>
      </c>
      <c r="F12" s="400">
        <f t="shared" si="1"/>
        <v>4486414</v>
      </c>
      <c r="G12" s="401">
        <f t="shared" si="2"/>
        <v>8.6310276198428276E-3</v>
      </c>
      <c r="H12" s="404">
        <f t="shared" si="3"/>
        <v>294472</v>
      </c>
      <c r="I12" s="405">
        <f t="shared" si="4"/>
        <v>7.0247155137165548E-2</v>
      </c>
    </row>
    <row r="13" spans="1:9" s="16" customFormat="1" ht="12.75" customHeight="1" x14ac:dyDescent="0.25">
      <c r="A13" s="13" t="s">
        <v>32</v>
      </c>
      <c r="B13" s="14">
        <v>8</v>
      </c>
      <c r="C13" s="37">
        <v>35918958</v>
      </c>
      <c r="D13" s="15">
        <v>1373579</v>
      </c>
      <c r="E13" s="344">
        <f t="shared" si="0"/>
        <v>26.149903281864386</v>
      </c>
      <c r="F13" s="400">
        <f t="shared" si="1"/>
        <v>37533766</v>
      </c>
      <c r="G13" s="401">
        <f t="shared" si="2"/>
        <v>7.2207997528252549E-2</v>
      </c>
      <c r="H13" s="400">
        <f t="shared" si="3"/>
        <v>1614808</v>
      </c>
      <c r="I13" s="406">
        <f t="shared" si="4"/>
        <v>4.495698344033254E-2</v>
      </c>
    </row>
    <row r="14" spans="1:9" s="16" customFormat="1" x14ac:dyDescent="0.25">
      <c r="A14" s="13" t="s">
        <v>53</v>
      </c>
      <c r="B14" s="14">
        <v>6</v>
      </c>
      <c r="C14" s="37">
        <v>9002507</v>
      </c>
      <c r="D14" s="15">
        <v>340616</v>
      </c>
      <c r="E14" s="344">
        <f t="shared" si="0"/>
        <v>26.430076684594969</v>
      </c>
      <c r="F14" s="400">
        <f t="shared" si="1"/>
        <v>9307511</v>
      </c>
      <c r="G14" s="401">
        <f t="shared" si="2"/>
        <v>1.7905923196787219E-2</v>
      </c>
      <c r="H14" s="404">
        <f t="shared" si="3"/>
        <v>305004</v>
      </c>
      <c r="I14" s="405">
        <f t="shared" si="4"/>
        <v>3.3879895900108717E-2</v>
      </c>
    </row>
    <row r="15" spans="1:9" s="16" customFormat="1" x14ac:dyDescent="0.25">
      <c r="A15" s="13" t="s">
        <v>44</v>
      </c>
      <c r="B15" s="14">
        <v>6</v>
      </c>
      <c r="C15" s="37">
        <v>6899989</v>
      </c>
      <c r="D15" s="15">
        <v>257677</v>
      </c>
      <c r="E15" s="344">
        <f t="shared" si="0"/>
        <v>26.7776673897942</v>
      </c>
      <c r="F15" s="400">
        <f t="shared" si="1"/>
        <v>7041159</v>
      </c>
      <c r="G15" s="401">
        <f t="shared" si="2"/>
        <v>1.3545882703804173E-2</v>
      </c>
      <c r="H15" s="404">
        <f t="shared" si="3"/>
        <v>141170</v>
      </c>
      <c r="I15" s="405">
        <f t="shared" si="4"/>
        <v>2.0459452906374197E-2</v>
      </c>
    </row>
    <row r="16" spans="1:9" s="16" customFormat="1" x14ac:dyDescent="0.25">
      <c r="A16" s="13" t="s">
        <v>50</v>
      </c>
      <c r="B16" s="14">
        <v>5</v>
      </c>
      <c r="C16" s="37">
        <v>4275114</v>
      </c>
      <c r="D16" s="15">
        <v>156357</v>
      </c>
      <c r="E16" s="344">
        <f t="shared" si="0"/>
        <v>27.342005794431973</v>
      </c>
      <c r="F16" s="400">
        <f t="shared" si="1"/>
        <v>4272537</v>
      </c>
      <c r="G16" s="401">
        <f t="shared" si="2"/>
        <v>8.2195679787465913E-3</v>
      </c>
      <c r="H16" s="402">
        <f t="shared" si="3"/>
        <v>-2577</v>
      </c>
      <c r="I16" s="403">
        <f t="shared" si="4"/>
        <v>-6.0279094311870983E-4</v>
      </c>
    </row>
    <row r="17" spans="1:9" s="16" customFormat="1" x14ac:dyDescent="0.25">
      <c r="A17" s="13" t="s">
        <v>64</v>
      </c>
      <c r="B17" s="14">
        <v>4</v>
      </c>
      <c r="C17" s="37">
        <v>2258896</v>
      </c>
      <c r="D17" s="15">
        <v>82572</v>
      </c>
      <c r="E17" s="344">
        <f t="shared" si="0"/>
        <v>27.356682652715207</v>
      </c>
      <c r="F17" s="400">
        <f t="shared" si="1"/>
        <v>2256323</v>
      </c>
      <c r="G17" s="401">
        <f t="shared" si="2"/>
        <v>4.3407465588968441E-3</v>
      </c>
      <c r="H17" s="402">
        <f t="shared" si="3"/>
        <v>-2573</v>
      </c>
      <c r="I17" s="403">
        <f t="shared" si="4"/>
        <v>-1.1390519970817603E-3</v>
      </c>
    </row>
    <row r="18" spans="1:9" s="16" customFormat="1" x14ac:dyDescent="0.25">
      <c r="A18" s="13" t="s">
        <v>21</v>
      </c>
      <c r="B18" s="14">
        <v>4</v>
      </c>
      <c r="C18" s="37">
        <v>2140472</v>
      </c>
      <c r="D18" s="15">
        <v>78140</v>
      </c>
      <c r="E18" s="344">
        <f t="shared" si="0"/>
        <v>27.392782185820323</v>
      </c>
      <c r="F18" s="400">
        <f t="shared" si="1"/>
        <v>2135216</v>
      </c>
      <c r="G18" s="401">
        <f t="shared" si="2"/>
        <v>4.107759174773064E-3</v>
      </c>
      <c r="H18" s="402">
        <f t="shared" si="3"/>
        <v>-5256</v>
      </c>
      <c r="I18" s="403">
        <f t="shared" si="4"/>
        <v>-2.4555331721227841E-3</v>
      </c>
    </row>
    <row r="19" spans="1:9" s="16" customFormat="1" x14ac:dyDescent="0.25">
      <c r="A19" s="13" t="s">
        <v>45</v>
      </c>
      <c r="B19" s="14">
        <v>5</v>
      </c>
      <c r="C19" s="37">
        <v>7625553</v>
      </c>
      <c r="D19" s="15">
        <v>274953.5</v>
      </c>
      <c r="E19" s="344">
        <f t="shared" si="0"/>
        <v>27.733973199104575</v>
      </c>
      <c r="F19" s="400">
        <f t="shared" si="1"/>
        <v>7513248</v>
      </c>
      <c r="G19" s="401">
        <f t="shared" si="2"/>
        <v>1.4454094295071494E-2</v>
      </c>
      <c r="H19" s="402">
        <f t="shared" si="3"/>
        <v>-112305</v>
      </c>
      <c r="I19" s="403">
        <f t="shared" si="4"/>
        <v>-1.4727456487418028E-2</v>
      </c>
    </row>
    <row r="20" spans="1:9" s="16" customFormat="1" x14ac:dyDescent="0.25">
      <c r="A20" s="13" t="s">
        <v>14</v>
      </c>
      <c r="B20" s="14">
        <v>5</v>
      </c>
      <c r="C20" s="37">
        <v>4276781</v>
      </c>
      <c r="D20" s="15">
        <v>153300</v>
      </c>
      <c r="E20" s="344">
        <f t="shared" si="0"/>
        <v>27.898114807566863</v>
      </c>
      <c r="F20" s="400">
        <f t="shared" si="1"/>
        <v>4189003</v>
      </c>
      <c r="G20" s="401">
        <f t="shared" si="2"/>
        <v>8.0588640710831556E-3</v>
      </c>
      <c r="H20" s="402">
        <f t="shared" si="3"/>
        <v>-87778</v>
      </c>
      <c r="I20" s="403">
        <f t="shared" si="4"/>
        <v>-2.0524314899453583E-2</v>
      </c>
    </row>
    <row r="21" spans="1:9" s="16" customFormat="1" x14ac:dyDescent="0.25">
      <c r="A21" s="13" t="s">
        <v>63</v>
      </c>
      <c r="B21" s="14">
        <v>6</v>
      </c>
      <c r="C21" s="37">
        <v>10212651</v>
      </c>
      <c r="D21" s="15">
        <v>365175</v>
      </c>
      <c r="E21" s="344">
        <f t="shared" si="0"/>
        <v>27.966457178065312</v>
      </c>
      <c r="F21" s="400">
        <f t="shared" si="1"/>
        <v>9978598</v>
      </c>
      <c r="G21" s="401">
        <f t="shared" si="2"/>
        <v>1.9196969995481556E-2</v>
      </c>
      <c r="H21" s="402">
        <f t="shared" si="3"/>
        <v>-234053</v>
      </c>
      <c r="I21" s="403">
        <f t="shared" si="4"/>
        <v>-2.2917947553480481E-2</v>
      </c>
    </row>
    <row r="22" spans="1:9" s="16" customFormat="1" x14ac:dyDescent="0.25">
      <c r="A22" s="13" t="s">
        <v>30</v>
      </c>
      <c r="B22" s="14">
        <v>5</v>
      </c>
      <c r="C22" s="37">
        <v>4007781</v>
      </c>
      <c r="D22" s="15">
        <v>142218</v>
      </c>
      <c r="E22" s="344">
        <f t="shared" si="0"/>
        <v>28.180546766232123</v>
      </c>
      <c r="F22" s="400">
        <f t="shared" si="1"/>
        <v>3886181</v>
      </c>
      <c r="G22" s="401">
        <f t="shared" si="2"/>
        <v>7.4762907628917923E-3</v>
      </c>
      <c r="H22" s="402">
        <f t="shared" si="3"/>
        <v>-121600</v>
      </c>
      <c r="I22" s="403">
        <f t="shared" si="4"/>
        <v>-3.0340979210191375E-2</v>
      </c>
    </row>
    <row r="23" spans="1:9" s="16" customFormat="1" x14ac:dyDescent="0.25">
      <c r="A23" s="13" t="s">
        <v>70</v>
      </c>
      <c r="B23" s="14">
        <v>4</v>
      </c>
      <c r="C23" s="37">
        <v>2031728</v>
      </c>
      <c r="D23" s="15">
        <v>71144.5</v>
      </c>
      <c r="E23" s="344">
        <f t="shared" si="0"/>
        <v>28.557766236321854</v>
      </c>
      <c r="F23" s="400">
        <f t="shared" si="1"/>
        <v>1944061</v>
      </c>
      <c r="G23" s="401">
        <f t="shared" si="2"/>
        <v>3.7400124432696727E-3</v>
      </c>
      <c r="H23" s="402">
        <f t="shared" si="3"/>
        <v>-87667</v>
      </c>
      <c r="I23" s="403">
        <f t="shared" si="4"/>
        <v>-4.3148984509737524E-2</v>
      </c>
    </row>
    <row r="24" spans="1:9" s="16" customFormat="1" x14ac:dyDescent="0.25">
      <c r="A24" s="13" t="s">
        <v>49</v>
      </c>
      <c r="B24" s="14">
        <v>4</v>
      </c>
      <c r="C24" s="37">
        <v>1824677</v>
      </c>
      <c r="D24" s="15">
        <v>62457</v>
      </c>
      <c r="E24" s="344">
        <f t="shared" si="0"/>
        <v>29.214931873128712</v>
      </c>
      <c r="F24" s="400">
        <f t="shared" si="1"/>
        <v>1706670</v>
      </c>
      <c r="G24" s="401">
        <f t="shared" si="2"/>
        <v>3.2833162316177589E-3</v>
      </c>
      <c r="H24" s="402">
        <f t="shared" si="3"/>
        <v>-118007</v>
      </c>
      <c r="I24" s="403">
        <f t="shared" si="4"/>
        <v>-6.4672816065528313E-2</v>
      </c>
    </row>
    <row r="25" spans="1:9" s="16" customFormat="1" x14ac:dyDescent="0.25">
      <c r="A25" s="13" t="s">
        <v>54</v>
      </c>
      <c r="B25" s="14">
        <v>8</v>
      </c>
      <c r="C25" s="37">
        <v>34629783</v>
      </c>
      <c r="D25" s="15">
        <v>1151981.5</v>
      </c>
      <c r="E25" s="344">
        <f t="shared" si="0"/>
        <v>30.061058272203155</v>
      </c>
      <c r="F25" s="400">
        <f t="shared" si="1"/>
        <v>31478498</v>
      </c>
      <c r="G25" s="401">
        <f t="shared" si="2"/>
        <v>6.0558786074839992E-2</v>
      </c>
      <c r="H25" s="402">
        <f t="shared" si="3"/>
        <v>-3151285</v>
      </c>
      <c r="I25" s="403">
        <f t="shared" si="4"/>
        <v>-9.099927077221362E-2</v>
      </c>
    </row>
    <row r="26" spans="1:9" s="16" customFormat="1" x14ac:dyDescent="0.25">
      <c r="A26" s="13" t="s">
        <v>38</v>
      </c>
      <c r="B26" s="14">
        <v>5</v>
      </c>
      <c r="C26" s="37">
        <v>7230235</v>
      </c>
      <c r="D26" s="15">
        <v>239337.5</v>
      </c>
      <c r="E26" s="344">
        <f t="shared" si="0"/>
        <v>30.209369614038753</v>
      </c>
      <c r="F26" s="400">
        <f t="shared" si="1"/>
        <v>6540023</v>
      </c>
      <c r="G26" s="401">
        <f t="shared" si="2"/>
        <v>1.2581790077199149E-2</v>
      </c>
      <c r="H26" s="402">
        <f t="shared" si="3"/>
        <v>-690212</v>
      </c>
      <c r="I26" s="403">
        <f t="shared" si="4"/>
        <v>-9.5461904073657358E-2</v>
      </c>
    </row>
    <row r="27" spans="1:9" s="16" customFormat="1" x14ac:dyDescent="0.25">
      <c r="A27" s="13" t="s">
        <v>62</v>
      </c>
      <c r="B27" s="14">
        <v>6</v>
      </c>
      <c r="C27" s="37">
        <v>9461747</v>
      </c>
      <c r="D27" s="15">
        <v>313159</v>
      </c>
      <c r="E27" s="344">
        <f t="shared" si="0"/>
        <v>30.2138753795995</v>
      </c>
      <c r="F27" s="400">
        <f t="shared" si="1"/>
        <v>8557234</v>
      </c>
      <c r="G27" s="401">
        <f t="shared" si="2"/>
        <v>1.6462529539952871E-2</v>
      </c>
      <c r="H27" s="402">
        <f t="shared" si="3"/>
        <v>-904513</v>
      </c>
      <c r="I27" s="403">
        <f t="shared" si="4"/>
        <v>-9.5596827943084925E-2</v>
      </c>
    </row>
    <row r="28" spans="1:9" s="16" customFormat="1" x14ac:dyDescent="0.25">
      <c r="A28" s="13" t="s">
        <v>60</v>
      </c>
      <c r="B28" s="14">
        <v>5</v>
      </c>
      <c r="C28" s="37">
        <v>7723423</v>
      </c>
      <c r="D28" s="15">
        <v>254210.5</v>
      </c>
      <c r="E28" s="344">
        <f t="shared" si="0"/>
        <v>30.381998383229647</v>
      </c>
      <c r="F28" s="400">
        <f t="shared" si="1"/>
        <v>6946435</v>
      </c>
      <c r="G28" s="401">
        <f t="shared" si="2"/>
        <v>1.3363651313597654E-2</v>
      </c>
      <c r="H28" s="402">
        <f t="shared" si="3"/>
        <v>-776988</v>
      </c>
      <c r="I28" s="403">
        <f t="shared" si="4"/>
        <v>-0.10060150790653315</v>
      </c>
    </row>
    <row r="29" spans="1:9" s="16" customFormat="1" x14ac:dyDescent="0.25">
      <c r="A29" s="13" t="s">
        <v>16</v>
      </c>
      <c r="B29" s="14">
        <v>4</v>
      </c>
      <c r="C29" s="37">
        <v>1847898</v>
      </c>
      <c r="D29" s="15">
        <v>60531.5</v>
      </c>
      <c r="E29" s="344">
        <f t="shared" si="0"/>
        <v>30.52787391688625</v>
      </c>
      <c r="F29" s="400">
        <f t="shared" si="1"/>
        <v>1654055</v>
      </c>
      <c r="G29" s="401">
        <f t="shared" si="2"/>
        <v>3.1820947397496369E-3</v>
      </c>
      <c r="H29" s="402">
        <f t="shared" si="3"/>
        <v>-193843</v>
      </c>
      <c r="I29" s="403">
        <f t="shared" si="4"/>
        <v>-0.10489918815865377</v>
      </c>
    </row>
    <row r="30" spans="1:9" s="16" customFormat="1" x14ac:dyDescent="0.25">
      <c r="A30" s="13" t="s">
        <v>10</v>
      </c>
      <c r="B30" s="14">
        <v>8</v>
      </c>
      <c r="C30" s="37">
        <v>45104881</v>
      </c>
      <c r="D30" s="15">
        <v>1475104.5</v>
      </c>
      <c r="E30" s="344">
        <f t="shared" si="0"/>
        <v>30.577414006939847</v>
      </c>
      <c r="F30" s="400">
        <f t="shared" si="1"/>
        <v>40308003</v>
      </c>
      <c r="G30" s="401">
        <f t="shared" si="2"/>
        <v>7.7545114470868606E-2</v>
      </c>
      <c r="H30" s="402">
        <f t="shared" si="3"/>
        <v>-4796878</v>
      </c>
      <c r="I30" s="403">
        <f t="shared" si="4"/>
        <v>-0.10634942147391986</v>
      </c>
    </row>
    <row r="31" spans="1:9" s="16" customFormat="1" x14ac:dyDescent="0.25">
      <c r="A31" s="13" t="s">
        <v>17</v>
      </c>
      <c r="B31" s="14">
        <v>3</v>
      </c>
      <c r="C31" s="37">
        <v>939304</v>
      </c>
      <c r="D31" s="15">
        <v>30168</v>
      </c>
      <c r="E31" s="344">
        <f t="shared" si="0"/>
        <v>31.135773004508088</v>
      </c>
      <c r="F31" s="400">
        <f t="shared" si="1"/>
        <v>824356</v>
      </c>
      <c r="G31" s="401">
        <f t="shared" si="2"/>
        <v>1.5859078998467714E-3</v>
      </c>
      <c r="H31" s="402">
        <f t="shared" si="3"/>
        <v>-114948</v>
      </c>
      <c r="I31" s="403">
        <f t="shared" si="4"/>
        <v>-0.12237571648795278</v>
      </c>
    </row>
    <row r="32" spans="1:9" s="16" customFormat="1" x14ac:dyDescent="0.25">
      <c r="A32" s="13" t="s">
        <v>13</v>
      </c>
      <c r="B32" s="14">
        <v>4</v>
      </c>
      <c r="C32" s="37">
        <v>3533448</v>
      </c>
      <c r="D32" s="15">
        <v>108793</v>
      </c>
      <c r="E32" s="344">
        <f t="shared" si="0"/>
        <v>32.478633735626374</v>
      </c>
      <c r="F32" s="400">
        <f t="shared" si="1"/>
        <v>2972826</v>
      </c>
      <c r="G32" s="401">
        <f t="shared" si="2"/>
        <v>5.7191653099751541E-3</v>
      </c>
      <c r="H32" s="402">
        <f t="shared" si="3"/>
        <v>-560622</v>
      </c>
      <c r="I32" s="403">
        <f t="shared" si="4"/>
        <v>-0.15866145476033608</v>
      </c>
    </row>
    <row r="33" spans="1:9" s="16" customFormat="1" x14ac:dyDescent="0.25">
      <c r="A33" s="13" t="s">
        <v>66</v>
      </c>
      <c r="B33" s="14">
        <v>2</v>
      </c>
      <c r="C33" s="37">
        <v>648825</v>
      </c>
      <c r="D33" s="15">
        <v>19943</v>
      </c>
      <c r="E33" s="344">
        <f t="shared" si="0"/>
        <v>32.533971819686109</v>
      </c>
      <c r="F33" s="400">
        <f t="shared" si="1"/>
        <v>544953</v>
      </c>
      <c r="G33" s="401">
        <f t="shared" si="2"/>
        <v>1.0483883998481211E-3</v>
      </c>
      <c r="H33" s="402">
        <f t="shared" si="3"/>
        <v>-103872</v>
      </c>
      <c r="I33" s="403">
        <f t="shared" si="4"/>
        <v>-0.16009247485839787</v>
      </c>
    </row>
    <row r="34" spans="1:9" s="16" customFormat="1" x14ac:dyDescent="0.25">
      <c r="A34" s="13" t="s">
        <v>46</v>
      </c>
      <c r="B34" s="14">
        <v>4</v>
      </c>
      <c r="C34" s="37">
        <v>4016452</v>
      </c>
      <c r="D34" s="15">
        <v>123139</v>
      </c>
      <c r="E34" s="344">
        <f t="shared" si="0"/>
        <v>32.617221189062768</v>
      </c>
      <c r="F34" s="400">
        <f t="shared" si="1"/>
        <v>3364838</v>
      </c>
      <c r="G34" s="401">
        <f t="shared" si="2"/>
        <v>6.4733236197766627E-3</v>
      </c>
      <c r="H34" s="402">
        <f t="shared" si="3"/>
        <v>-651614</v>
      </c>
      <c r="I34" s="403">
        <f t="shared" si="4"/>
        <v>-0.16223622241719807</v>
      </c>
    </row>
    <row r="35" spans="1:9" s="16" customFormat="1" x14ac:dyDescent="0.25">
      <c r="A35" s="13" t="s">
        <v>20</v>
      </c>
      <c r="B35" s="14">
        <v>6</v>
      </c>
      <c r="C35" s="37">
        <v>7951620</v>
      </c>
      <c r="D35" s="15">
        <v>243701</v>
      </c>
      <c r="E35" s="344">
        <f t="shared" ref="E35:E66" si="5">C35/D35</f>
        <v>32.628589952441722</v>
      </c>
      <c r="F35" s="400">
        <f t="shared" ref="F35:F69" si="6">ROUND((D35/$D$71*$F$1),0)</f>
        <v>6659257</v>
      </c>
      <c r="G35" s="401">
        <f t="shared" ref="G35:G66" si="7">F35/$F$1</f>
        <v>1.2811174157050973E-2</v>
      </c>
      <c r="H35" s="402">
        <f t="shared" ref="H35:H69" si="8">F35-C35</f>
        <v>-1292363</v>
      </c>
      <c r="I35" s="403">
        <f t="shared" ref="I35:I66" si="9">H35/C35</f>
        <v>-0.16252826468065626</v>
      </c>
    </row>
    <row r="36" spans="1:9" s="16" customFormat="1" x14ac:dyDescent="0.25">
      <c r="A36" s="13" t="s">
        <v>9</v>
      </c>
      <c r="B36" s="14">
        <v>6</v>
      </c>
      <c r="C36" s="37">
        <v>13070317</v>
      </c>
      <c r="D36" s="15">
        <v>395988</v>
      </c>
      <c r="E36" s="344">
        <f t="shared" si="5"/>
        <v>33.006851217713667</v>
      </c>
      <c r="F36" s="400">
        <f t="shared" si="6"/>
        <v>10820579</v>
      </c>
      <c r="G36" s="401">
        <f t="shared" si="7"/>
        <v>2.0816785123194442E-2</v>
      </c>
      <c r="H36" s="402">
        <f t="shared" si="8"/>
        <v>-2249738</v>
      </c>
      <c r="I36" s="403">
        <f t="shared" si="9"/>
        <v>-0.1721257410971746</v>
      </c>
    </row>
    <row r="37" spans="1:9" s="16" customFormat="1" x14ac:dyDescent="0.25">
      <c r="A37" s="13" t="s">
        <v>8</v>
      </c>
      <c r="B37" s="14">
        <v>3</v>
      </c>
      <c r="C37" s="37">
        <v>1000951</v>
      </c>
      <c r="D37" s="15">
        <v>30252.5</v>
      </c>
      <c r="E37" s="344">
        <f t="shared" si="5"/>
        <v>33.086554830179324</v>
      </c>
      <c r="F37" s="400">
        <f t="shared" si="6"/>
        <v>826665</v>
      </c>
      <c r="G37" s="401">
        <f t="shared" si="7"/>
        <v>1.5903499871740259E-3</v>
      </c>
      <c r="H37" s="402">
        <f t="shared" si="8"/>
        <v>-174286</v>
      </c>
      <c r="I37" s="403">
        <f t="shared" si="9"/>
        <v>-0.17412041148867427</v>
      </c>
    </row>
    <row r="38" spans="1:9" s="16" customFormat="1" x14ac:dyDescent="0.25">
      <c r="A38" s="13" t="s">
        <v>61</v>
      </c>
      <c r="B38" s="14">
        <v>5</v>
      </c>
      <c r="C38" s="37">
        <v>3922046</v>
      </c>
      <c r="D38" s="15">
        <v>117758</v>
      </c>
      <c r="E38" s="344">
        <f t="shared" si="5"/>
        <v>33.305983457599481</v>
      </c>
      <c r="F38" s="400">
        <f t="shared" si="6"/>
        <v>3217799</v>
      </c>
      <c r="G38" s="401">
        <f t="shared" si="7"/>
        <v>6.1904478820061252E-3</v>
      </c>
      <c r="H38" s="402">
        <f t="shared" si="8"/>
        <v>-704247</v>
      </c>
      <c r="I38" s="403">
        <f t="shared" si="9"/>
        <v>-0.17956112702400737</v>
      </c>
    </row>
    <row r="39" spans="1:9" s="16" customFormat="1" x14ac:dyDescent="0.25">
      <c r="A39" s="13" t="s">
        <v>40</v>
      </c>
      <c r="B39" s="14">
        <v>5</v>
      </c>
      <c r="C39" s="37">
        <v>6816671</v>
      </c>
      <c r="D39" s="15">
        <v>204196</v>
      </c>
      <c r="E39" s="344">
        <f t="shared" si="5"/>
        <v>33.382980077964312</v>
      </c>
      <c r="F39" s="400">
        <f t="shared" si="6"/>
        <v>5579763</v>
      </c>
      <c r="G39" s="401">
        <f t="shared" si="7"/>
        <v>1.0734428112335838E-2</v>
      </c>
      <c r="H39" s="402">
        <f t="shared" si="8"/>
        <v>-1236908</v>
      </c>
      <c r="I39" s="403">
        <f t="shared" si="9"/>
        <v>-0.18145338098318078</v>
      </c>
    </row>
    <row r="40" spans="1:9" s="16" customFormat="1" x14ac:dyDescent="0.25">
      <c r="A40" s="13" t="s">
        <v>15</v>
      </c>
      <c r="B40" s="14">
        <v>5</v>
      </c>
      <c r="C40" s="37">
        <v>7493527</v>
      </c>
      <c r="D40" s="15">
        <v>224281</v>
      </c>
      <c r="E40" s="344">
        <f t="shared" si="5"/>
        <v>33.411332212715301</v>
      </c>
      <c r="F40" s="400">
        <f t="shared" si="6"/>
        <v>6128596</v>
      </c>
      <c r="G40" s="401">
        <f t="shared" si="7"/>
        <v>1.1790280911850371E-2</v>
      </c>
      <c r="H40" s="402">
        <f t="shared" si="8"/>
        <v>-1364931</v>
      </c>
      <c r="I40" s="403">
        <f t="shared" si="9"/>
        <v>-0.18214800587226815</v>
      </c>
    </row>
    <row r="41" spans="1:9" s="16" customFormat="1" x14ac:dyDescent="0.25">
      <c r="A41" s="13" t="s">
        <v>34</v>
      </c>
      <c r="B41" s="14">
        <v>4</v>
      </c>
      <c r="C41" s="37">
        <v>3304319</v>
      </c>
      <c r="D41" s="15">
        <v>98541</v>
      </c>
      <c r="E41" s="344">
        <f t="shared" si="5"/>
        <v>33.532428126363648</v>
      </c>
      <c r="F41" s="400">
        <f t="shared" si="6"/>
        <v>2692684</v>
      </c>
      <c r="G41" s="401">
        <f t="shared" si="7"/>
        <v>5.180224111174061E-3</v>
      </c>
      <c r="H41" s="402">
        <f t="shared" si="8"/>
        <v>-611635</v>
      </c>
      <c r="I41" s="403">
        <f t="shared" si="9"/>
        <v>-0.18510168055808171</v>
      </c>
    </row>
    <row r="42" spans="1:9" s="16" customFormat="1" x14ac:dyDescent="0.25">
      <c r="A42" s="13" t="s">
        <v>48</v>
      </c>
      <c r="B42" s="14">
        <v>5</v>
      </c>
      <c r="C42" s="37">
        <v>4137256</v>
      </c>
      <c r="D42" s="15">
        <v>119555</v>
      </c>
      <c r="E42" s="344">
        <f t="shared" si="5"/>
        <v>34.605461921291457</v>
      </c>
      <c r="F42" s="400">
        <f t="shared" si="6"/>
        <v>3266903</v>
      </c>
      <c r="G42" s="401">
        <f t="shared" si="7"/>
        <v>6.2849148617018825E-3</v>
      </c>
      <c r="H42" s="402">
        <f t="shared" si="8"/>
        <v>-870353</v>
      </c>
      <c r="I42" s="403">
        <f t="shared" si="9"/>
        <v>-0.21036962663175787</v>
      </c>
    </row>
    <row r="43" spans="1:9" s="16" customFormat="1" x14ac:dyDescent="0.25">
      <c r="A43" s="13" t="s">
        <v>31</v>
      </c>
      <c r="B43" s="14">
        <v>4</v>
      </c>
      <c r="C43" s="37">
        <v>2288340</v>
      </c>
      <c r="D43" s="15">
        <v>65678.5</v>
      </c>
      <c r="E43" s="344">
        <f t="shared" si="5"/>
        <v>34.8415387074918</v>
      </c>
      <c r="F43" s="400">
        <f t="shared" si="6"/>
        <v>1794699</v>
      </c>
      <c r="G43" s="401">
        <f t="shared" si="7"/>
        <v>3.4526676847710224E-3</v>
      </c>
      <c r="H43" s="402">
        <f t="shared" si="8"/>
        <v>-493641</v>
      </c>
      <c r="I43" s="403">
        <f t="shared" si="9"/>
        <v>-0.21572012900180917</v>
      </c>
    </row>
    <row r="44" spans="1:9" s="16" customFormat="1" x14ac:dyDescent="0.25">
      <c r="A44" s="13" t="s">
        <v>69</v>
      </c>
      <c r="B44" s="14">
        <v>3</v>
      </c>
      <c r="C44" s="37">
        <v>804879</v>
      </c>
      <c r="D44" s="15">
        <v>22803</v>
      </c>
      <c r="E44" s="344">
        <f t="shared" si="5"/>
        <v>35.297066175503225</v>
      </c>
      <c r="F44" s="400">
        <f t="shared" si="6"/>
        <v>623104</v>
      </c>
      <c r="G44" s="401">
        <f t="shared" si="7"/>
        <v>1.1987364148815835E-3</v>
      </c>
      <c r="H44" s="402">
        <f t="shared" si="8"/>
        <v>-181775</v>
      </c>
      <c r="I44" s="403">
        <f t="shared" si="9"/>
        <v>-0.22584139976319423</v>
      </c>
    </row>
    <row r="45" spans="1:9" s="16" customFormat="1" x14ac:dyDescent="0.25">
      <c r="A45" s="13" t="s">
        <v>5</v>
      </c>
      <c r="B45" s="14">
        <v>5</v>
      </c>
      <c r="C45" s="37">
        <v>6682426</v>
      </c>
      <c r="D45" s="15">
        <v>186280</v>
      </c>
      <c r="E45" s="344">
        <f t="shared" si="5"/>
        <v>35.873019111015672</v>
      </c>
      <c r="F45" s="400">
        <f t="shared" si="6"/>
        <v>5090199</v>
      </c>
      <c r="G45" s="401">
        <f t="shared" si="7"/>
        <v>9.7925978653544531E-3</v>
      </c>
      <c r="H45" s="402">
        <f t="shared" si="8"/>
        <v>-1592227</v>
      </c>
      <c r="I45" s="403">
        <f t="shared" si="9"/>
        <v>-0.2382708016519749</v>
      </c>
    </row>
    <row r="46" spans="1:9" s="16" customFormat="1" x14ac:dyDescent="0.25">
      <c r="A46" s="13" t="s">
        <v>51</v>
      </c>
      <c r="B46" s="14">
        <v>3</v>
      </c>
      <c r="C46" s="37">
        <v>1475992</v>
      </c>
      <c r="D46" s="15">
        <v>40816</v>
      </c>
      <c r="E46" s="344">
        <f t="shared" si="5"/>
        <v>36.162093296746377</v>
      </c>
      <c r="F46" s="400">
        <f t="shared" si="6"/>
        <v>1115319</v>
      </c>
      <c r="G46" s="401">
        <f t="shared" si="7"/>
        <v>2.1456666936968995E-3</v>
      </c>
      <c r="H46" s="402">
        <f t="shared" si="8"/>
        <v>-360673</v>
      </c>
      <c r="I46" s="403">
        <f t="shared" si="9"/>
        <v>-0.24435972552696764</v>
      </c>
    </row>
    <row r="47" spans="1:9" s="16" customFormat="1" x14ac:dyDescent="0.25">
      <c r="A47" s="13" t="s">
        <v>41</v>
      </c>
      <c r="B47" s="14">
        <v>3</v>
      </c>
      <c r="C47" s="37">
        <v>1307660</v>
      </c>
      <c r="D47" s="15">
        <v>35856</v>
      </c>
      <c r="E47" s="344">
        <f t="shared" si="5"/>
        <v>36.469767960731815</v>
      </c>
      <c r="F47" s="400">
        <f t="shared" si="6"/>
        <v>979784</v>
      </c>
      <c r="G47" s="401">
        <f t="shared" si="7"/>
        <v>1.8849225161744066E-3</v>
      </c>
      <c r="H47" s="402">
        <f t="shared" si="8"/>
        <v>-327876</v>
      </c>
      <c r="I47" s="403">
        <f t="shared" si="9"/>
        <v>-0.25073490050930669</v>
      </c>
    </row>
    <row r="48" spans="1:9" s="16" customFormat="1" x14ac:dyDescent="0.25">
      <c r="A48" s="13" t="s">
        <v>56</v>
      </c>
      <c r="B48" s="14">
        <v>7</v>
      </c>
      <c r="C48" s="37">
        <v>26034301</v>
      </c>
      <c r="D48" s="15">
        <v>694289</v>
      </c>
      <c r="E48" s="344">
        <f t="shared" si="5"/>
        <v>37.497786944629688</v>
      </c>
      <c r="F48" s="400">
        <f t="shared" si="6"/>
        <v>18971811</v>
      </c>
      <c r="G48" s="401">
        <f t="shared" si="7"/>
        <v>3.6498242190631081E-2</v>
      </c>
      <c r="H48" s="402">
        <f t="shared" si="8"/>
        <v>-7062490</v>
      </c>
      <c r="I48" s="403">
        <f t="shared" si="9"/>
        <v>-0.27127634423524566</v>
      </c>
    </row>
    <row r="49" spans="1:9" s="16" customFormat="1" x14ac:dyDescent="0.25">
      <c r="A49" s="13" t="s">
        <v>55</v>
      </c>
      <c r="B49" s="14">
        <v>6</v>
      </c>
      <c r="C49" s="37">
        <v>13312391</v>
      </c>
      <c r="D49" s="15">
        <v>353999</v>
      </c>
      <c r="E49" s="344">
        <f t="shared" si="5"/>
        <v>37.605730524662498</v>
      </c>
      <c r="F49" s="400">
        <f t="shared" si="6"/>
        <v>9673208</v>
      </c>
      <c r="G49" s="401">
        <f t="shared" si="7"/>
        <v>1.8609456332047063E-2</v>
      </c>
      <c r="H49" s="402">
        <f t="shared" si="8"/>
        <v>-3639183</v>
      </c>
      <c r="I49" s="403">
        <f t="shared" si="9"/>
        <v>-0.27336809743644097</v>
      </c>
    </row>
    <row r="50" spans="1:9" s="16" customFormat="1" x14ac:dyDescent="0.25">
      <c r="A50" s="13" t="s">
        <v>11</v>
      </c>
      <c r="B50" s="14">
        <v>2</v>
      </c>
      <c r="C50" s="37">
        <v>509417</v>
      </c>
      <c r="D50" s="15">
        <v>13164.5</v>
      </c>
      <c r="E50" s="344">
        <f t="shared" si="5"/>
        <v>38.696266474229937</v>
      </c>
      <c r="F50" s="400">
        <f t="shared" si="6"/>
        <v>359727</v>
      </c>
      <c r="G50" s="401">
        <f t="shared" si="7"/>
        <v>6.9204796360817361E-4</v>
      </c>
      <c r="H50" s="402">
        <f t="shared" si="8"/>
        <v>-149690</v>
      </c>
      <c r="I50" s="403">
        <f t="shared" si="9"/>
        <v>-0.29384570989974812</v>
      </c>
    </row>
    <row r="51" spans="1:9" s="16" customFormat="1" x14ac:dyDescent="0.25">
      <c r="A51" s="13" t="s">
        <v>58</v>
      </c>
      <c r="B51" s="14">
        <v>4</v>
      </c>
      <c r="C51" s="37">
        <v>2469487</v>
      </c>
      <c r="D51" s="15">
        <v>63813.5</v>
      </c>
      <c r="E51" s="344">
        <f t="shared" si="5"/>
        <v>38.698504234997294</v>
      </c>
      <c r="F51" s="400">
        <f t="shared" si="6"/>
        <v>1743737</v>
      </c>
      <c r="G51" s="401">
        <f t="shared" si="7"/>
        <v>3.3546262580185135E-3</v>
      </c>
      <c r="H51" s="402">
        <f t="shared" si="8"/>
        <v>-725750</v>
      </c>
      <c r="I51" s="403">
        <f t="shared" si="9"/>
        <v>-0.29388694898981044</v>
      </c>
    </row>
    <row r="52" spans="1:9" s="16" customFormat="1" x14ac:dyDescent="0.25">
      <c r="A52" s="13" t="s">
        <v>29</v>
      </c>
      <c r="B52" s="14">
        <v>3</v>
      </c>
      <c r="C52" s="37">
        <v>1438886</v>
      </c>
      <c r="D52" s="15">
        <v>36782.5</v>
      </c>
      <c r="E52" s="344">
        <f t="shared" si="5"/>
        <v>39.118765717392783</v>
      </c>
      <c r="F52" s="400">
        <f t="shared" si="6"/>
        <v>1005101</v>
      </c>
      <c r="G52" s="401">
        <f t="shared" si="7"/>
        <v>1.9336277239977507E-3</v>
      </c>
      <c r="H52" s="402">
        <f t="shared" si="8"/>
        <v>-433785</v>
      </c>
      <c r="I52" s="403">
        <f t="shared" si="9"/>
        <v>-0.30147280604578819</v>
      </c>
    </row>
    <row r="53" spans="1:9" s="16" customFormat="1" x14ac:dyDescent="0.25">
      <c r="A53" s="13" t="s">
        <v>18</v>
      </c>
      <c r="B53" s="14">
        <v>2</v>
      </c>
      <c r="C53" s="37">
        <v>561107</v>
      </c>
      <c r="D53" s="15">
        <v>14221</v>
      </c>
      <c r="E53" s="344">
        <f t="shared" si="5"/>
        <v>39.456226706982633</v>
      </c>
      <c r="F53" s="400">
        <f t="shared" si="6"/>
        <v>388596</v>
      </c>
      <c r="G53" s="401">
        <f t="shared" si="7"/>
        <v>7.4758655999211025E-4</v>
      </c>
      <c r="H53" s="402">
        <f t="shared" si="8"/>
        <v>-172511</v>
      </c>
      <c r="I53" s="403">
        <f t="shared" si="9"/>
        <v>-0.30744759912102326</v>
      </c>
    </row>
    <row r="54" spans="1:9" s="16" customFormat="1" x14ac:dyDescent="0.25">
      <c r="A54" s="13" t="s">
        <v>35</v>
      </c>
      <c r="B54" s="14">
        <v>3</v>
      </c>
      <c r="C54" s="37">
        <v>1255824</v>
      </c>
      <c r="D54" s="15">
        <v>31307.5</v>
      </c>
      <c r="E54" s="344">
        <f t="shared" si="5"/>
        <v>40.11256088796614</v>
      </c>
      <c r="F54" s="400">
        <f t="shared" si="6"/>
        <v>855494</v>
      </c>
      <c r="G54" s="401">
        <f t="shared" si="7"/>
        <v>1.6458116309840821E-3</v>
      </c>
      <c r="H54" s="402">
        <f t="shared" si="8"/>
        <v>-400330</v>
      </c>
      <c r="I54" s="403">
        <f t="shared" si="9"/>
        <v>-0.31877874606632778</v>
      </c>
    </row>
    <row r="55" spans="1:9" s="16" customFormat="1" x14ac:dyDescent="0.25">
      <c r="A55" s="13" t="s">
        <v>6</v>
      </c>
      <c r="B55" s="14">
        <v>2</v>
      </c>
      <c r="C55" s="37">
        <v>816730</v>
      </c>
      <c r="D55" s="15">
        <v>20304</v>
      </c>
      <c r="E55" s="344">
        <f t="shared" si="5"/>
        <v>40.225078802206461</v>
      </c>
      <c r="F55" s="400">
        <f t="shared" si="6"/>
        <v>554817</v>
      </c>
      <c r="G55" s="401">
        <f t="shared" si="7"/>
        <v>1.0673649045670635E-3</v>
      </c>
      <c r="H55" s="402">
        <f t="shared" si="8"/>
        <v>-261913</v>
      </c>
      <c r="I55" s="403">
        <f t="shared" si="9"/>
        <v>-0.32068492647508967</v>
      </c>
    </row>
    <row r="56" spans="1:9" s="16" customFormat="1" x14ac:dyDescent="0.25">
      <c r="A56" s="13" t="s">
        <v>36</v>
      </c>
      <c r="B56" s="14">
        <v>2</v>
      </c>
      <c r="C56" s="37">
        <v>565956</v>
      </c>
      <c r="D56" s="15">
        <v>13994.5</v>
      </c>
      <c r="E56" s="344">
        <f t="shared" si="5"/>
        <v>40.441316231376611</v>
      </c>
      <c r="F56" s="400">
        <f t="shared" si="6"/>
        <v>382407</v>
      </c>
      <c r="G56" s="401">
        <f t="shared" si="7"/>
        <v>7.3568007299844285E-4</v>
      </c>
      <c r="H56" s="402">
        <f t="shared" si="8"/>
        <v>-183549</v>
      </c>
      <c r="I56" s="403">
        <f t="shared" si="9"/>
        <v>-0.32431673133600492</v>
      </c>
    </row>
    <row r="57" spans="1:9" s="16" customFormat="1" x14ac:dyDescent="0.25">
      <c r="A57" s="13" t="s">
        <v>65</v>
      </c>
      <c r="B57" s="14">
        <v>3</v>
      </c>
      <c r="C57" s="37">
        <v>1344959</v>
      </c>
      <c r="D57" s="15">
        <v>33098.5</v>
      </c>
      <c r="E57" s="344">
        <f t="shared" si="5"/>
        <v>40.635043884163935</v>
      </c>
      <c r="F57" s="400">
        <f t="shared" si="6"/>
        <v>904434</v>
      </c>
      <c r="G57" s="401">
        <f t="shared" si="7"/>
        <v>1.7399631051269293E-3</v>
      </c>
      <c r="H57" s="402">
        <f t="shared" si="8"/>
        <v>-440525</v>
      </c>
      <c r="I57" s="403">
        <f t="shared" si="9"/>
        <v>-0.32753786546653096</v>
      </c>
    </row>
    <row r="58" spans="1:9" s="16" customFormat="1" x14ac:dyDescent="0.25">
      <c r="A58" s="13" t="s">
        <v>25</v>
      </c>
      <c r="B58" s="14">
        <v>2</v>
      </c>
      <c r="C58" s="37">
        <v>638127</v>
      </c>
      <c r="D58" s="15">
        <v>15669.5</v>
      </c>
      <c r="E58" s="344">
        <f t="shared" si="5"/>
        <v>40.724145633236539</v>
      </c>
      <c r="F58" s="400">
        <f t="shared" si="6"/>
        <v>428177</v>
      </c>
      <c r="G58" s="401">
        <f t="shared" si="7"/>
        <v>8.2373305566125685E-4</v>
      </c>
      <c r="H58" s="402">
        <f t="shared" si="8"/>
        <v>-209950</v>
      </c>
      <c r="I58" s="403">
        <f t="shared" si="9"/>
        <v>-0.32900974257475391</v>
      </c>
    </row>
    <row r="59" spans="1:9" s="16" customFormat="1" x14ac:dyDescent="0.25">
      <c r="A59" s="13" t="s">
        <v>28</v>
      </c>
      <c r="B59" s="14">
        <v>2</v>
      </c>
      <c r="C59" s="37">
        <v>1021928</v>
      </c>
      <c r="D59" s="15">
        <v>24808.5</v>
      </c>
      <c r="E59" s="344">
        <f t="shared" si="5"/>
        <v>41.192655742991313</v>
      </c>
      <c r="F59" s="400">
        <f t="shared" si="6"/>
        <v>677905</v>
      </c>
      <c r="G59" s="401">
        <f t="shared" si="7"/>
        <v>1.3041633649122778E-3</v>
      </c>
      <c r="H59" s="402">
        <f t="shared" si="8"/>
        <v>-344023</v>
      </c>
      <c r="I59" s="403">
        <f t="shared" si="9"/>
        <v>-0.33664113323052114</v>
      </c>
    </row>
    <row r="60" spans="1:9" s="16" customFormat="1" x14ac:dyDescent="0.25">
      <c r="A60" s="13" t="s">
        <v>33</v>
      </c>
      <c r="B60" s="14">
        <v>2</v>
      </c>
      <c r="C60" s="37">
        <v>670053</v>
      </c>
      <c r="D60" s="15">
        <v>16001.5</v>
      </c>
      <c r="E60" s="344">
        <f t="shared" si="5"/>
        <v>41.874386776239724</v>
      </c>
      <c r="F60" s="400">
        <f t="shared" si="6"/>
        <v>437249</v>
      </c>
      <c r="G60" s="401">
        <f t="shared" si="7"/>
        <v>8.4118589941736452E-4</v>
      </c>
      <c r="H60" s="402">
        <f t="shared" si="8"/>
        <v>-232804</v>
      </c>
      <c r="I60" s="403">
        <f t="shared" si="9"/>
        <v>-0.34744117256396134</v>
      </c>
    </row>
    <row r="61" spans="1:9" s="16" customFormat="1" x14ac:dyDescent="0.25">
      <c r="A61" s="13" t="s">
        <v>71</v>
      </c>
      <c r="B61" s="14">
        <v>2</v>
      </c>
      <c r="C61" s="37">
        <v>899753</v>
      </c>
      <c r="D61" s="15">
        <v>20742.5</v>
      </c>
      <c r="E61" s="344">
        <f t="shared" si="5"/>
        <v>43.377268892370736</v>
      </c>
      <c r="F61" s="400">
        <f t="shared" si="6"/>
        <v>566800</v>
      </c>
      <c r="G61" s="401">
        <f t="shared" si="7"/>
        <v>1.090417971887328E-3</v>
      </c>
      <c r="H61" s="402">
        <f t="shared" si="8"/>
        <v>-332953</v>
      </c>
      <c r="I61" s="403">
        <f t="shared" si="9"/>
        <v>-0.37004933576214805</v>
      </c>
    </row>
    <row r="62" spans="1:9" s="16" customFormat="1" x14ac:dyDescent="0.25">
      <c r="A62" s="13" t="s">
        <v>26</v>
      </c>
      <c r="B62" s="14">
        <v>1</v>
      </c>
      <c r="C62" s="37">
        <v>559733</v>
      </c>
      <c r="D62" s="15">
        <v>12063</v>
      </c>
      <c r="E62" s="344">
        <f t="shared" si="5"/>
        <v>46.400812401558483</v>
      </c>
      <c r="F62" s="400">
        <f t="shared" si="6"/>
        <v>329628</v>
      </c>
      <c r="G62" s="401">
        <f t="shared" si="7"/>
        <v>6.3414307557741021E-4</v>
      </c>
      <c r="H62" s="402">
        <f t="shared" si="8"/>
        <v>-230105</v>
      </c>
      <c r="I62" s="403">
        <f t="shared" si="9"/>
        <v>-0.41109779126833684</v>
      </c>
    </row>
    <row r="63" spans="1:9" s="16" customFormat="1" x14ac:dyDescent="0.25">
      <c r="A63" s="13" t="s">
        <v>27</v>
      </c>
      <c r="B63" s="14">
        <v>2</v>
      </c>
      <c r="C63" s="37">
        <v>669639</v>
      </c>
      <c r="D63" s="15">
        <v>14271</v>
      </c>
      <c r="E63" s="344">
        <f t="shared" si="5"/>
        <v>46.923060752575154</v>
      </c>
      <c r="F63" s="400">
        <f t="shared" si="6"/>
        <v>389963</v>
      </c>
      <c r="G63" s="401">
        <f t="shared" si="7"/>
        <v>7.5021641420447785E-4</v>
      </c>
      <c r="H63" s="402">
        <f t="shared" si="8"/>
        <v>-279676</v>
      </c>
      <c r="I63" s="403">
        <f t="shared" si="9"/>
        <v>-0.4176518990082716</v>
      </c>
    </row>
    <row r="64" spans="1:9" s="16" customFormat="1" x14ac:dyDescent="0.25">
      <c r="A64" s="13" t="s">
        <v>23</v>
      </c>
      <c r="B64" s="14">
        <v>3</v>
      </c>
      <c r="C64" s="37">
        <v>1526444</v>
      </c>
      <c r="D64" s="15">
        <v>31300</v>
      </c>
      <c r="E64" s="344">
        <f t="shared" si="5"/>
        <v>48.768178913738019</v>
      </c>
      <c r="F64" s="400">
        <f t="shared" si="6"/>
        <v>855289</v>
      </c>
      <c r="G64" s="401">
        <f t="shared" si="7"/>
        <v>1.6454172490429442E-3</v>
      </c>
      <c r="H64" s="402">
        <f t="shared" si="8"/>
        <v>-671155</v>
      </c>
      <c r="I64" s="403">
        <f t="shared" si="9"/>
        <v>-0.439685307813454</v>
      </c>
    </row>
    <row r="65" spans="1:9" s="16" customFormat="1" x14ac:dyDescent="0.25">
      <c r="A65" s="13" t="s">
        <v>22</v>
      </c>
      <c r="B65" s="14">
        <v>2</v>
      </c>
      <c r="C65" s="37">
        <v>729233</v>
      </c>
      <c r="D65" s="15">
        <v>13824.5</v>
      </c>
      <c r="E65" s="344">
        <f t="shared" si="5"/>
        <v>52.749321856124993</v>
      </c>
      <c r="F65" s="400">
        <f t="shared" si="6"/>
        <v>377762</v>
      </c>
      <c r="G65" s="401">
        <f t="shared" si="7"/>
        <v>7.2674395535656455E-4</v>
      </c>
      <c r="H65" s="402">
        <f t="shared" si="8"/>
        <v>-351471</v>
      </c>
      <c r="I65" s="403">
        <f t="shared" si="9"/>
        <v>-0.48197352560841322</v>
      </c>
    </row>
    <row r="66" spans="1:9" s="16" customFormat="1" x14ac:dyDescent="0.25">
      <c r="A66" s="13" t="s">
        <v>24</v>
      </c>
      <c r="B66" s="14">
        <v>2</v>
      </c>
      <c r="C66" s="37">
        <v>614496</v>
      </c>
      <c r="D66" s="15">
        <v>11097</v>
      </c>
      <c r="E66" s="344">
        <f t="shared" si="5"/>
        <v>55.374966207082998</v>
      </c>
      <c r="F66" s="400">
        <f t="shared" si="6"/>
        <v>303231</v>
      </c>
      <c r="G66" s="401">
        <f t="shared" si="7"/>
        <v>5.8336014825929134E-4</v>
      </c>
      <c r="H66" s="402">
        <f t="shared" si="8"/>
        <v>-311265</v>
      </c>
      <c r="I66" s="403">
        <f t="shared" si="9"/>
        <v>-0.50653706452116853</v>
      </c>
    </row>
    <row r="67" spans="1:9" s="16" customFormat="1" x14ac:dyDescent="0.25">
      <c r="A67" s="13" t="s">
        <v>42</v>
      </c>
      <c r="B67" s="14">
        <v>1</v>
      </c>
      <c r="C67" s="37">
        <v>360605</v>
      </c>
      <c r="D67" s="15">
        <v>5300</v>
      </c>
      <c r="E67" s="344">
        <f t="shared" ref="E67:E69" si="10">C67/D67</f>
        <v>68.038679245283021</v>
      </c>
      <c r="F67" s="400">
        <f t="shared" si="6"/>
        <v>144825</v>
      </c>
      <c r="G67" s="401">
        <f t="shared" ref="G67:G69" si="11">F67/$F$1</f>
        <v>2.7861641280624955E-4</v>
      </c>
      <c r="H67" s="402">
        <f t="shared" si="8"/>
        <v>-215780</v>
      </c>
      <c r="I67" s="403">
        <f t="shared" ref="I67:I69" si="12">H67/C67</f>
        <v>-0.59838327255584367</v>
      </c>
    </row>
    <row r="68" spans="1:9" x14ac:dyDescent="0.25">
      <c r="A68" s="13" t="s">
        <v>67</v>
      </c>
      <c r="B68" s="14">
        <v>1</v>
      </c>
      <c r="C68" s="37">
        <v>544515</v>
      </c>
      <c r="D68" s="15">
        <v>7543.5</v>
      </c>
      <c r="E68" s="344">
        <f t="shared" si="10"/>
        <v>72.183336647444818</v>
      </c>
      <c r="F68" s="400">
        <f t="shared" si="6"/>
        <v>206130</v>
      </c>
      <c r="G68" s="401">
        <f t="shared" si="11"/>
        <v>3.965558513499204E-4</v>
      </c>
      <c r="H68" s="402">
        <f t="shared" si="8"/>
        <v>-338385</v>
      </c>
      <c r="I68" s="403">
        <f t="shared" si="12"/>
        <v>-0.62144293545632356</v>
      </c>
    </row>
    <row r="69" spans="1:9" ht="14.25" thickBot="1" x14ac:dyDescent="0.3">
      <c r="A69" s="22" t="s">
        <v>37</v>
      </c>
      <c r="B69" s="23">
        <v>1</v>
      </c>
      <c r="C69" s="45">
        <v>343958</v>
      </c>
      <c r="D69" s="24">
        <v>4576</v>
      </c>
      <c r="E69" s="345">
        <f t="shared" si="10"/>
        <v>75.165646853146853</v>
      </c>
      <c r="F69" s="407">
        <f t="shared" si="6"/>
        <v>125042</v>
      </c>
      <c r="G69" s="408">
        <f t="shared" si="11"/>
        <v>2.4055759357927885E-4</v>
      </c>
      <c r="H69" s="409">
        <f t="shared" si="8"/>
        <v>-218916</v>
      </c>
      <c r="I69" s="410">
        <f t="shared" si="12"/>
        <v>-0.63646142843021536</v>
      </c>
    </row>
    <row r="70" spans="1:9" ht="14.25" thickBot="1" x14ac:dyDescent="0.3">
      <c r="A70" s="25"/>
      <c r="B70" s="26"/>
      <c r="C70" s="360"/>
      <c r="D70" s="27"/>
      <c r="E70" s="21"/>
      <c r="F70" s="361"/>
      <c r="G70" s="362"/>
      <c r="H70" s="363"/>
    </row>
    <row r="71" spans="1:9" s="16" customFormat="1" ht="14.25" thickBot="1" x14ac:dyDescent="0.3">
      <c r="A71" s="494" t="s">
        <v>256</v>
      </c>
      <c r="B71" s="494"/>
      <c r="C71" s="359">
        <f>SUM(C3:C69)</f>
        <v>519800677</v>
      </c>
      <c r="D71" s="28">
        <f>SUM(D3:D70)</f>
        <v>19022533</v>
      </c>
      <c r="E71" s="346">
        <f>C71/D71</f>
        <v>27.325523735456262</v>
      </c>
      <c r="F71" s="407">
        <f>SUM(F3:F69)</f>
        <v>519800677</v>
      </c>
      <c r="G71" s="411">
        <f>SUM(G3:G69)</f>
        <v>1</v>
      </c>
      <c r="H71" s="412">
        <f>SUM(H3:H69)</f>
        <v>0</v>
      </c>
      <c r="I71" s="364"/>
    </row>
    <row r="72" spans="1:9" x14ac:dyDescent="0.25">
      <c r="C72" s="60"/>
      <c r="D72" s="29" t="s">
        <v>73</v>
      </c>
      <c r="E72" s="397"/>
    </row>
    <row r="73" spans="1:9" x14ac:dyDescent="0.25">
      <c r="C73" s="60"/>
      <c r="H73" s="366" t="s">
        <v>284</v>
      </c>
      <c r="I73" s="367">
        <f>COUNTIF(H3:H69,"&gt;0")</f>
        <v>13</v>
      </c>
    </row>
    <row r="74" spans="1:9" s="365" customFormat="1" x14ac:dyDescent="0.25">
      <c r="A74" s="21"/>
      <c r="B74" s="21"/>
      <c r="C74" s="21"/>
      <c r="D74" s="364"/>
      <c r="E74" s="364"/>
      <c r="F74" s="21"/>
      <c r="G74" s="69"/>
      <c r="H74" s="366" t="s">
        <v>285</v>
      </c>
      <c r="I74" s="368">
        <f>COUNTIF(H3:H69,"&lt;0")</f>
        <v>54</v>
      </c>
    </row>
    <row r="75" spans="1:9" s="365" customFormat="1" x14ac:dyDescent="0.25">
      <c r="A75" s="21"/>
      <c r="B75" s="21"/>
      <c r="C75" s="369"/>
      <c r="D75" s="370"/>
      <c r="E75" s="370"/>
      <c r="F75" s="369"/>
      <c r="G75" s="371"/>
      <c r="H75" s="372"/>
      <c r="I75" s="364"/>
    </row>
  </sheetData>
  <autoFilter ref="A2:I2" xr:uid="{41B5CC8B-0BCD-4DAE-A51C-120BBCDBC277}">
    <sortState xmlns:xlrd2="http://schemas.microsoft.com/office/spreadsheetml/2017/richdata2" ref="A3:I69">
      <sortCondition ref="E2"/>
    </sortState>
  </autoFilter>
  <mergeCells count="1">
    <mergeCell ref="A71:B71"/>
  </mergeCells>
  <printOptions horizontalCentered="1"/>
  <pageMargins left="0.45" right="0.45" top="0.75" bottom="0.6" header="0.3" footer="0.3"/>
  <pageSetup scale="96" fitToHeight="0" pageOrder="overThenDown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8228-834F-4F5A-9D63-EE1C93420898}">
  <sheetPr>
    <tabColor rgb="FF0070C0"/>
    <pageSetUpPr fitToPage="1"/>
  </sheetPr>
  <dimension ref="A1:O73"/>
  <sheetViews>
    <sheetView topLeftCell="B1" zoomScaleNormal="100" zoomScalePageLayoutView="90" workbookViewId="0">
      <pane ySplit="1" topLeftCell="A65" activePane="bottomLeft" state="frozen"/>
      <selection activeCell="B1" sqref="B1"/>
      <selection pane="bottomLeft" activeCell="H78" sqref="H78"/>
    </sheetView>
  </sheetViews>
  <sheetFormatPr defaultColWidth="9.140625" defaultRowHeight="15.75" x14ac:dyDescent="0.25"/>
  <cols>
    <col min="1" max="1" width="13.85546875" style="147" customWidth="1"/>
    <col min="2" max="2" width="22.140625" style="147" customWidth="1"/>
    <col min="3" max="3" width="21" style="147" customWidth="1"/>
    <col min="4" max="4" width="22.140625" style="147" customWidth="1"/>
    <col min="5" max="5" width="22.42578125" style="147" bestFit="1" customWidth="1"/>
    <col min="6" max="7" width="20.85546875" style="147" bestFit="1" customWidth="1"/>
    <col min="8" max="8" width="22.42578125" style="147" bestFit="1" customWidth="1"/>
    <col min="9" max="9" width="20.85546875" style="176" bestFit="1" customWidth="1"/>
    <col min="10" max="11" width="22.42578125" style="147" bestFit="1" customWidth="1"/>
    <col min="12" max="12" width="21.7109375" style="147" bestFit="1" customWidth="1"/>
    <col min="13" max="13" width="20.85546875" style="147" bestFit="1" customWidth="1"/>
    <col min="14" max="14" width="14.85546875" style="147" customWidth="1"/>
    <col min="15" max="16384" width="9.140625" style="147"/>
  </cols>
  <sheetData>
    <row r="1" spans="1:14" s="140" customFormat="1" ht="95.25" thickBot="1" x14ac:dyDescent="0.3">
      <c r="A1" s="132" t="s">
        <v>2</v>
      </c>
      <c r="B1" s="133" t="s">
        <v>178</v>
      </c>
      <c r="C1" s="134" t="s">
        <v>179</v>
      </c>
      <c r="D1" s="133" t="s">
        <v>180</v>
      </c>
      <c r="E1" s="135" t="s">
        <v>181</v>
      </c>
      <c r="F1" s="136" t="s">
        <v>182</v>
      </c>
      <c r="G1" s="136" t="s">
        <v>183</v>
      </c>
      <c r="H1" s="136" t="s">
        <v>184</v>
      </c>
      <c r="I1" s="137" t="s">
        <v>185</v>
      </c>
      <c r="J1" s="137" t="s">
        <v>186</v>
      </c>
      <c r="K1" s="137" t="s">
        <v>187</v>
      </c>
      <c r="L1" s="180" t="s">
        <v>188</v>
      </c>
      <c r="M1" s="138" t="s">
        <v>189</v>
      </c>
      <c r="N1" s="139" t="s">
        <v>190</v>
      </c>
    </row>
    <row r="2" spans="1:14" x14ac:dyDescent="0.25">
      <c r="A2" s="141" t="s">
        <v>5</v>
      </c>
      <c r="B2" s="142">
        <v>6171388</v>
      </c>
      <c r="C2" s="142">
        <v>90241</v>
      </c>
      <c r="D2" s="142">
        <f>B2+C2</f>
        <v>6261629</v>
      </c>
      <c r="E2" s="143">
        <v>4537019.0100000007</v>
      </c>
      <c r="F2" s="144">
        <v>2708702.74</v>
      </c>
      <c r="G2" s="143">
        <v>297882.99999999994</v>
      </c>
      <c r="H2" s="143">
        <f t="shared" ref="H2:H33" si="0">SUM(E2:G2)</f>
        <v>7543604.7500000009</v>
      </c>
      <c r="I2" s="143">
        <v>0</v>
      </c>
      <c r="J2" s="143">
        <v>5998560.2800000003</v>
      </c>
      <c r="K2" s="143">
        <f t="shared" ref="K2:K65" si="1">SUM(I2:J2)</f>
        <v>5998560.2800000003</v>
      </c>
      <c r="L2" s="143">
        <f t="shared" ref="L2:L65" si="2">J2-D2</f>
        <v>-263068.71999999974</v>
      </c>
      <c r="M2" s="145">
        <f t="shared" ref="M2:M65" si="3">H2-K2</f>
        <v>1545044.4700000007</v>
      </c>
      <c r="N2" s="146" t="str">
        <f t="shared" ref="N2:N65" si="4">_xlfn.IFS(M2&gt;0,"Due To TF",M2&lt;0,"Due From TF")</f>
        <v>Due To TF</v>
      </c>
    </row>
    <row r="3" spans="1:14" x14ac:dyDescent="0.25">
      <c r="A3" s="148" t="s">
        <v>6</v>
      </c>
      <c r="B3" s="149">
        <v>756419</v>
      </c>
      <c r="C3" s="149">
        <v>17284</v>
      </c>
      <c r="D3" s="149">
        <f t="shared" ref="D3:D66" si="5">B3+C3</f>
        <v>773703</v>
      </c>
      <c r="E3" s="145">
        <v>406399.16000000003</v>
      </c>
      <c r="F3" s="150">
        <v>334099.89000000013</v>
      </c>
      <c r="G3" s="145">
        <v>42734</v>
      </c>
      <c r="H3" s="145">
        <f t="shared" si="0"/>
        <v>783233.05000000016</v>
      </c>
      <c r="I3" s="145">
        <v>0</v>
      </c>
      <c r="J3" s="145">
        <v>773703</v>
      </c>
      <c r="K3" s="145">
        <f t="shared" si="1"/>
        <v>773703</v>
      </c>
      <c r="L3" s="145">
        <f t="shared" si="2"/>
        <v>0</v>
      </c>
      <c r="M3" s="145">
        <f t="shared" si="3"/>
        <v>9530.050000000163</v>
      </c>
      <c r="N3" s="151" t="str">
        <f t="shared" si="4"/>
        <v>Due To TF</v>
      </c>
    </row>
    <row r="4" spans="1:14" x14ac:dyDescent="0.25">
      <c r="A4" s="152" t="s">
        <v>7</v>
      </c>
      <c r="B4" s="153">
        <v>4163012</v>
      </c>
      <c r="C4" s="153">
        <v>91217</v>
      </c>
      <c r="D4" s="153">
        <f t="shared" si="5"/>
        <v>4254229</v>
      </c>
      <c r="E4" s="154">
        <v>5084985.25</v>
      </c>
      <c r="F4" s="155">
        <v>0</v>
      </c>
      <c r="G4" s="154">
        <v>231285</v>
      </c>
      <c r="H4" s="154">
        <f t="shared" si="0"/>
        <v>5316270.25</v>
      </c>
      <c r="I4" s="145">
        <v>575203.71</v>
      </c>
      <c r="J4" s="154">
        <v>4254229</v>
      </c>
      <c r="K4" s="154">
        <f t="shared" si="1"/>
        <v>4829432.71</v>
      </c>
      <c r="L4" s="154">
        <f t="shared" si="2"/>
        <v>0</v>
      </c>
      <c r="M4" s="145">
        <f t="shared" si="3"/>
        <v>486837.54000000004</v>
      </c>
      <c r="N4" s="156" t="str">
        <f t="shared" si="4"/>
        <v>Due To TF</v>
      </c>
    </row>
    <row r="5" spans="1:14" x14ac:dyDescent="0.25">
      <c r="A5" s="157" t="s">
        <v>8</v>
      </c>
      <c r="B5" s="149">
        <v>913622</v>
      </c>
      <c r="C5" s="149">
        <v>14751</v>
      </c>
      <c r="D5" s="149">
        <f t="shared" si="5"/>
        <v>928373</v>
      </c>
      <c r="E5" s="145">
        <v>828553.14999999991</v>
      </c>
      <c r="F5" s="150">
        <v>135902.83000000002</v>
      </c>
      <c r="G5" s="145">
        <v>45491.000000000007</v>
      </c>
      <c r="H5" s="145">
        <f t="shared" si="0"/>
        <v>1009946.98</v>
      </c>
      <c r="I5" s="145">
        <v>0</v>
      </c>
      <c r="J5" s="145">
        <v>870542.03999999992</v>
      </c>
      <c r="K5" s="145">
        <f t="shared" si="1"/>
        <v>870542.03999999992</v>
      </c>
      <c r="L5" s="145">
        <f t="shared" si="2"/>
        <v>-57830.960000000079</v>
      </c>
      <c r="M5" s="145">
        <f t="shared" si="3"/>
        <v>139404.94000000006</v>
      </c>
      <c r="N5" s="151" t="str">
        <f t="shared" si="4"/>
        <v>Due To TF</v>
      </c>
    </row>
    <row r="6" spans="1:14" x14ac:dyDescent="0.25">
      <c r="A6" s="148" t="s">
        <v>9</v>
      </c>
      <c r="B6" s="149">
        <v>12007147</v>
      </c>
      <c r="C6" s="149">
        <v>191741</v>
      </c>
      <c r="D6" s="149">
        <f t="shared" si="5"/>
        <v>12198888</v>
      </c>
      <c r="E6" s="145">
        <v>10211581.079999998</v>
      </c>
      <c r="F6" s="150">
        <v>2086979.67</v>
      </c>
      <c r="G6" s="145">
        <v>595731.99999999977</v>
      </c>
      <c r="H6" s="145">
        <f t="shared" si="0"/>
        <v>12894292.749999998</v>
      </c>
      <c r="I6" s="145">
        <v>0</v>
      </c>
      <c r="J6" s="145">
        <v>12198888</v>
      </c>
      <c r="K6" s="145">
        <f t="shared" si="1"/>
        <v>12198888</v>
      </c>
      <c r="L6" s="145">
        <f t="shared" si="2"/>
        <v>0</v>
      </c>
      <c r="M6" s="145">
        <f t="shared" si="3"/>
        <v>695404.74999999814</v>
      </c>
      <c r="N6" s="151" t="str">
        <f t="shared" si="4"/>
        <v>Due To TF</v>
      </c>
    </row>
    <row r="7" spans="1:14" x14ac:dyDescent="0.25">
      <c r="A7" s="148" t="s">
        <v>10</v>
      </c>
      <c r="B7" s="149">
        <v>41479454</v>
      </c>
      <c r="C7" s="149">
        <v>659841</v>
      </c>
      <c r="D7" s="149">
        <f t="shared" si="5"/>
        <v>42139295</v>
      </c>
      <c r="E7" s="145">
        <v>37056800.759999998</v>
      </c>
      <c r="F7" s="150">
        <v>5987406</v>
      </c>
      <c r="G7" s="145">
        <v>2055452.99845035</v>
      </c>
      <c r="H7" s="145">
        <f t="shared" si="0"/>
        <v>45099659.758450344</v>
      </c>
      <c r="I7" s="145">
        <v>0</v>
      </c>
      <c r="J7" s="145">
        <v>42139295</v>
      </c>
      <c r="K7" s="145">
        <f t="shared" si="1"/>
        <v>42139295</v>
      </c>
      <c r="L7" s="145">
        <f t="shared" si="2"/>
        <v>0</v>
      </c>
      <c r="M7" s="145">
        <f t="shared" si="3"/>
        <v>2960364.7584503442</v>
      </c>
      <c r="N7" s="151" t="str">
        <f t="shared" si="4"/>
        <v>Due To TF</v>
      </c>
    </row>
    <row r="8" spans="1:14" x14ac:dyDescent="0.25">
      <c r="A8" s="148" t="s">
        <v>11</v>
      </c>
      <c r="B8" s="149">
        <v>477087</v>
      </c>
      <c r="C8" s="149">
        <v>5732</v>
      </c>
      <c r="D8" s="149">
        <f t="shared" si="5"/>
        <v>482819</v>
      </c>
      <c r="E8" s="145">
        <v>343572.88999999996</v>
      </c>
      <c r="F8" s="150">
        <v>264538.33</v>
      </c>
      <c r="G8" s="145">
        <v>21784.000000000004</v>
      </c>
      <c r="H8" s="145">
        <f t="shared" si="0"/>
        <v>629895.22</v>
      </c>
      <c r="I8" s="145">
        <v>0</v>
      </c>
      <c r="J8" s="145">
        <v>482819</v>
      </c>
      <c r="K8" s="145">
        <f t="shared" si="1"/>
        <v>482819</v>
      </c>
      <c r="L8" s="145">
        <f t="shared" si="2"/>
        <v>0</v>
      </c>
      <c r="M8" s="145">
        <f t="shared" si="3"/>
        <v>147076.21999999997</v>
      </c>
      <c r="N8" s="151" t="str">
        <f t="shared" si="4"/>
        <v>Due To TF</v>
      </c>
    </row>
    <row r="9" spans="1:14" x14ac:dyDescent="0.25">
      <c r="A9" s="148" t="s">
        <v>12</v>
      </c>
      <c r="B9" s="149">
        <v>3774623</v>
      </c>
      <c r="C9" s="149">
        <v>67193</v>
      </c>
      <c r="D9" s="149">
        <f t="shared" si="5"/>
        <v>3841816</v>
      </c>
      <c r="E9" s="145">
        <v>4955364.22</v>
      </c>
      <c r="F9" s="150">
        <v>193750.5</v>
      </c>
      <c r="G9" s="145">
        <v>194193.00000000006</v>
      </c>
      <c r="H9" s="145">
        <f t="shared" si="0"/>
        <v>5343307.72</v>
      </c>
      <c r="I9" s="145">
        <v>1182135.48</v>
      </c>
      <c r="J9" s="145">
        <v>3829512.8000000007</v>
      </c>
      <c r="K9" s="145">
        <f t="shared" si="1"/>
        <v>5011648.2800000012</v>
      </c>
      <c r="L9" s="145">
        <f t="shared" si="2"/>
        <v>-12303.199999999255</v>
      </c>
      <c r="M9" s="145">
        <f t="shared" si="3"/>
        <v>331659.43999999855</v>
      </c>
      <c r="N9" s="151" t="str">
        <f t="shared" si="4"/>
        <v>Due To TF</v>
      </c>
    </row>
    <row r="10" spans="1:14" x14ac:dyDescent="0.25">
      <c r="A10" s="148" t="s">
        <v>13</v>
      </c>
      <c r="B10" s="149">
        <v>3208689</v>
      </c>
      <c r="C10" s="149">
        <v>48681</v>
      </c>
      <c r="D10" s="149">
        <f t="shared" si="5"/>
        <v>3257370</v>
      </c>
      <c r="E10" s="145">
        <v>3817344.4899999998</v>
      </c>
      <c r="F10" s="150">
        <v>81144.490000000005</v>
      </c>
      <c r="G10" s="145">
        <v>156641</v>
      </c>
      <c r="H10" s="145">
        <f t="shared" si="0"/>
        <v>4055129.98</v>
      </c>
      <c r="I10" s="145">
        <v>551502.02</v>
      </c>
      <c r="J10" s="145">
        <v>3257370</v>
      </c>
      <c r="K10" s="145">
        <f t="shared" si="1"/>
        <v>3808872.02</v>
      </c>
      <c r="L10" s="145">
        <f t="shared" si="2"/>
        <v>0</v>
      </c>
      <c r="M10" s="145">
        <f t="shared" si="3"/>
        <v>246257.95999999996</v>
      </c>
      <c r="N10" s="151" t="str">
        <f t="shared" si="4"/>
        <v>Due To TF</v>
      </c>
    </row>
    <row r="11" spans="1:14" x14ac:dyDescent="0.25">
      <c r="A11" s="148" t="s">
        <v>14</v>
      </c>
      <c r="B11" s="149">
        <v>3921856</v>
      </c>
      <c r="C11" s="149">
        <v>60906</v>
      </c>
      <c r="D11" s="149">
        <f t="shared" si="5"/>
        <v>3982762</v>
      </c>
      <c r="E11" s="145">
        <v>4896029.4400000004</v>
      </c>
      <c r="F11" s="150">
        <v>0</v>
      </c>
      <c r="G11" s="145">
        <v>192860.00000000003</v>
      </c>
      <c r="H11" s="145">
        <f t="shared" si="0"/>
        <v>5088889.4400000004</v>
      </c>
      <c r="I11" s="145">
        <v>951550.36</v>
      </c>
      <c r="J11" s="145">
        <v>3982762</v>
      </c>
      <c r="K11" s="145">
        <f t="shared" si="1"/>
        <v>4934312.3600000003</v>
      </c>
      <c r="L11" s="145">
        <f t="shared" si="2"/>
        <v>0</v>
      </c>
      <c r="M11" s="145">
        <f t="shared" si="3"/>
        <v>154577.08000000007</v>
      </c>
      <c r="N11" s="151" t="str">
        <f t="shared" si="4"/>
        <v>Due To TF</v>
      </c>
    </row>
    <row r="12" spans="1:14" x14ac:dyDescent="0.25">
      <c r="A12" s="148" t="s">
        <v>15</v>
      </c>
      <c r="B12" s="149">
        <v>6853711</v>
      </c>
      <c r="C12" s="149">
        <v>108932</v>
      </c>
      <c r="D12" s="149">
        <f t="shared" si="5"/>
        <v>6962643</v>
      </c>
      <c r="E12" s="145">
        <v>7702031.96</v>
      </c>
      <c r="F12" s="150">
        <v>0</v>
      </c>
      <c r="G12" s="145">
        <v>339531</v>
      </c>
      <c r="H12" s="145">
        <f t="shared" si="0"/>
        <v>8041562.96</v>
      </c>
      <c r="I12" s="145">
        <v>773808.63000000012</v>
      </c>
      <c r="J12" s="145">
        <v>6962643</v>
      </c>
      <c r="K12" s="145">
        <f t="shared" si="1"/>
        <v>7736451.6299999999</v>
      </c>
      <c r="L12" s="145">
        <f t="shared" si="2"/>
        <v>0</v>
      </c>
      <c r="M12" s="145">
        <f t="shared" si="3"/>
        <v>305111.33000000007</v>
      </c>
      <c r="N12" s="151" t="str">
        <f t="shared" si="4"/>
        <v>Due To TF</v>
      </c>
    </row>
    <row r="13" spans="1:14" x14ac:dyDescent="0.25">
      <c r="A13" s="148" t="s">
        <v>16</v>
      </c>
      <c r="B13" s="149">
        <v>1634421</v>
      </c>
      <c r="C13" s="149">
        <v>29701</v>
      </c>
      <c r="D13" s="149">
        <f t="shared" si="5"/>
        <v>1664122</v>
      </c>
      <c r="E13" s="145">
        <v>1200815.6600000001</v>
      </c>
      <c r="F13" s="150">
        <v>63741</v>
      </c>
      <c r="G13" s="145">
        <v>84693</v>
      </c>
      <c r="H13" s="145">
        <f t="shared" si="0"/>
        <v>1349249.6600000001</v>
      </c>
      <c r="I13" s="145">
        <v>0</v>
      </c>
      <c r="J13" s="145">
        <v>1607452.8199999998</v>
      </c>
      <c r="K13" s="145">
        <f t="shared" si="1"/>
        <v>1607452.8199999998</v>
      </c>
      <c r="L13" s="145">
        <f t="shared" si="2"/>
        <v>-56669.180000000168</v>
      </c>
      <c r="M13" s="145">
        <f t="shared" si="3"/>
        <v>-258203.15999999968</v>
      </c>
      <c r="N13" s="151" t="str">
        <f t="shared" si="4"/>
        <v>Due From TF</v>
      </c>
    </row>
    <row r="14" spans="1:14" x14ac:dyDescent="0.25">
      <c r="A14" s="148" t="s">
        <v>17</v>
      </c>
      <c r="B14" s="149">
        <v>857813</v>
      </c>
      <c r="C14" s="149">
        <v>14134</v>
      </c>
      <c r="D14" s="149">
        <f t="shared" si="5"/>
        <v>871947</v>
      </c>
      <c r="E14" s="145">
        <v>837309.31</v>
      </c>
      <c r="F14" s="150">
        <v>262761.5</v>
      </c>
      <c r="G14" s="145">
        <v>42996.000000000029</v>
      </c>
      <c r="H14" s="145">
        <f t="shared" si="0"/>
        <v>1143066.81</v>
      </c>
      <c r="I14" s="145">
        <v>12308.61</v>
      </c>
      <c r="J14" s="145">
        <v>870117.37999999989</v>
      </c>
      <c r="K14" s="145">
        <f t="shared" si="1"/>
        <v>882425.98999999987</v>
      </c>
      <c r="L14" s="145">
        <f t="shared" si="2"/>
        <v>-1829.6200000001118</v>
      </c>
      <c r="M14" s="145">
        <f t="shared" si="3"/>
        <v>260640.82000000018</v>
      </c>
      <c r="N14" s="151" t="str">
        <f t="shared" si="4"/>
        <v>Due To TF</v>
      </c>
    </row>
    <row r="15" spans="1:14" x14ac:dyDescent="0.25">
      <c r="A15" s="148" t="s">
        <v>18</v>
      </c>
      <c r="B15" s="149">
        <v>520945</v>
      </c>
      <c r="C15" s="149">
        <v>7892</v>
      </c>
      <c r="D15" s="149">
        <f t="shared" si="5"/>
        <v>528837</v>
      </c>
      <c r="E15" s="145">
        <v>282483.09999999998</v>
      </c>
      <c r="F15" s="150">
        <v>288614.33</v>
      </c>
      <c r="G15" s="145">
        <v>25419</v>
      </c>
      <c r="H15" s="145">
        <f t="shared" si="0"/>
        <v>596516.42999999993</v>
      </c>
      <c r="I15" s="145">
        <v>0</v>
      </c>
      <c r="J15" s="149">
        <v>528837</v>
      </c>
      <c r="K15" s="145">
        <f t="shared" si="1"/>
        <v>528837</v>
      </c>
      <c r="L15" s="145">
        <f t="shared" si="2"/>
        <v>0</v>
      </c>
      <c r="M15" s="145">
        <f t="shared" si="3"/>
        <v>67679.429999999935</v>
      </c>
      <c r="N15" s="151" t="str">
        <f t="shared" si="4"/>
        <v>Due To TF</v>
      </c>
    </row>
    <row r="16" spans="1:14" x14ac:dyDescent="0.25">
      <c r="A16" s="152" t="s">
        <v>19</v>
      </c>
      <c r="B16" s="153">
        <v>21034726</v>
      </c>
      <c r="C16" s="153">
        <v>442794</v>
      </c>
      <c r="D16" s="153">
        <f t="shared" si="5"/>
        <v>21477520</v>
      </c>
      <c r="E16" s="154">
        <v>21198304.600000001</v>
      </c>
      <c r="F16" s="155">
        <v>1958682.76</v>
      </c>
      <c r="G16" s="154">
        <v>1150524.9999999998</v>
      </c>
      <c r="H16" s="154">
        <f t="shared" si="0"/>
        <v>24307512.360000003</v>
      </c>
      <c r="I16" s="154">
        <v>423795.11</v>
      </c>
      <c r="J16" s="145">
        <v>21475879.960000001</v>
      </c>
      <c r="K16" s="154">
        <f t="shared" si="1"/>
        <v>21899675.07</v>
      </c>
      <c r="L16" s="154">
        <f t="shared" si="2"/>
        <v>-1640.0399999991059</v>
      </c>
      <c r="M16" s="145">
        <f t="shared" si="3"/>
        <v>2407837.2900000028</v>
      </c>
      <c r="N16" s="156" t="str">
        <f t="shared" si="4"/>
        <v>Due To TF</v>
      </c>
    </row>
    <row r="17" spans="1:14" x14ac:dyDescent="0.25">
      <c r="A17" s="148" t="s">
        <v>20</v>
      </c>
      <c r="B17" s="149">
        <v>7404024</v>
      </c>
      <c r="C17" s="149">
        <v>119646</v>
      </c>
      <c r="D17" s="149">
        <f t="shared" si="5"/>
        <v>7523670</v>
      </c>
      <c r="E17" s="145">
        <v>6704578.1699999999</v>
      </c>
      <c r="F17" s="150">
        <v>849144.49</v>
      </c>
      <c r="G17" s="145">
        <v>368760.99999999994</v>
      </c>
      <c r="H17" s="145">
        <f t="shared" si="0"/>
        <v>7922483.6600000001</v>
      </c>
      <c r="I17" s="145">
        <v>104865.4</v>
      </c>
      <c r="J17" s="145">
        <v>5910810.7100000009</v>
      </c>
      <c r="K17" s="145">
        <f t="shared" si="1"/>
        <v>6015676.1100000013</v>
      </c>
      <c r="L17" s="145">
        <f t="shared" si="2"/>
        <v>-1612859.2899999991</v>
      </c>
      <c r="M17" s="145">
        <f>H17-K17</f>
        <v>1906807.5499999989</v>
      </c>
      <c r="N17" s="151" t="str">
        <f t="shared" si="4"/>
        <v>Due To TF</v>
      </c>
    </row>
    <row r="18" spans="1:14" x14ac:dyDescent="0.25">
      <c r="A18" s="148" t="s">
        <v>21</v>
      </c>
      <c r="B18" s="149">
        <v>1946668</v>
      </c>
      <c r="C18" s="149">
        <v>35284</v>
      </c>
      <c r="D18" s="149">
        <f t="shared" si="5"/>
        <v>1981952</v>
      </c>
      <c r="E18" s="145">
        <v>2044263.65</v>
      </c>
      <c r="F18" s="150">
        <v>218148.25</v>
      </c>
      <c r="G18" s="145">
        <v>100782.00000000003</v>
      </c>
      <c r="H18" s="145">
        <f t="shared" si="0"/>
        <v>2363193.9</v>
      </c>
      <c r="I18" s="145">
        <v>0</v>
      </c>
      <c r="J18" s="145">
        <v>1981908.9999999995</v>
      </c>
      <c r="K18" s="145">
        <f t="shared" si="1"/>
        <v>1981908.9999999995</v>
      </c>
      <c r="L18" s="145">
        <f t="shared" si="2"/>
        <v>-43.000000000465661</v>
      </c>
      <c r="M18" s="145">
        <f t="shared" si="3"/>
        <v>381284.90000000037</v>
      </c>
      <c r="N18" s="151" t="str">
        <f t="shared" si="4"/>
        <v>Due To TF</v>
      </c>
    </row>
    <row r="19" spans="1:14" x14ac:dyDescent="0.25">
      <c r="A19" s="148" t="s">
        <v>22</v>
      </c>
      <c r="B19" s="149">
        <v>696031</v>
      </c>
      <c r="C19" s="149">
        <v>6985</v>
      </c>
      <c r="D19" s="149">
        <f t="shared" si="5"/>
        <v>703016</v>
      </c>
      <c r="E19" s="145">
        <v>305118.90000000002</v>
      </c>
      <c r="F19" s="150">
        <v>492596.66000000003</v>
      </c>
      <c r="G19" s="145">
        <v>30404</v>
      </c>
      <c r="H19" s="145">
        <f t="shared" si="0"/>
        <v>828119.56</v>
      </c>
      <c r="I19" s="145">
        <v>0</v>
      </c>
      <c r="J19" s="145">
        <v>679660.97</v>
      </c>
      <c r="K19" s="145">
        <f t="shared" si="1"/>
        <v>679660.97</v>
      </c>
      <c r="L19" s="145">
        <f t="shared" si="2"/>
        <v>-23355.030000000028</v>
      </c>
      <c r="M19" s="145">
        <f t="shared" si="3"/>
        <v>148458.59000000008</v>
      </c>
      <c r="N19" s="151" t="str">
        <f t="shared" si="4"/>
        <v>Due To TF</v>
      </c>
    </row>
    <row r="20" spans="1:14" x14ac:dyDescent="0.25">
      <c r="A20" s="148" t="s">
        <v>23</v>
      </c>
      <c r="B20" s="149">
        <v>1419926</v>
      </c>
      <c r="C20" s="149">
        <v>17296</v>
      </c>
      <c r="D20" s="149">
        <f t="shared" si="5"/>
        <v>1437222</v>
      </c>
      <c r="E20" s="145">
        <v>670457.91</v>
      </c>
      <c r="F20" s="150">
        <v>871989.5</v>
      </c>
      <c r="G20" s="145">
        <v>65069.999999999993</v>
      </c>
      <c r="H20" s="145">
        <f t="shared" si="0"/>
        <v>1607517.4100000001</v>
      </c>
      <c r="I20" s="145">
        <v>0</v>
      </c>
      <c r="J20" s="145">
        <v>1437221.9999999998</v>
      </c>
      <c r="K20" s="145">
        <f t="shared" si="1"/>
        <v>1437221.9999999998</v>
      </c>
      <c r="L20" s="145">
        <f t="shared" si="2"/>
        <v>0</v>
      </c>
      <c r="M20" s="145">
        <f t="shared" si="3"/>
        <v>170295.41000000038</v>
      </c>
      <c r="N20" s="151" t="str">
        <f t="shared" si="4"/>
        <v>Due To TF</v>
      </c>
    </row>
    <row r="21" spans="1:14" x14ac:dyDescent="0.25">
      <c r="A21" s="148" t="s">
        <v>24</v>
      </c>
      <c r="B21" s="149">
        <v>577120</v>
      </c>
      <c r="C21" s="149">
        <v>5186</v>
      </c>
      <c r="D21" s="149">
        <f t="shared" si="5"/>
        <v>582306</v>
      </c>
      <c r="E21" s="145">
        <v>318106.49</v>
      </c>
      <c r="F21" s="150">
        <v>306444.83</v>
      </c>
      <c r="G21" s="145">
        <v>24603</v>
      </c>
      <c r="H21" s="145">
        <f t="shared" si="0"/>
        <v>649154.32000000007</v>
      </c>
      <c r="I21" s="145">
        <v>0</v>
      </c>
      <c r="J21" s="145">
        <v>582306</v>
      </c>
      <c r="K21" s="145">
        <f t="shared" si="1"/>
        <v>582306</v>
      </c>
      <c r="L21" s="145">
        <f t="shared" si="2"/>
        <v>0</v>
      </c>
      <c r="M21" s="145">
        <f t="shared" si="3"/>
        <v>66848.320000000065</v>
      </c>
      <c r="N21" s="151" t="str">
        <f t="shared" si="4"/>
        <v>Due To TF</v>
      </c>
    </row>
    <row r="22" spans="1:14" x14ac:dyDescent="0.25">
      <c r="A22" s="148" t="s">
        <v>25</v>
      </c>
      <c r="B22" s="149">
        <v>597059</v>
      </c>
      <c r="C22" s="149">
        <v>7044</v>
      </c>
      <c r="D22" s="149">
        <f t="shared" si="5"/>
        <v>604103</v>
      </c>
      <c r="E22" s="145">
        <v>466897.54000000004</v>
      </c>
      <c r="F22" s="150">
        <v>152627.56999999998</v>
      </c>
      <c r="G22" s="145">
        <v>27132.999999999996</v>
      </c>
      <c r="H22" s="145">
        <f t="shared" si="0"/>
        <v>646658.11</v>
      </c>
      <c r="I22" s="145">
        <v>0</v>
      </c>
      <c r="J22" s="145">
        <v>594745.52</v>
      </c>
      <c r="K22" s="145">
        <f t="shared" si="1"/>
        <v>594745.52</v>
      </c>
      <c r="L22" s="145">
        <f t="shared" si="2"/>
        <v>-9357.4799999999814</v>
      </c>
      <c r="M22" s="145">
        <f t="shared" si="3"/>
        <v>51912.589999999967</v>
      </c>
      <c r="N22" s="151" t="str">
        <f t="shared" si="4"/>
        <v>Due To TF</v>
      </c>
    </row>
    <row r="23" spans="1:14" x14ac:dyDescent="0.25">
      <c r="A23" s="148" t="s">
        <v>26</v>
      </c>
      <c r="B23" s="149">
        <v>520062</v>
      </c>
      <c r="C23" s="149">
        <v>6908</v>
      </c>
      <c r="D23" s="149">
        <f t="shared" si="5"/>
        <v>526970</v>
      </c>
      <c r="E23" s="145">
        <v>309566.17999999993</v>
      </c>
      <c r="F23" s="150">
        <v>293736.83</v>
      </c>
      <c r="G23" s="145">
        <v>24406</v>
      </c>
      <c r="H23" s="145">
        <f t="shared" si="0"/>
        <v>627709.01</v>
      </c>
      <c r="I23" s="145">
        <v>0</v>
      </c>
      <c r="J23" s="145">
        <v>526969.99999999988</v>
      </c>
      <c r="K23" s="145">
        <f t="shared" si="1"/>
        <v>526969.99999999988</v>
      </c>
      <c r="L23" s="145">
        <f t="shared" si="2"/>
        <v>0</v>
      </c>
      <c r="M23" s="145">
        <f t="shared" si="3"/>
        <v>100739.01000000013</v>
      </c>
      <c r="N23" s="151" t="str">
        <f t="shared" si="4"/>
        <v>Due To TF</v>
      </c>
    </row>
    <row r="24" spans="1:14" x14ac:dyDescent="0.25">
      <c r="A24" s="148" t="s">
        <v>27</v>
      </c>
      <c r="B24" s="149">
        <v>630879</v>
      </c>
      <c r="C24" s="149">
        <v>7115</v>
      </c>
      <c r="D24" s="149">
        <f t="shared" si="5"/>
        <v>637994</v>
      </c>
      <c r="E24" s="145">
        <v>361645.36</v>
      </c>
      <c r="F24" s="150">
        <v>235261.41999999998</v>
      </c>
      <c r="G24" s="145">
        <v>28342</v>
      </c>
      <c r="H24" s="145">
        <f t="shared" si="0"/>
        <v>625248.78</v>
      </c>
      <c r="I24" s="145">
        <v>0</v>
      </c>
      <c r="J24" s="145">
        <v>626449.66999999993</v>
      </c>
      <c r="K24" s="145">
        <f t="shared" si="1"/>
        <v>626449.66999999993</v>
      </c>
      <c r="L24" s="145">
        <f t="shared" si="2"/>
        <v>-11544.330000000075</v>
      </c>
      <c r="M24" s="145">
        <f t="shared" si="3"/>
        <v>-1200.8899999998976</v>
      </c>
      <c r="N24" s="151" t="str">
        <f t="shared" si="4"/>
        <v>Due From TF</v>
      </c>
    </row>
    <row r="25" spans="1:14" x14ac:dyDescent="0.25">
      <c r="A25" s="148" t="s">
        <v>28</v>
      </c>
      <c r="B25" s="149">
        <v>953613</v>
      </c>
      <c r="C25" s="149">
        <v>11522</v>
      </c>
      <c r="D25" s="149">
        <f t="shared" si="5"/>
        <v>965135</v>
      </c>
      <c r="E25" s="145">
        <v>732248.28000000014</v>
      </c>
      <c r="F25" s="150">
        <v>538940.49</v>
      </c>
      <c r="G25" s="145">
        <v>43607.000000000015</v>
      </c>
      <c r="H25" s="145">
        <f t="shared" si="0"/>
        <v>1314795.77</v>
      </c>
      <c r="I25" s="145">
        <v>0</v>
      </c>
      <c r="J25" s="145">
        <v>802167.04</v>
      </c>
      <c r="K25" s="145">
        <f t="shared" si="1"/>
        <v>802167.04</v>
      </c>
      <c r="L25" s="145">
        <f t="shared" si="2"/>
        <v>-162967.95999999996</v>
      </c>
      <c r="M25" s="145">
        <f t="shared" si="3"/>
        <v>512628.73</v>
      </c>
      <c r="N25" s="151" t="str">
        <f t="shared" si="4"/>
        <v>Due To TF</v>
      </c>
    </row>
    <row r="26" spans="1:14" x14ac:dyDescent="0.25">
      <c r="A26" s="148" t="s">
        <v>29</v>
      </c>
      <c r="B26" s="149">
        <v>1346679</v>
      </c>
      <c r="C26" s="149">
        <v>14802</v>
      </c>
      <c r="D26" s="149">
        <f t="shared" si="5"/>
        <v>1361481</v>
      </c>
      <c r="E26" s="145">
        <v>1355493.1800000002</v>
      </c>
      <c r="F26" s="150">
        <v>317352</v>
      </c>
      <c r="G26" s="145">
        <v>60113.000000000051</v>
      </c>
      <c r="H26" s="145">
        <f t="shared" si="0"/>
        <v>1732958.1800000002</v>
      </c>
      <c r="I26" s="145">
        <v>231988.68</v>
      </c>
      <c r="J26" s="145">
        <v>1351875.2699999998</v>
      </c>
      <c r="K26" s="145">
        <f t="shared" si="1"/>
        <v>1583863.9499999997</v>
      </c>
      <c r="L26" s="145">
        <f t="shared" si="2"/>
        <v>-9605.7300000002142</v>
      </c>
      <c r="M26" s="145">
        <f t="shared" si="3"/>
        <v>149094.23000000045</v>
      </c>
      <c r="N26" s="151" t="str">
        <f t="shared" si="4"/>
        <v>Due To TF</v>
      </c>
    </row>
    <row r="27" spans="1:14" x14ac:dyDescent="0.25">
      <c r="A27" s="148" t="s">
        <v>30</v>
      </c>
      <c r="B27" s="149">
        <v>3649303</v>
      </c>
      <c r="C27" s="149">
        <v>61845</v>
      </c>
      <c r="D27" s="149">
        <f t="shared" si="5"/>
        <v>3711148</v>
      </c>
      <c r="E27" s="145">
        <v>4850632.41</v>
      </c>
      <c r="F27" s="150">
        <v>0</v>
      </c>
      <c r="G27" s="145">
        <v>184629</v>
      </c>
      <c r="H27" s="145">
        <f t="shared" si="0"/>
        <v>5035261.41</v>
      </c>
      <c r="I27" s="145">
        <v>1220369.78</v>
      </c>
      <c r="J27" s="145">
        <v>3275043.1999999997</v>
      </c>
      <c r="K27" s="145">
        <f t="shared" si="1"/>
        <v>4495412.9799999995</v>
      </c>
      <c r="L27" s="145">
        <f t="shared" si="2"/>
        <v>-436104.80000000028</v>
      </c>
      <c r="M27" s="145">
        <f t="shared" si="3"/>
        <v>539848.43000000063</v>
      </c>
      <c r="N27" s="151" t="str">
        <f t="shared" si="4"/>
        <v>Due To TF</v>
      </c>
    </row>
    <row r="28" spans="1:14" x14ac:dyDescent="0.25">
      <c r="A28" s="148" t="s">
        <v>31</v>
      </c>
      <c r="B28" s="149">
        <v>2098910</v>
      </c>
      <c r="C28" s="149">
        <v>30880</v>
      </c>
      <c r="D28" s="149">
        <f t="shared" si="5"/>
        <v>2129790</v>
      </c>
      <c r="E28" s="145">
        <v>1959772.05</v>
      </c>
      <c r="F28" s="150">
        <v>277774.25</v>
      </c>
      <c r="G28" s="145">
        <v>101500.0035176141</v>
      </c>
      <c r="H28" s="145">
        <f t="shared" si="0"/>
        <v>2339046.303517614</v>
      </c>
      <c r="I28" s="145">
        <v>42835.34</v>
      </c>
      <c r="J28" s="145">
        <v>2101590.94</v>
      </c>
      <c r="K28" s="145">
        <f t="shared" si="1"/>
        <v>2144426.2799999998</v>
      </c>
      <c r="L28" s="145">
        <f t="shared" si="2"/>
        <v>-28199.060000000056</v>
      </c>
      <c r="M28" s="145">
        <f t="shared" si="3"/>
        <v>194620.02351761423</v>
      </c>
      <c r="N28" s="151" t="str">
        <f t="shared" si="4"/>
        <v>Due To TF</v>
      </c>
    </row>
    <row r="29" spans="1:14" x14ac:dyDescent="0.25">
      <c r="A29" s="148" t="s">
        <v>32</v>
      </c>
      <c r="B29" s="149">
        <v>32409825</v>
      </c>
      <c r="C29" s="149">
        <v>593811</v>
      </c>
      <c r="D29" s="149">
        <f t="shared" si="5"/>
        <v>33003636</v>
      </c>
      <c r="E29" s="145">
        <v>29156550.610000003</v>
      </c>
      <c r="F29" s="150">
        <v>415670.57999999996</v>
      </c>
      <c r="G29" s="145">
        <v>1684267</v>
      </c>
      <c r="H29" s="145">
        <f t="shared" si="0"/>
        <v>31256488.190000001</v>
      </c>
      <c r="I29" s="145">
        <v>0</v>
      </c>
      <c r="J29" s="145">
        <v>33003635.999999996</v>
      </c>
      <c r="K29" s="145">
        <f t="shared" si="1"/>
        <v>33003635.999999996</v>
      </c>
      <c r="L29" s="145">
        <f t="shared" si="2"/>
        <v>0</v>
      </c>
      <c r="M29" s="145">
        <f t="shared" si="3"/>
        <v>-1747147.8099999949</v>
      </c>
      <c r="N29" s="151" t="str">
        <f t="shared" si="4"/>
        <v>Due From TF</v>
      </c>
    </row>
    <row r="30" spans="1:14" x14ac:dyDescent="0.25">
      <c r="A30" s="148" t="s">
        <v>33</v>
      </c>
      <c r="B30" s="149">
        <v>628002</v>
      </c>
      <c r="C30" s="149">
        <v>7876</v>
      </c>
      <c r="D30" s="149">
        <f t="shared" si="5"/>
        <v>635878</v>
      </c>
      <c r="E30" s="145">
        <v>531997.97</v>
      </c>
      <c r="F30" s="150">
        <v>158908.99</v>
      </c>
      <c r="G30" s="145">
        <v>29006.000000000004</v>
      </c>
      <c r="H30" s="145">
        <f t="shared" si="0"/>
        <v>719912.95999999996</v>
      </c>
      <c r="I30" s="145">
        <v>0</v>
      </c>
      <c r="J30" s="145">
        <v>635175.51</v>
      </c>
      <c r="K30" s="145">
        <f t="shared" si="1"/>
        <v>635175.51</v>
      </c>
      <c r="L30" s="145">
        <f t="shared" si="2"/>
        <v>-702.48999999999069</v>
      </c>
      <c r="M30" s="145">
        <f t="shared" si="3"/>
        <v>84737.449999999953</v>
      </c>
      <c r="N30" s="151" t="str">
        <f t="shared" si="4"/>
        <v>Due To TF</v>
      </c>
    </row>
    <row r="31" spans="1:14" x14ac:dyDescent="0.25">
      <c r="A31" s="148" t="s">
        <v>34</v>
      </c>
      <c r="B31" s="149">
        <v>3153394</v>
      </c>
      <c r="C31" s="149">
        <v>44873</v>
      </c>
      <c r="D31" s="149">
        <f t="shared" si="5"/>
        <v>3198267</v>
      </c>
      <c r="E31" s="145">
        <v>3663096.8200000003</v>
      </c>
      <c r="F31" s="150">
        <v>123154</v>
      </c>
      <c r="G31" s="145">
        <v>150972.00000000003</v>
      </c>
      <c r="H31" s="145">
        <f t="shared" si="0"/>
        <v>3937222.8200000003</v>
      </c>
      <c r="I31" s="145">
        <v>467622.77999999997</v>
      </c>
      <c r="J31" s="145">
        <v>3195113.4799999995</v>
      </c>
      <c r="K31" s="145">
        <f t="shared" si="1"/>
        <v>3662736.2599999993</v>
      </c>
      <c r="L31" s="145">
        <f t="shared" si="2"/>
        <v>-3153.5200000004843</v>
      </c>
      <c r="M31" s="145">
        <f t="shared" si="3"/>
        <v>274486.56000000099</v>
      </c>
      <c r="N31" s="151" t="str">
        <f t="shared" si="4"/>
        <v>Due To TF</v>
      </c>
    </row>
    <row r="32" spans="1:14" x14ac:dyDescent="0.25">
      <c r="A32" s="148" t="s">
        <v>35</v>
      </c>
      <c r="B32" s="149">
        <v>1173541</v>
      </c>
      <c r="C32" s="149">
        <v>14929</v>
      </c>
      <c r="D32" s="149">
        <f t="shared" si="5"/>
        <v>1188470</v>
      </c>
      <c r="E32" s="150">
        <v>789029.97000000009</v>
      </c>
      <c r="F32" s="150">
        <v>402699.42</v>
      </c>
      <c r="G32" s="145">
        <v>54414.000000000051</v>
      </c>
      <c r="H32" s="145">
        <f t="shared" si="0"/>
        <v>1246143.3900000001</v>
      </c>
      <c r="I32" s="145">
        <v>0</v>
      </c>
      <c r="J32" s="145">
        <v>1157296.98</v>
      </c>
      <c r="K32" s="145">
        <f t="shared" si="1"/>
        <v>1157296.98</v>
      </c>
      <c r="L32" s="145">
        <f t="shared" si="2"/>
        <v>-31173.020000000019</v>
      </c>
      <c r="M32" s="145">
        <f>H32-K32</f>
        <v>88846.410000000149</v>
      </c>
      <c r="N32" s="151" t="str">
        <f t="shared" si="4"/>
        <v>Due To TF</v>
      </c>
    </row>
    <row r="33" spans="1:14" x14ac:dyDescent="0.25">
      <c r="A33" s="148" t="s">
        <v>36</v>
      </c>
      <c r="B33" s="149">
        <v>530898</v>
      </c>
      <c r="C33" s="149">
        <v>6779</v>
      </c>
      <c r="D33" s="149">
        <f t="shared" si="5"/>
        <v>537677</v>
      </c>
      <c r="E33" s="145">
        <v>371583.88999999996</v>
      </c>
      <c r="F33" s="150">
        <v>171450</v>
      </c>
      <c r="G33" s="145">
        <v>24641</v>
      </c>
      <c r="H33" s="145">
        <f t="shared" si="0"/>
        <v>567674.8899999999</v>
      </c>
      <c r="I33" s="145">
        <v>0</v>
      </c>
      <c r="J33" s="145">
        <v>537677</v>
      </c>
      <c r="K33" s="145">
        <f t="shared" si="1"/>
        <v>537677</v>
      </c>
      <c r="L33" s="145">
        <f t="shared" si="2"/>
        <v>0</v>
      </c>
      <c r="M33" s="145">
        <f t="shared" si="3"/>
        <v>29997.889999999898</v>
      </c>
      <c r="N33" s="151" t="str">
        <f t="shared" si="4"/>
        <v>Due To TF</v>
      </c>
    </row>
    <row r="34" spans="1:14" x14ac:dyDescent="0.25">
      <c r="A34" s="148" t="s">
        <v>37</v>
      </c>
      <c r="B34" s="149">
        <v>324489</v>
      </c>
      <c r="C34" s="149">
        <v>1948</v>
      </c>
      <c r="D34" s="149">
        <f t="shared" si="5"/>
        <v>326437</v>
      </c>
      <c r="E34" s="145">
        <v>107877.16000000002</v>
      </c>
      <c r="F34" s="150">
        <v>228830.5</v>
      </c>
      <c r="G34" s="145">
        <v>12866.000000000004</v>
      </c>
      <c r="H34" s="145">
        <f t="shared" ref="H34:H68" si="6">SUM(E34:G34)</f>
        <v>349573.66000000003</v>
      </c>
      <c r="I34" s="145">
        <v>0</v>
      </c>
      <c r="J34" s="145">
        <v>326437</v>
      </c>
      <c r="K34" s="145">
        <f t="shared" si="1"/>
        <v>326437</v>
      </c>
      <c r="L34" s="145">
        <f t="shared" si="2"/>
        <v>0</v>
      </c>
      <c r="M34" s="145">
        <f t="shared" si="3"/>
        <v>23136.660000000033</v>
      </c>
      <c r="N34" s="151" t="str">
        <f t="shared" si="4"/>
        <v>Due To TF</v>
      </c>
    </row>
    <row r="35" spans="1:14" x14ac:dyDescent="0.25">
      <c r="A35" s="148" t="s">
        <v>38</v>
      </c>
      <c r="B35" s="149">
        <v>6602454</v>
      </c>
      <c r="C35" s="149">
        <v>107803</v>
      </c>
      <c r="D35" s="149">
        <f t="shared" si="5"/>
        <v>6710257</v>
      </c>
      <c r="E35" s="145">
        <v>6847147</v>
      </c>
      <c r="F35" s="150">
        <v>0</v>
      </c>
      <c r="G35" s="145">
        <v>329948</v>
      </c>
      <c r="H35" s="145">
        <f t="shared" si="6"/>
        <v>7177095</v>
      </c>
      <c r="I35" s="145">
        <v>405099</v>
      </c>
      <c r="J35" s="145">
        <v>6612664.6899999995</v>
      </c>
      <c r="K35" s="145">
        <f t="shared" si="1"/>
        <v>7017763.6899999995</v>
      </c>
      <c r="L35" s="145">
        <f t="shared" si="2"/>
        <v>-97592.310000000522</v>
      </c>
      <c r="M35" s="145">
        <f t="shared" si="3"/>
        <v>159331.31000000052</v>
      </c>
      <c r="N35" s="151" t="str">
        <f t="shared" si="4"/>
        <v>Due To TF</v>
      </c>
    </row>
    <row r="36" spans="1:14" x14ac:dyDescent="0.25">
      <c r="A36" s="148" t="s">
        <v>39</v>
      </c>
      <c r="B36" s="149">
        <v>12492314</v>
      </c>
      <c r="C36" s="149">
        <v>207803</v>
      </c>
      <c r="D36" s="149">
        <f t="shared" si="5"/>
        <v>12700117</v>
      </c>
      <c r="E36" s="145">
        <v>18278427.870000001</v>
      </c>
      <c r="F36" s="150">
        <v>0</v>
      </c>
      <c r="G36" s="145">
        <v>628117.99999999977</v>
      </c>
      <c r="H36" s="145">
        <f t="shared" si="6"/>
        <v>18906545.870000001</v>
      </c>
      <c r="I36" s="145">
        <v>4311390.47</v>
      </c>
      <c r="J36" s="145">
        <v>12700117.000000002</v>
      </c>
      <c r="K36" s="145">
        <f t="shared" si="1"/>
        <v>17011507.470000003</v>
      </c>
      <c r="L36" s="145">
        <f t="shared" si="2"/>
        <v>0</v>
      </c>
      <c r="M36" s="145">
        <f t="shared" si="3"/>
        <v>1895038.3999999985</v>
      </c>
      <c r="N36" s="151" t="str">
        <f t="shared" si="4"/>
        <v>Due To TF</v>
      </c>
    </row>
    <row r="37" spans="1:14" x14ac:dyDescent="0.25">
      <c r="A37" s="152" t="s">
        <v>40</v>
      </c>
      <c r="B37" s="153">
        <v>6281452</v>
      </c>
      <c r="C37" s="153">
        <v>107817</v>
      </c>
      <c r="D37" s="153">
        <f t="shared" si="5"/>
        <v>6389269</v>
      </c>
      <c r="E37" s="154">
        <v>5350507.8199999994</v>
      </c>
      <c r="F37" s="155">
        <v>1704849.42</v>
      </c>
      <c r="G37" s="154">
        <v>319161</v>
      </c>
      <c r="H37" s="154">
        <f t="shared" si="6"/>
        <v>7374518.2399999993</v>
      </c>
      <c r="I37" s="154">
        <v>149653.17000000001</v>
      </c>
      <c r="J37" s="154">
        <v>6388261.9299999997</v>
      </c>
      <c r="K37" s="154">
        <f t="shared" si="1"/>
        <v>6537915.0999999996</v>
      </c>
      <c r="L37" s="154">
        <f t="shared" si="2"/>
        <v>-1007.070000000298</v>
      </c>
      <c r="M37" s="145">
        <f t="shared" si="3"/>
        <v>836603.13999999966</v>
      </c>
      <c r="N37" s="156" t="str">
        <f t="shared" si="4"/>
        <v>Due To TF</v>
      </c>
    </row>
    <row r="38" spans="1:14" x14ac:dyDescent="0.25">
      <c r="A38" s="148" t="s">
        <v>41</v>
      </c>
      <c r="B38" s="149">
        <v>1199087</v>
      </c>
      <c r="C38" s="149">
        <v>21898</v>
      </c>
      <c r="D38" s="149">
        <f t="shared" si="5"/>
        <v>1220985</v>
      </c>
      <c r="E38" s="145">
        <v>883099.86999999988</v>
      </c>
      <c r="F38" s="150">
        <v>362786.49</v>
      </c>
      <c r="G38" s="145">
        <v>62241.999999999956</v>
      </c>
      <c r="H38" s="145">
        <f t="shared" si="6"/>
        <v>1308128.3599999999</v>
      </c>
      <c r="I38" s="145">
        <v>0</v>
      </c>
      <c r="J38" s="145">
        <v>1146798.0900000001</v>
      </c>
      <c r="K38" s="145">
        <f t="shared" si="1"/>
        <v>1146798.0900000001</v>
      </c>
      <c r="L38" s="145">
        <f t="shared" si="2"/>
        <v>-74186.909999999916</v>
      </c>
      <c r="M38" s="145">
        <f t="shared" si="3"/>
        <v>161330.26999999979</v>
      </c>
      <c r="N38" s="151" t="str">
        <f t="shared" si="4"/>
        <v>Due To TF</v>
      </c>
    </row>
    <row r="39" spans="1:14" x14ac:dyDescent="0.25">
      <c r="A39" s="148" t="s">
        <v>42</v>
      </c>
      <c r="B39" s="149">
        <v>335293</v>
      </c>
      <c r="C39" s="149">
        <v>4163</v>
      </c>
      <c r="D39" s="149">
        <f t="shared" si="5"/>
        <v>339456</v>
      </c>
      <c r="E39" s="145">
        <v>154618.61999999997</v>
      </c>
      <c r="F39" s="150">
        <v>183164.74</v>
      </c>
      <c r="G39" s="145">
        <v>15444</v>
      </c>
      <c r="H39" s="145">
        <f t="shared" si="6"/>
        <v>353227.36</v>
      </c>
      <c r="I39" s="145">
        <v>0</v>
      </c>
      <c r="J39" s="145">
        <v>339456.00000000006</v>
      </c>
      <c r="K39" s="145">
        <f t="shared" si="1"/>
        <v>339456.00000000006</v>
      </c>
      <c r="L39" s="145">
        <f t="shared" si="2"/>
        <v>0</v>
      </c>
      <c r="M39" s="145">
        <f t="shared" si="3"/>
        <v>13771.359999999928</v>
      </c>
      <c r="N39" s="151" t="str">
        <f t="shared" si="4"/>
        <v>Due To TF</v>
      </c>
    </row>
    <row r="40" spans="1:14" x14ac:dyDescent="0.25">
      <c r="A40" s="148" t="s">
        <v>43</v>
      </c>
      <c r="B40" s="149">
        <v>596369</v>
      </c>
      <c r="C40" s="149">
        <v>10937</v>
      </c>
      <c r="D40" s="149">
        <f t="shared" si="5"/>
        <v>607306</v>
      </c>
      <c r="E40" s="145">
        <v>653118.80999999994</v>
      </c>
      <c r="F40" s="150">
        <v>68096.239999999991</v>
      </c>
      <c r="G40" s="145">
        <v>31002.000000000004</v>
      </c>
      <c r="H40" s="145">
        <f t="shared" si="6"/>
        <v>752217.04999999993</v>
      </c>
      <c r="I40" s="145">
        <v>75460.070000000007</v>
      </c>
      <c r="J40" s="145">
        <v>577782.26000000013</v>
      </c>
      <c r="K40" s="145">
        <f t="shared" si="1"/>
        <v>653242.33000000007</v>
      </c>
      <c r="L40" s="145">
        <f t="shared" si="2"/>
        <v>-29523.739999999874</v>
      </c>
      <c r="M40" s="145">
        <f t="shared" si="3"/>
        <v>98974.719999999856</v>
      </c>
      <c r="N40" s="151" t="str">
        <f t="shared" si="4"/>
        <v>Due To TF</v>
      </c>
    </row>
    <row r="41" spans="1:14" x14ac:dyDescent="0.25">
      <c r="A41" s="148" t="s">
        <v>44</v>
      </c>
      <c r="B41" s="149">
        <v>6336095</v>
      </c>
      <c r="C41" s="149">
        <v>105192</v>
      </c>
      <c r="D41" s="149">
        <f t="shared" si="5"/>
        <v>6441287</v>
      </c>
      <c r="E41" s="145">
        <v>7207594.6800000016</v>
      </c>
      <c r="F41" s="150">
        <v>0</v>
      </c>
      <c r="G41" s="145">
        <v>318375</v>
      </c>
      <c r="H41" s="145">
        <f t="shared" si="6"/>
        <v>7525969.6800000016</v>
      </c>
      <c r="I41" s="145">
        <v>872595.64</v>
      </c>
      <c r="J41" s="145">
        <v>6100259.4800000004</v>
      </c>
      <c r="K41" s="145">
        <f t="shared" si="1"/>
        <v>6972855.1200000001</v>
      </c>
      <c r="L41" s="145">
        <f t="shared" si="2"/>
        <v>-341027.51999999955</v>
      </c>
      <c r="M41" s="145">
        <f t="shared" si="3"/>
        <v>553114.56000000145</v>
      </c>
      <c r="N41" s="151" t="str">
        <f t="shared" si="4"/>
        <v>Due To TF</v>
      </c>
    </row>
    <row r="42" spans="1:14" x14ac:dyDescent="0.25">
      <c r="A42" s="148" t="s">
        <v>45</v>
      </c>
      <c r="B42" s="149">
        <v>6978601</v>
      </c>
      <c r="C42" s="149">
        <v>110205</v>
      </c>
      <c r="D42" s="149">
        <f t="shared" si="5"/>
        <v>7088806</v>
      </c>
      <c r="E42" s="145">
        <v>7934509.8800000008</v>
      </c>
      <c r="F42" s="150">
        <v>0</v>
      </c>
      <c r="G42" s="145">
        <v>345006</v>
      </c>
      <c r="H42" s="145">
        <f t="shared" si="6"/>
        <v>8279515.8800000008</v>
      </c>
      <c r="I42" s="145">
        <v>292562.96999999997</v>
      </c>
      <c r="J42" s="145">
        <v>6746262.6999999993</v>
      </c>
      <c r="K42" s="145">
        <f t="shared" si="1"/>
        <v>7038825.669999999</v>
      </c>
      <c r="L42" s="145">
        <f t="shared" si="2"/>
        <v>-342543.30000000075</v>
      </c>
      <c r="M42" s="145">
        <f t="shared" si="3"/>
        <v>1240690.2100000018</v>
      </c>
      <c r="N42" s="151" t="str">
        <f t="shared" si="4"/>
        <v>Due To TF</v>
      </c>
    </row>
    <row r="43" spans="1:14" x14ac:dyDescent="0.25">
      <c r="A43" s="148" t="s">
        <v>46</v>
      </c>
      <c r="B43" s="149">
        <v>3707306</v>
      </c>
      <c r="C43" s="149">
        <v>55965</v>
      </c>
      <c r="D43" s="149">
        <f t="shared" si="5"/>
        <v>3763271</v>
      </c>
      <c r="E43" s="145">
        <v>3729516.5700000008</v>
      </c>
      <c r="F43" s="150">
        <v>386671</v>
      </c>
      <c r="G43" s="145">
        <v>180699.99785222</v>
      </c>
      <c r="H43" s="145">
        <f t="shared" si="6"/>
        <v>4296887.5678522205</v>
      </c>
      <c r="I43" s="145">
        <v>118001.72</v>
      </c>
      <c r="J43" s="145">
        <v>3763271</v>
      </c>
      <c r="K43" s="145">
        <f t="shared" si="1"/>
        <v>3881272.72</v>
      </c>
      <c r="L43" s="145">
        <f t="shared" si="2"/>
        <v>0</v>
      </c>
      <c r="M43" s="145">
        <f t="shared" si="3"/>
        <v>415614.84785222029</v>
      </c>
      <c r="N43" s="151" t="str">
        <f t="shared" si="4"/>
        <v>Due To TF</v>
      </c>
    </row>
    <row r="44" spans="1:14" x14ac:dyDescent="0.25">
      <c r="A44" s="158" t="s">
        <v>47</v>
      </c>
      <c r="B44" s="149">
        <v>75608322</v>
      </c>
      <c r="C44" s="149">
        <v>1358050</v>
      </c>
      <c r="D44" s="149">
        <f t="shared" si="5"/>
        <v>76966372</v>
      </c>
      <c r="E44" s="145">
        <v>78053250.229999989</v>
      </c>
      <c r="F44" s="150">
        <v>10682.92</v>
      </c>
      <c r="G44" s="145">
        <v>3901956</v>
      </c>
      <c r="H44" s="145">
        <f t="shared" si="6"/>
        <v>81965889.149999991</v>
      </c>
      <c r="I44" s="145">
        <v>4430486.18</v>
      </c>
      <c r="J44" s="145">
        <v>76966372</v>
      </c>
      <c r="K44" s="145">
        <f t="shared" si="1"/>
        <v>81396858.180000007</v>
      </c>
      <c r="L44" s="145">
        <f t="shared" si="2"/>
        <v>0</v>
      </c>
      <c r="M44" s="145">
        <f t="shared" si="3"/>
        <v>569030.96999998391</v>
      </c>
      <c r="N44" s="151" t="str">
        <f t="shared" si="4"/>
        <v>Due To TF</v>
      </c>
    </row>
    <row r="45" spans="1:14" x14ac:dyDescent="0.25">
      <c r="A45" s="148" t="s">
        <v>48</v>
      </c>
      <c r="B45" s="149">
        <v>3742987</v>
      </c>
      <c r="C45" s="149">
        <v>61251</v>
      </c>
      <c r="D45" s="149">
        <f t="shared" si="5"/>
        <v>3804238</v>
      </c>
      <c r="E45" s="145">
        <v>3198226.39</v>
      </c>
      <c r="F45" s="150">
        <v>1415023.84</v>
      </c>
      <c r="G45" s="145">
        <v>187187</v>
      </c>
      <c r="H45" s="145">
        <f t="shared" si="6"/>
        <v>4800437.2300000004</v>
      </c>
      <c r="I45" s="145">
        <v>0</v>
      </c>
      <c r="J45" s="145">
        <v>3804238</v>
      </c>
      <c r="K45" s="145">
        <f t="shared" si="1"/>
        <v>3804238</v>
      </c>
      <c r="L45" s="145">
        <f t="shared" si="2"/>
        <v>0</v>
      </c>
      <c r="M45" s="145">
        <f t="shared" si="3"/>
        <v>996199.23000000045</v>
      </c>
      <c r="N45" s="151" t="str">
        <f t="shared" si="4"/>
        <v>Due To TF</v>
      </c>
    </row>
    <row r="46" spans="1:14" x14ac:dyDescent="0.25">
      <c r="A46" s="148" t="s">
        <v>49</v>
      </c>
      <c r="B46" s="149">
        <v>1663309</v>
      </c>
      <c r="C46" s="149">
        <v>26370</v>
      </c>
      <c r="D46" s="149">
        <f t="shared" si="5"/>
        <v>1689679</v>
      </c>
      <c r="E46" s="145">
        <v>1562088.24</v>
      </c>
      <c r="F46" s="150">
        <v>306226.5</v>
      </c>
      <c r="G46" s="145">
        <v>82332.999999999971</v>
      </c>
      <c r="H46" s="145">
        <f t="shared" si="6"/>
        <v>1950647.74</v>
      </c>
      <c r="I46" s="145">
        <v>35994.519999999997</v>
      </c>
      <c r="J46" s="145">
        <v>1631334.51</v>
      </c>
      <c r="K46" s="145">
        <f t="shared" si="1"/>
        <v>1667329.03</v>
      </c>
      <c r="L46" s="145">
        <f t="shared" si="2"/>
        <v>-58344.489999999991</v>
      </c>
      <c r="M46" s="145">
        <f t="shared" si="3"/>
        <v>283318.70999999996</v>
      </c>
      <c r="N46" s="151" t="str">
        <f t="shared" si="4"/>
        <v>Due To TF</v>
      </c>
    </row>
    <row r="47" spans="1:14" x14ac:dyDescent="0.25">
      <c r="A47" s="148" t="s">
        <v>50</v>
      </c>
      <c r="B47" s="149">
        <v>3905634</v>
      </c>
      <c r="C47" s="149">
        <v>68519</v>
      </c>
      <c r="D47" s="149">
        <f t="shared" si="5"/>
        <v>3974153</v>
      </c>
      <c r="E47" s="145">
        <v>4055734.55</v>
      </c>
      <c r="F47" s="150">
        <v>0</v>
      </c>
      <c r="G47" s="145">
        <v>199927.0020865259</v>
      </c>
      <c r="H47" s="145">
        <f t="shared" si="6"/>
        <v>4255661.5520865256</v>
      </c>
      <c r="I47" s="145">
        <v>262000.72999999998</v>
      </c>
      <c r="J47" s="145">
        <v>3974152.9999999995</v>
      </c>
      <c r="K47" s="145">
        <f t="shared" si="1"/>
        <v>4236153.7299999995</v>
      </c>
      <c r="L47" s="145">
        <f t="shared" si="2"/>
        <v>0</v>
      </c>
      <c r="M47" s="145">
        <f t="shared" si="3"/>
        <v>19507.822086526081</v>
      </c>
      <c r="N47" s="151" t="str">
        <f t="shared" si="4"/>
        <v>Due To TF</v>
      </c>
    </row>
    <row r="48" spans="1:14" x14ac:dyDescent="0.25">
      <c r="A48" s="148" t="s">
        <v>51</v>
      </c>
      <c r="B48" s="149">
        <v>1346684</v>
      </c>
      <c r="C48" s="149">
        <v>20961</v>
      </c>
      <c r="D48" s="149">
        <f t="shared" si="5"/>
        <v>1367645</v>
      </c>
      <c r="E48" s="145">
        <v>1323797.54</v>
      </c>
      <c r="F48" s="150">
        <v>469996.35999999987</v>
      </c>
      <c r="G48" s="145">
        <v>66272.000000000058</v>
      </c>
      <c r="H48" s="145">
        <f t="shared" si="6"/>
        <v>1860065.9</v>
      </c>
      <c r="I48" s="145">
        <v>60991.48</v>
      </c>
      <c r="J48" s="145">
        <v>1364419</v>
      </c>
      <c r="K48" s="145">
        <f t="shared" si="1"/>
        <v>1425410.48</v>
      </c>
      <c r="L48" s="145">
        <f t="shared" si="2"/>
        <v>-3226</v>
      </c>
      <c r="M48" s="145">
        <f t="shared" si="3"/>
        <v>434655.41999999993</v>
      </c>
      <c r="N48" s="151" t="str">
        <f t="shared" si="4"/>
        <v>Due To TF</v>
      </c>
    </row>
    <row r="49" spans="1:14" x14ac:dyDescent="0.25">
      <c r="A49" s="148" t="s">
        <v>52</v>
      </c>
      <c r="B49" s="149">
        <v>31053783</v>
      </c>
      <c r="C49" s="149">
        <v>580443</v>
      </c>
      <c r="D49" s="149">
        <f t="shared" si="5"/>
        <v>31634226</v>
      </c>
      <c r="E49" s="145">
        <v>40237265.549999997</v>
      </c>
      <c r="F49" s="150">
        <v>0</v>
      </c>
      <c r="G49" s="145">
        <v>1625268</v>
      </c>
      <c r="H49" s="145">
        <f t="shared" si="6"/>
        <v>41862533.549999997</v>
      </c>
      <c r="I49" s="145">
        <v>9923909.8300000001</v>
      </c>
      <c r="J49" s="145">
        <v>31634226</v>
      </c>
      <c r="K49" s="145">
        <f t="shared" si="1"/>
        <v>41558135.829999998</v>
      </c>
      <c r="L49" s="145">
        <f t="shared" si="2"/>
        <v>0</v>
      </c>
      <c r="M49" s="145">
        <f t="shared" si="3"/>
        <v>304397.71999999881</v>
      </c>
      <c r="N49" s="151" t="str">
        <f t="shared" si="4"/>
        <v>Due To TF</v>
      </c>
    </row>
    <row r="50" spans="1:14" x14ac:dyDescent="0.25">
      <c r="A50" s="148" t="s">
        <v>53</v>
      </c>
      <c r="B50" s="149">
        <v>8245248</v>
      </c>
      <c r="C50" s="149">
        <v>140244</v>
      </c>
      <c r="D50" s="149">
        <f t="shared" si="5"/>
        <v>8385492</v>
      </c>
      <c r="E50" s="145">
        <v>10656685.43</v>
      </c>
      <c r="F50" s="150">
        <v>0</v>
      </c>
      <c r="G50" s="145">
        <v>417662.00000000006</v>
      </c>
      <c r="H50" s="145">
        <f t="shared" si="6"/>
        <v>11074347.43</v>
      </c>
      <c r="I50" s="145">
        <v>2370186.8600000003</v>
      </c>
      <c r="J50" s="145">
        <v>7551863.0600000015</v>
      </c>
      <c r="K50" s="145">
        <f t="shared" si="1"/>
        <v>9922049.9200000018</v>
      </c>
      <c r="L50" s="145">
        <f t="shared" si="2"/>
        <v>-833628.93999999855</v>
      </c>
      <c r="M50" s="154">
        <f t="shared" si="3"/>
        <v>1152297.5099999979</v>
      </c>
      <c r="N50" s="151" t="str">
        <f t="shared" si="4"/>
        <v>Due To TF</v>
      </c>
    </row>
    <row r="51" spans="1:14" x14ac:dyDescent="0.25">
      <c r="A51" s="152" t="s">
        <v>54</v>
      </c>
      <c r="B51" s="153">
        <v>32093204</v>
      </c>
      <c r="C51" s="153">
        <v>480934</v>
      </c>
      <c r="D51" s="153">
        <f t="shared" si="5"/>
        <v>32574138</v>
      </c>
      <c r="E51" s="154">
        <v>28991225.839999996</v>
      </c>
      <c r="F51" s="155">
        <v>2673370.58</v>
      </c>
      <c r="G51" s="154">
        <v>1560737.9999999995</v>
      </c>
      <c r="H51" s="154">
        <f t="shared" si="6"/>
        <v>33225334.419999994</v>
      </c>
      <c r="I51" s="154">
        <v>0</v>
      </c>
      <c r="J51" s="154">
        <v>31892324.080000002</v>
      </c>
      <c r="K51" s="154">
        <f t="shared" si="1"/>
        <v>31892324.080000002</v>
      </c>
      <c r="L51" s="154">
        <f t="shared" si="2"/>
        <v>-681813.91999999806</v>
      </c>
      <c r="M51" s="145">
        <f t="shared" si="3"/>
        <v>1333010.3399999924</v>
      </c>
      <c r="N51" s="156" t="str">
        <f t="shared" si="4"/>
        <v>Due To TF</v>
      </c>
    </row>
    <row r="52" spans="1:14" x14ac:dyDescent="0.25">
      <c r="A52" s="148" t="s">
        <v>55</v>
      </c>
      <c r="B52" s="149">
        <v>12307689</v>
      </c>
      <c r="C52" s="149">
        <v>156001</v>
      </c>
      <c r="D52" s="149">
        <f t="shared" si="5"/>
        <v>12463690</v>
      </c>
      <c r="E52" s="145">
        <v>10616717.539999999</v>
      </c>
      <c r="F52" s="150">
        <v>3880535.33</v>
      </c>
      <c r="G52" s="145">
        <v>570104.00000000047</v>
      </c>
      <c r="H52" s="145">
        <f t="shared" si="6"/>
        <v>15067356.869999999</v>
      </c>
      <c r="I52" s="145">
        <v>0</v>
      </c>
      <c r="J52" s="145">
        <v>12463690</v>
      </c>
      <c r="K52" s="145">
        <f t="shared" si="1"/>
        <v>12463690</v>
      </c>
      <c r="L52" s="145">
        <f t="shared" si="2"/>
        <v>0</v>
      </c>
      <c r="M52" s="145">
        <f t="shared" si="3"/>
        <v>2603666.8699999992</v>
      </c>
      <c r="N52" s="151" t="str">
        <f t="shared" si="4"/>
        <v>Due To TF</v>
      </c>
    </row>
    <row r="53" spans="1:14" x14ac:dyDescent="0.25">
      <c r="A53" s="148" t="s">
        <v>56</v>
      </c>
      <c r="B53" s="149">
        <v>23958734</v>
      </c>
      <c r="C53" s="149">
        <v>340178</v>
      </c>
      <c r="D53" s="149">
        <f t="shared" si="5"/>
        <v>24298912</v>
      </c>
      <c r="E53" s="145">
        <v>18948864.620000001</v>
      </c>
      <c r="F53" s="150">
        <v>2381948.25</v>
      </c>
      <c r="G53" s="145">
        <v>1146290.0019722381</v>
      </c>
      <c r="H53" s="145">
        <f t="shared" si="6"/>
        <v>22477102.871972241</v>
      </c>
      <c r="I53" s="145">
        <v>0</v>
      </c>
      <c r="J53" s="145">
        <v>24298911.999999996</v>
      </c>
      <c r="K53" s="145">
        <f t="shared" si="1"/>
        <v>24298911.999999996</v>
      </c>
      <c r="L53" s="145">
        <f t="shared" si="2"/>
        <v>0</v>
      </c>
      <c r="M53" s="145">
        <f t="shared" si="3"/>
        <v>-1821809.1280277558</v>
      </c>
      <c r="N53" s="151" t="str">
        <f t="shared" si="4"/>
        <v>Due From TF</v>
      </c>
    </row>
    <row r="54" spans="1:14" x14ac:dyDescent="0.25">
      <c r="A54" s="148" t="s">
        <v>57</v>
      </c>
      <c r="B54" s="149">
        <v>13278182</v>
      </c>
      <c r="C54" s="149">
        <v>270709</v>
      </c>
      <c r="D54" s="149">
        <f t="shared" si="5"/>
        <v>13548891</v>
      </c>
      <c r="E54" s="145">
        <v>17604194.23</v>
      </c>
      <c r="F54" s="150">
        <v>0</v>
      </c>
      <c r="G54" s="145">
        <v>717465.00000000023</v>
      </c>
      <c r="H54" s="145">
        <f t="shared" si="6"/>
        <v>18321659.23</v>
      </c>
      <c r="I54" s="145">
        <v>4902313.95</v>
      </c>
      <c r="J54" s="145">
        <v>13548891</v>
      </c>
      <c r="K54" s="145">
        <f t="shared" si="1"/>
        <v>18451204.949999999</v>
      </c>
      <c r="L54" s="145">
        <f t="shared" si="2"/>
        <v>0</v>
      </c>
      <c r="M54" s="145">
        <f t="shared" si="3"/>
        <v>-129545.71999999881</v>
      </c>
      <c r="N54" s="151" t="str">
        <f t="shared" si="4"/>
        <v>Due From TF</v>
      </c>
    </row>
    <row r="55" spans="1:14" x14ac:dyDescent="0.25">
      <c r="A55" s="148" t="s">
        <v>58</v>
      </c>
      <c r="B55" s="149">
        <v>2282612</v>
      </c>
      <c r="C55" s="149">
        <v>32282</v>
      </c>
      <c r="D55" s="149">
        <f t="shared" si="5"/>
        <v>2314894</v>
      </c>
      <c r="E55" s="145">
        <v>1371766.86</v>
      </c>
      <c r="F55" s="150">
        <v>1569062.25</v>
      </c>
      <c r="G55" s="145">
        <v>109081.99999999999</v>
      </c>
      <c r="H55" s="145">
        <f t="shared" si="6"/>
        <v>3049911.1100000003</v>
      </c>
      <c r="I55" s="145">
        <v>0</v>
      </c>
      <c r="J55" s="145">
        <v>2249357.9700000002</v>
      </c>
      <c r="K55" s="145">
        <f t="shared" si="1"/>
        <v>2249357.9700000002</v>
      </c>
      <c r="L55" s="145">
        <f t="shared" si="2"/>
        <v>-65536.029999999795</v>
      </c>
      <c r="M55" s="145">
        <f t="shared" si="3"/>
        <v>800553.14000000013</v>
      </c>
      <c r="N55" s="151" t="str">
        <f t="shared" si="4"/>
        <v>Due To TF</v>
      </c>
    </row>
    <row r="56" spans="1:14" x14ac:dyDescent="0.25">
      <c r="A56" s="148" t="s">
        <v>59</v>
      </c>
      <c r="B56" s="149">
        <v>3849915</v>
      </c>
      <c r="C56" s="149">
        <v>70298</v>
      </c>
      <c r="D56" s="149">
        <f t="shared" si="5"/>
        <v>3920213</v>
      </c>
      <c r="E56" s="145">
        <v>5339240.97</v>
      </c>
      <c r="F56" s="150">
        <v>0</v>
      </c>
      <c r="G56" s="145">
        <v>199831.99999999997</v>
      </c>
      <c r="H56" s="145">
        <f t="shared" si="6"/>
        <v>5539072.9699999997</v>
      </c>
      <c r="I56" s="145">
        <v>1840727.82</v>
      </c>
      <c r="J56" s="145">
        <v>3918153.9000000004</v>
      </c>
      <c r="K56" s="145">
        <f t="shared" si="1"/>
        <v>5758881.7200000007</v>
      </c>
      <c r="L56" s="145">
        <f t="shared" si="2"/>
        <v>-2059.0999999996275</v>
      </c>
      <c r="M56" s="145">
        <f t="shared" si="3"/>
        <v>-219808.75000000093</v>
      </c>
      <c r="N56" s="151" t="str">
        <f t="shared" si="4"/>
        <v>Due From TF</v>
      </c>
    </row>
    <row r="57" spans="1:14" x14ac:dyDescent="0.25">
      <c r="A57" s="148" t="s">
        <v>60</v>
      </c>
      <c r="B57" s="149">
        <v>7079178</v>
      </c>
      <c r="C57" s="149">
        <v>113672</v>
      </c>
      <c r="D57" s="149">
        <f t="shared" si="5"/>
        <v>7192850</v>
      </c>
      <c r="E57" s="145">
        <v>7560080.1399999997</v>
      </c>
      <c r="F57" s="150">
        <v>54425.33</v>
      </c>
      <c r="G57" s="145">
        <v>351857</v>
      </c>
      <c r="H57" s="145">
        <f t="shared" si="6"/>
        <v>7966362.4699999997</v>
      </c>
      <c r="I57" s="145">
        <v>0</v>
      </c>
      <c r="J57" s="145">
        <v>7192850</v>
      </c>
      <c r="K57" s="145">
        <f t="shared" si="1"/>
        <v>7192850</v>
      </c>
      <c r="L57" s="145">
        <f t="shared" si="2"/>
        <v>0</v>
      </c>
      <c r="M57" s="145">
        <f t="shared" si="3"/>
        <v>773512.46999999974</v>
      </c>
      <c r="N57" s="151" t="str">
        <f t="shared" si="4"/>
        <v>Due To TF</v>
      </c>
    </row>
    <row r="58" spans="1:14" x14ac:dyDescent="0.25">
      <c r="A58" s="148" t="s">
        <v>61</v>
      </c>
      <c r="B58" s="149">
        <v>3399223</v>
      </c>
      <c r="C58" s="149">
        <v>63982</v>
      </c>
      <c r="D58" s="149">
        <f t="shared" si="5"/>
        <v>3463205</v>
      </c>
      <c r="E58" s="145">
        <v>4039460.2600000002</v>
      </c>
      <c r="F58" s="150">
        <v>0</v>
      </c>
      <c r="G58" s="145">
        <v>178351.99999999997</v>
      </c>
      <c r="H58" s="145">
        <f t="shared" si="6"/>
        <v>4217812.26</v>
      </c>
      <c r="I58" s="145">
        <v>686872.3</v>
      </c>
      <c r="J58" s="145">
        <v>3463205</v>
      </c>
      <c r="K58" s="145">
        <f t="shared" si="1"/>
        <v>4150077.3</v>
      </c>
      <c r="L58" s="145">
        <f t="shared" si="2"/>
        <v>0</v>
      </c>
      <c r="M58" s="145">
        <f t="shared" si="3"/>
        <v>67734.959999999963</v>
      </c>
      <c r="N58" s="151" t="str">
        <f t="shared" si="4"/>
        <v>Due To TF</v>
      </c>
    </row>
    <row r="59" spans="1:14" x14ac:dyDescent="0.25">
      <c r="A59" s="148" t="s">
        <v>62</v>
      </c>
      <c r="B59" s="149">
        <v>8647310</v>
      </c>
      <c r="C59" s="149">
        <v>149132</v>
      </c>
      <c r="D59" s="149">
        <f t="shared" si="5"/>
        <v>8796442</v>
      </c>
      <c r="E59" s="145">
        <v>8589687.4800000004</v>
      </c>
      <c r="F59" s="150">
        <v>1353990.67</v>
      </c>
      <c r="G59" s="145">
        <v>440078.00000000012</v>
      </c>
      <c r="H59" s="145">
        <f t="shared" si="6"/>
        <v>10383756.15</v>
      </c>
      <c r="I59" s="145">
        <v>88968.75</v>
      </c>
      <c r="J59" s="145">
        <v>8621228.1699999999</v>
      </c>
      <c r="K59" s="145">
        <f t="shared" si="1"/>
        <v>8710196.9199999999</v>
      </c>
      <c r="L59" s="145">
        <f t="shared" si="2"/>
        <v>-175213.83000000007</v>
      </c>
      <c r="M59" s="145">
        <f t="shared" si="3"/>
        <v>1673559.2300000004</v>
      </c>
      <c r="N59" s="151" t="str">
        <f t="shared" si="4"/>
        <v>Due To TF</v>
      </c>
    </row>
    <row r="60" spans="1:14" x14ac:dyDescent="0.25">
      <c r="A60" s="148" t="s">
        <v>63</v>
      </c>
      <c r="B60" s="149">
        <v>9412788</v>
      </c>
      <c r="C60" s="149">
        <v>138551</v>
      </c>
      <c r="D60" s="149">
        <f t="shared" si="5"/>
        <v>9551339</v>
      </c>
      <c r="E60" s="145">
        <v>9343180.0600000005</v>
      </c>
      <c r="F60" s="150">
        <v>218956</v>
      </c>
      <c r="G60" s="145">
        <v>455252.998763407</v>
      </c>
      <c r="H60" s="145">
        <f t="shared" si="6"/>
        <v>10017389.058763407</v>
      </c>
      <c r="I60" s="145">
        <v>394287.1</v>
      </c>
      <c r="J60" s="145">
        <v>9551338.9999999981</v>
      </c>
      <c r="K60" s="145">
        <f t="shared" si="1"/>
        <v>9945626.0999999978</v>
      </c>
      <c r="L60" s="145">
        <f t="shared" si="2"/>
        <v>0</v>
      </c>
      <c r="M60" s="145">
        <f t="shared" si="3"/>
        <v>71762.958763409406</v>
      </c>
      <c r="N60" s="151" t="str">
        <f t="shared" si="4"/>
        <v>Due To TF</v>
      </c>
    </row>
    <row r="61" spans="1:14" x14ac:dyDescent="0.25">
      <c r="A61" s="148" t="s">
        <v>64</v>
      </c>
      <c r="B61" s="149">
        <v>2037216</v>
      </c>
      <c r="C61" s="149">
        <v>38126</v>
      </c>
      <c r="D61" s="149">
        <f t="shared" si="5"/>
        <v>2075342</v>
      </c>
      <c r="E61" s="145">
        <v>2828616.34</v>
      </c>
      <c r="F61" s="150">
        <v>0</v>
      </c>
      <c r="G61" s="145">
        <v>106670.00000000003</v>
      </c>
      <c r="H61" s="145">
        <f t="shared" si="6"/>
        <v>2935286.34</v>
      </c>
      <c r="I61" s="145">
        <v>786707.15999999992</v>
      </c>
      <c r="J61" s="145">
        <v>2075342</v>
      </c>
      <c r="K61" s="145">
        <f t="shared" si="1"/>
        <v>2862049.16</v>
      </c>
      <c r="L61" s="145">
        <f t="shared" si="2"/>
        <v>0</v>
      </c>
      <c r="M61" s="145">
        <f t="shared" si="3"/>
        <v>73237.179999999702</v>
      </c>
      <c r="N61" s="151" t="str">
        <f t="shared" si="4"/>
        <v>Due To TF</v>
      </c>
    </row>
    <row r="62" spans="1:14" x14ac:dyDescent="0.25">
      <c r="A62" s="148" t="s">
        <v>65</v>
      </c>
      <c r="B62" s="149">
        <v>1247899</v>
      </c>
      <c r="C62" s="149">
        <v>14656</v>
      </c>
      <c r="D62" s="149">
        <f t="shared" si="5"/>
        <v>1262555</v>
      </c>
      <c r="E62" s="145">
        <v>1045940.3200000001</v>
      </c>
      <c r="F62" s="150">
        <v>227474.25</v>
      </c>
      <c r="G62" s="145">
        <v>56642.999999999993</v>
      </c>
      <c r="H62" s="145">
        <f t="shared" si="6"/>
        <v>1330057.57</v>
      </c>
      <c r="I62" s="145">
        <v>11170.62</v>
      </c>
      <c r="J62" s="145">
        <v>1262554.9999999998</v>
      </c>
      <c r="K62" s="145">
        <f t="shared" si="1"/>
        <v>1273725.6199999999</v>
      </c>
      <c r="L62" s="145">
        <f>J62-D62</f>
        <v>0</v>
      </c>
      <c r="M62" s="145">
        <f t="shared" si="3"/>
        <v>56331.950000000186</v>
      </c>
      <c r="N62" s="151" t="str">
        <f t="shared" si="4"/>
        <v>Due To TF</v>
      </c>
    </row>
    <row r="63" spans="1:14" x14ac:dyDescent="0.25">
      <c r="A63" s="152" t="s">
        <v>66</v>
      </c>
      <c r="B63" s="153">
        <v>598530</v>
      </c>
      <c r="C63" s="153">
        <v>8557</v>
      </c>
      <c r="D63" s="153">
        <f t="shared" si="5"/>
        <v>607087</v>
      </c>
      <c r="E63" s="154">
        <v>439653.69</v>
      </c>
      <c r="F63" s="155">
        <v>195366.92</v>
      </c>
      <c r="G63" s="154">
        <v>28695</v>
      </c>
      <c r="H63" s="154">
        <f t="shared" si="6"/>
        <v>663715.61</v>
      </c>
      <c r="I63" s="154">
        <v>0</v>
      </c>
      <c r="J63" s="154">
        <v>605000.79</v>
      </c>
      <c r="K63" s="154">
        <f t="shared" si="1"/>
        <v>605000.79</v>
      </c>
      <c r="L63" s="154">
        <f t="shared" si="2"/>
        <v>-2086.2099999999627</v>
      </c>
      <c r="M63" s="145">
        <f t="shared" si="3"/>
        <v>58714.819999999949</v>
      </c>
      <c r="N63" s="156" t="str">
        <f t="shared" si="4"/>
        <v>Due To TF</v>
      </c>
    </row>
    <row r="64" spans="1:14" x14ac:dyDescent="0.25">
      <c r="A64" s="152" t="s">
        <v>67</v>
      </c>
      <c r="B64" s="153">
        <v>513694</v>
      </c>
      <c r="C64" s="153">
        <v>3045</v>
      </c>
      <c r="D64" s="153">
        <f t="shared" si="5"/>
        <v>516739</v>
      </c>
      <c r="E64" s="154">
        <v>147247.45000000001</v>
      </c>
      <c r="F64" s="155">
        <v>411319.42</v>
      </c>
      <c r="G64" s="154">
        <v>20329.999999999996</v>
      </c>
      <c r="H64" s="154">
        <f t="shared" si="6"/>
        <v>578896.87</v>
      </c>
      <c r="I64" s="154">
        <v>0</v>
      </c>
      <c r="J64" s="154">
        <v>516739.00000000006</v>
      </c>
      <c r="K64" s="154">
        <f t="shared" si="1"/>
        <v>516739.00000000006</v>
      </c>
      <c r="L64" s="154">
        <f t="shared" si="2"/>
        <v>0</v>
      </c>
      <c r="M64" s="145">
        <f t="shared" si="3"/>
        <v>62157.869999999937</v>
      </c>
      <c r="N64" s="156" t="str">
        <f t="shared" si="4"/>
        <v>Due To TF</v>
      </c>
    </row>
    <row r="65" spans="1:15" x14ac:dyDescent="0.25">
      <c r="A65" s="148" t="s">
        <v>68</v>
      </c>
      <c r="B65" s="149">
        <v>12454523</v>
      </c>
      <c r="C65" s="149">
        <v>231109</v>
      </c>
      <c r="D65" s="149">
        <f t="shared" si="5"/>
        <v>12685632</v>
      </c>
      <c r="E65" s="145">
        <v>12078860.829999998</v>
      </c>
      <c r="F65" s="150">
        <v>551507</v>
      </c>
      <c r="G65" s="145">
        <v>650152</v>
      </c>
      <c r="H65" s="145">
        <f t="shared" si="6"/>
        <v>13280519.829999998</v>
      </c>
      <c r="I65" s="145">
        <v>229639.92</v>
      </c>
      <c r="J65" s="145">
        <v>12102278.640000001</v>
      </c>
      <c r="K65" s="145">
        <f t="shared" si="1"/>
        <v>12331918.560000001</v>
      </c>
      <c r="L65" s="145">
        <f t="shared" si="2"/>
        <v>-583353.3599999994</v>
      </c>
      <c r="M65" s="145">
        <f t="shared" si="3"/>
        <v>948601.26999999769</v>
      </c>
      <c r="N65" s="151" t="str">
        <f t="shared" si="4"/>
        <v>Due To TF</v>
      </c>
    </row>
    <row r="66" spans="1:15" x14ac:dyDescent="0.25">
      <c r="A66" s="148" t="s">
        <v>69</v>
      </c>
      <c r="B66" s="149">
        <v>735015</v>
      </c>
      <c r="C66" s="149">
        <v>12073</v>
      </c>
      <c r="D66" s="149">
        <f t="shared" si="5"/>
        <v>747088</v>
      </c>
      <c r="E66" s="145">
        <v>622487.96</v>
      </c>
      <c r="F66" s="150">
        <v>177636.76</v>
      </c>
      <c r="G66" s="145">
        <v>36803</v>
      </c>
      <c r="H66" s="145">
        <f t="shared" si="6"/>
        <v>836927.72</v>
      </c>
      <c r="I66" s="145">
        <v>0</v>
      </c>
      <c r="J66" s="145">
        <v>747087.99999999988</v>
      </c>
      <c r="K66" s="145">
        <f>SUM(I66:J66)</f>
        <v>747087.99999999988</v>
      </c>
      <c r="L66" s="145">
        <f>J66-D66</f>
        <v>0</v>
      </c>
      <c r="M66" s="145">
        <f>H66-K66</f>
        <v>89839.720000000088</v>
      </c>
      <c r="N66" s="151" t="str">
        <f>_xlfn.IFS(M66&gt;0,"Due To TF",M66&lt;0,"Due From TF")</f>
        <v>Due To TF</v>
      </c>
    </row>
    <row r="67" spans="1:15" x14ac:dyDescent="0.25">
      <c r="A67" s="148" t="s">
        <v>70</v>
      </c>
      <c r="B67" s="149">
        <v>1773887</v>
      </c>
      <c r="C67" s="149">
        <v>31995</v>
      </c>
      <c r="D67" s="149">
        <f>B67+C67</f>
        <v>1805882</v>
      </c>
      <c r="E67" s="145">
        <v>1915016.1600000004</v>
      </c>
      <c r="F67" s="150">
        <v>397079.75</v>
      </c>
      <c r="G67" s="145">
        <v>91679.000000000029</v>
      </c>
      <c r="H67" s="145">
        <f t="shared" si="6"/>
        <v>2403774.91</v>
      </c>
      <c r="I67" s="145">
        <v>150759.81</v>
      </c>
      <c r="J67" s="145">
        <v>1805882.0000000002</v>
      </c>
      <c r="K67" s="145">
        <f>SUM(I67:J67)</f>
        <v>1956641.8100000003</v>
      </c>
      <c r="L67" s="145">
        <f>J67-D67</f>
        <v>0</v>
      </c>
      <c r="M67" s="145">
        <f>H67-K67</f>
        <v>447133.09999999986</v>
      </c>
      <c r="N67" s="151" t="str">
        <f>_xlfn.IFS(M67&gt;0,"Due To TF",M67&lt;0,"Due From TF")</f>
        <v>Due To TF</v>
      </c>
    </row>
    <row r="68" spans="1:15" ht="16.5" thickBot="1" x14ac:dyDescent="0.3">
      <c r="A68" s="159" t="s">
        <v>71</v>
      </c>
      <c r="B68" s="160">
        <v>836178</v>
      </c>
      <c r="C68" s="160">
        <v>11310</v>
      </c>
      <c r="D68" s="160">
        <f>B68+C68</f>
        <v>847488</v>
      </c>
      <c r="E68" s="160">
        <v>519821.06</v>
      </c>
      <c r="F68" s="161">
        <v>383428.16</v>
      </c>
      <c r="G68" s="162">
        <v>39444</v>
      </c>
      <c r="H68" s="162">
        <f t="shared" si="6"/>
        <v>942693.22</v>
      </c>
      <c r="I68" s="162">
        <v>0</v>
      </c>
      <c r="J68" s="162">
        <v>847488.00000000012</v>
      </c>
      <c r="K68" s="162">
        <f>SUM(I68:J68)</f>
        <v>847488.00000000012</v>
      </c>
      <c r="L68" s="162">
        <f>J68-D68</f>
        <v>0</v>
      </c>
      <c r="M68" s="162">
        <f>H68-K68</f>
        <v>95205.219999999856</v>
      </c>
      <c r="N68" s="163" t="str">
        <f>_xlfn.IFS(M68&gt;0,"Due To TF",M68&lt;0,"Due From TF")</f>
        <v>Due To TF</v>
      </c>
    </row>
    <row r="69" spans="1:15" ht="16.5" thickBot="1" x14ac:dyDescent="0.3">
      <c r="A69" s="164"/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6"/>
      <c r="O69" s="167"/>
    </row>
    <row r="70" spans="1:15" s="174" customFormat="1" ht="16.5" thickBot="1" x14ac:dyDescent="0.3">
      <c r="A70" s="168" t="s">
        <v>191</v>
      </c>
      <c r="B70" s="169">
        <f>SUM(B2:B68)</f>
        <v>474436051</v>
      </c>
      <c r="C70" s="169">
        <f>SUM(C2:C68)</f>
        <v>8000000</v>
      </c>
      <c r="D70" s="169">
        <f>SUM(D2:D68)</f>
        <v>482436051</v>
      </c>
      <c r="E70" s="170">
        <f t="shared" ref="E70:M70" si="7">SUM(E2:E68)</f>
        <v>480185161.48000002</v>
      </c>
      <c r="F70" s="135">
        <f>SUM(F2:F68)</f>
        <v>39804651.999999985</v>
      </c>
      <c r="G70" s="135">
        <f t="shared" si="7"/>
        <v>23962804.002642356</v>
      </c>
      <c r="H70" s="171">
        <f t="shared" si="7"/>
        <v>543952617.48264253</v>
      </c>
      <c r="I70" s="172">
        <f t="shared" si="7"/>
        <v>38937765.970000006</v>
      </c>
      <c r="J70" s="137">
        <f t="shared" si="7"/>
        <v>476422500.83999991</v>
      </c>
      <c r="K70" s="173">
        <f t="shared" si="7"/>
        <v>515360266.81000012</v>
      </c>
      <c r="L70" s="181">
        <f>SUM(L2:L68)</f>
        <v>-6013550.1599999955</v>
      </c>
      <c r="M70" s="169">
        <f t="shared" si="7"/>
        <v>28592350.672642343</v>
      </c>
      <c r="N70" s="147"/>
    </row>
    <row r="71" spans="1:15" x14ac:dyDescent="0.25">
      <c r="K71" s="178"/>
      <c r="L71" s="175"/>
      <c r="M71" s="175"/>
    </row>
    <row r="72" spans="1:15" x14ac:dyDescent="0.25">
      <c r="M72" s="178"/>
    </row>
    <row r="73" spans="1:15" s="177" customFormat="1" x14ac:dyDescent="0.25">
      <c r="I73" s="179"/>
    </row>
  </sheetData>
  <autoFilter ref="A1:N1" xr:uid="{6E7C197F-08F3-4E3C-89AD-6E6A6466593E}">
    <sortState xmlns:xlrd2="http://schemas.microsoft.com/office/spreadsheetml/2017/richdata2" ref="A2:N68">
      <sortCondition ref="A1"/>
    </sortState>
  </autoFilter>
  <pageMargins left="0.5" right="0.5" top="0.5" bottom="1" header="0.25" footer="0.25"/>
  <pageSetup paperSize="5" scale="57" fitToHeight="0" orientation="landscape" r:id="rId1"/>
  <headerFooter>
    <oddFooter xml:space="preserve">&amp;L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C2CE-573A-4762-A078-523C65BA83B5}">
  <sheetPr>
    <tabColor rgb="FF0070C0"/>
    <pageSetUpPr fitToPage="1"/>
  </sheetPr>
  <dimension ref="A1:B8"/>
  <sheetViews>
    <sheetView zoomScale="120" zoomScaleNormal="120" workbookViewId="0">
      <selection activeCell="B18" sqref="B18"/>
    </sheetView>
  </sheetViews>
  <sheetFormatPr defaultRowHeight="21" x14ac:dyDescent="0.35"/>
  <cols>
    <col min="1" max="1" width="91.85546875" style="1" customWidth="1"/>
    <col min="2" max="2" width="26.85546875" style="1" customWidth="1"/>
    <col min="3" max="3" width="3.85546875" style="1" customWidth="1"/>
    <col min="4" max="16384" width="9.140625" style="1"/>
  </cols>
  <sheetData>
    <row r="1" spans="1:2" x14ac:dyDescent="0.35">
      <c r="A1" s="508" t="s">
        <v>174</v>
      </c>
      <c r="B1" s="508"/>
    </row>
    <row r="2" spans="1:2" ht="39.75" customHeight="1" x14ac:dyDescent="0.35"/>
    <row r="3" spans="1:2" x14ac:dyDescent="0.35">
      <c r="A3" s="131" t="s">
        <v>176</v>
      </c>
      <c r="B3" s="125">
        <v>458473245</v>
      </c>
    </row>
    <row r="4" spans="1:2" x14ac:dyDescent="0.35">
      <c r="A4" s="131" t="s">
        <v>175</v>
      </c>
      <c r="B4" s="126">
        <v>480185161.49000001</v>
      </c>
    </row>
    <row r="5" spans="1:2" x14ac:dyDescent="0.35">
      <c r="A5" s="131" t="s">
        <v>171</v>
      </c>
      <c r="B5" s="127">
        <f>B4-B3</f>
        <v>21711916.49000001</v>
      </c>
    </row>
    <row r="6" spans="1:2" x14ac:dyDescent="0.35">
      <c r="A6" s="131" t="s">
        <v>172</v>
      </c>
      <c r="B6" s="125">
        <f>B5/2</f>
        <v>10855958.245000005</v>
      </c>
    </row>
    <row r="7" spans="1:2" x14ac:dyDescent="0.35">
      <c r="A7" s="131" t="s">
        <v>173</v>
      </c>
      <c r="B7" s="128">
        <f>B6*-0.1</f>
        <v>-1085595.8245000006</v>
      </c>
    </row>
    <row r="8" spans="1:2" x14ac:dyDescent="0.35">
      <c r="A8" s="129" t="s">
        <v>177</v>
      </c>
      <c r="B8" s="130">
        <f>B6+B7</f>
        <v>9770362.4205000047</v>
      </c>
    </row>
  </sheetData>
  <mergeCells count="1">
    <mergeCell ref="A1:B1"/>
  </mergeCells>
  <printOptions horizontalCentered="1"/>
  <pageMargins left="0.5" right="0.5" top="1" bottom="1" header="0.5" footer="0.5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New Revenue Summary </vt:lpstr>
      <vt:lpstr>Issue Requests </vt:lpstr>
      <vt:lpstr>Jury Shortfall Calc. </vt:lpstr>
      <vt:lpstr>BUDGET CALCULATION</vt:lpstr>
      <vt:lpstr>FRS Calc.   </vt:lpstr>
      <vt:lpstr>New Judges Calc. </vt:lpstr>
      <vt:lpstr>WWM Applied to $519.8m </vt:lpstr>
      <vt:lpstr>Unspent Budgeted Funds (23-24) </vt:lpstr>
      <vt:lpstr>Cumulative Excess (23-24) </vt:lpstr>
      <vt:lpstr>Revenue Projections </vt:lpstr>
      <vt:lpstr>Reduction Exercise </vt:lpstr>
      <vt:lpstr>Peer Group Comparison </vt:lpstr>
      <vt:lpstr>'BUDGET CALCULATION'!Print_Area</vt:lpstr>
      <vt:lpstr>'Cumulative Excess (23-24) '!Print_Area</vt:lpstr>
      <vt:lpstr>'Jury Shortfall Calc. '!Print_Area</vt:lpstr>
      <vt:lpstr>'BUDGET CALCULATION'!Print_Titles</vt:lpstr>
      <vt:lpstr>'Issue Requests '!Print_Titles</vt:lpstr>
      <vt:lpstr>'Jury Shortfall Calc. '!Print_Titles</vt:lpstr>
      <vt:lpstr>'Peer Group Comparison '!Print_Titles</vt:lpstr>
      <vt:lpstr>'Reduction Exercise '!Print_Titles</vt:lpstr>
      <vt:lpstr>'Unspent Budgeted Funds (23-24) '!Print_Titles</vt:lpstr>
      <vt:lpstr>'WWM Applied to $519.8m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 Kolchakian</dc:creator>
  <cp:lastModifiedBy>Griffin Kolchakian</cp:lastModifiedBy>
  <cp:lastPrinted>2025-08-01T15:13:42Z</cp:lastPrinted>
  <dcterms:created xsi:type="dcterms:W3CDTF">2025-01-09T19:25:27Z</dcterms:created>
  <dcterms:modified xsi:type="dcterms:W3CDTF">2025-08-19T18:18:30Z</dcterms:modified>
</cp:coreProperties>
</file>