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olchakian.FLCCOC\Desktop\"/>
    </mc:Choice>
  </mc:AlternateContent>
  <xr:revisionPtr revIDLastSave="0" documentId="13_ncr:1_{705C2E06-B4CC-44A1-8C13-87D6AF0BE3C9}" xr6:coauthVersionLast="47" xr6:coauthVersionMax="47" xr10:uidLastSave="{00000000-0000-0000-0000-000000000000}"/>
  <bookViews>
    <workbookView xWindow="-120" yWindow="-120" windowWidth="29040" windowHeight="15840" tabRatio="850" xr2:uid="{4D2301C5-9DA6-4710-ACA7-4EBB4FDAF0F8}"/>
  </bookViews>
  <sheets>
    <sheet name="New Revenue Summary" sheetId="19" r:id="rId1"/>
    <sheet name="Issue Requests " sheetId="17" r:id="rId2"/>
    <sheet name="Jury Shortfall Calc. " sheetId="18" r:id="rId3"/>
    <sheet name="New Judges Formula" sheetId="22" r:id="rId4"/>
    <sheet name="BUDGET CALCULATION " sheetId="23" r:id="rId5"/>
    <sheet name="FRS Calc.   " sheetId="2" r:id="rId6"/>
    <sheet name="&quot;Glitch&quot; Fix Allocation " sheetId="14" r:id="rId7"/>
    <sheet name="New Judges Calc. (1 FTE per)" sheetId="21" r:id="rId8"/>
    <sheet name="3% S&amp;B Increase" sheetId="26" r:id="rId9"/>
    <sheet name="Jury Allocation Calc. " sheetId="24" r:id="rId10"/>
    <sheet name="Unspent Budgeted Funds (22-23)" sheetId="4" r:id="rId11"/>
    <sheet name="Cumulative Excess (22-23) " sheetId="3" r:id="rId12"/>
    <sheet name="Peer Group Comparison " sheetId="27" r:id="rId13"/>
    <sheet name="Reduction Exercise " sheetId="28" r:id="rId14"/>
  </sheets>
  <externalReferences>
    <externalReference r:id="rId15"/>
    <externalReference r:id="rId16"/>
    <externalReference r:id="rId17"/>
    <externalReference r:id="rId18"/>
  </externalReferences>
  <definedNames>
    <definedName name="_xlnm._FilterDatabase" localSheetId="6" hidden="1">'"Glitch" Fix Allocation '!$A$1:$D$1</definedName>
    <definedName name="_xlnm._FilterDatabase" localSheetId="4" hidden="1">'BUDGET CALCULATION '!$A$1:$S$68</definedName>
    <definedName name="_xlnm._FilterDatabase" localSheetId="5" hidden="1">'FRS Calc.   '!$A$1:$E$299</definedName>
    <definedName name="_xlnm._FilterDatabase" localSheetId="1" hidden="1">'Issue Requests '!$A$1:$V$1</definedName>
    <definedName name="_xlnm._FilterDatabase" localSheetId="9" hidden="1">'Jury Allocation Calc. '!$A$3:$C$3</definedName>
    <definedName name="_xlnm._FilterDatabase" localSheetId="7" hidden="1">'New Judges Calc. (1 FTE per)'!$A$3:$E$3</definedName>
    <definedName name="_xlnm._FilterDatabase" localSheetId="3" hidden="1">'New Judges Formula'!$A$4:$N$4</definedName>
    <definedName name="_xlnm._FilterDatabase" localSheetId="13" hidden="1">'Reduction Exercise '!$A$2:$F$2</definedName>
    <definedName name="_xlnm._FilterDatabase" localSheetId="10" hidden="1">'Unspent Budgeted Funds (22-23)'!$A$1:$L$1</definedName>
    <definedName name="AdjEndorsement" localSheetId="8">#REF!</definedName>
    <definedName name="AdjEndorsement" localSheetId="4">#REF!</definedName>
    <definedName name="AdjEndorsement" localSheetId="9">#REF!</definedName>
    <definedName name="AdjEndorsement" localSheetId="7">#REF!</definedName>
    <definedName name="AdjEndorsement" localSheetId="3">#REF!</definedName>
    <definedName name="AdjEndorsement" localSheetId="0">#REF!</definedName>
    <definedName name="AdjEndorsement" localSheetId="12">#REF!</definedName>
    <definedName name="AdjEndorsement" localSheetId="13">#REF!</definedName>
    <definedName name="AdjEndorsement">#REF!</definedName>
    <definedName name="CertLetter">[1]SFY1920_JuryEstimateDetail!$A$4:$A$70</definedName>
    <definedName name="ClerkDetail">[1]SFY1920_JuryEstimateDetail!$F$4:$AK$70</definedName>
    <definedName name="county">'[2]Cross-Walk'!$A$5:$G$71</definedName>
    <definedName name="county1">'[2]Cross-Walk_2_for Adjs'!$A$2:$E$68</definedName>
    <definedName name="dade">'[2]Cross-Walk'!$A$17:$G$17</definedName>
    <definedName name="dade1">'[2]Cross-Walk_2_for Adjs'!$A$14:$E$14</definedName>
    <definedName name="dynamic_c" localSheetId="8">#REF!</definedName>
    <definedName name="dynamic_c" localSheetId="4">#REF!</definedName>
    <definedName name="dynamic_c" localSheetId="1">#REF!</definedName>
    <definedName name="dynamic_c" localSheetId="9">#REF!</definedName>
    <definedName name="dynamic_c" localSheetId="2">#REF!</definedName>
    <definedName name="dynamic_c" localSheetId="7">#REF!</definedName>
    <definedName name="dynamic_c" localSheetId="3">#REF!</definedName>
    <definedName name="dynamic_c" localSheetId="0">#REF!</definedName>
    <definedName name="dynamic_c" localSheetId="12">#REF!</definedName>
    <definedName name="dynamic_c" localSheetId="13">#REF!</definedName>
    <definedName name="dynamic_c">#REF!</definedName>
    <definedName name="InsufficientAmount">[3]Estimate!$F$55</definedName>
    <definedName name="JuryForm">[1]SFY1920_JuryEstimateDetail!$B$4:$B$70</definedName>
    <definedName name="_xlnm.Print_Area" localSheetId="4">'BUDGET CALCULATION '!$A$1:$S$75</definedName>
    <definedName name="_xlnm.Print_Area" localSheetId="11">'Cumulative Excess (22-23) '!$A$1:$B$2</definedName>
    <definedName name="_xlnm.Print_Area" localSheetId="9">'Jury Allocation Calc. '!$A$1:$B$73</definedName>
    <definedName name="_xlnm.Print_Area" localSheetId="2">'Jury Shortfall Calc. '!$A$1:$G$75</definedName>
    <definedName name="_xlnm.Print_Titles" localSheetId="6">'"Glitch" Fix Allocation '!$1:$1</definedName>
    <definedName name="_xlnm.Print_Titles" localSheetId="4">'BUDGET CALCULATION '!$A:$B,'BUDGET CALCULATION '!$1:$1</definedName>
    <definedName name="_xlnm.Print_Titles" localSheetId="1">'Issue Requests '!$A:$B,'Issue Requests '!$1:$1</definedName>
    <definedName name="_xlnm.Print_Titles" localSheetId="9">'Jury Allocation Calc. '!$1:$3</definedName>
    <definedName name="_xlnm.Print_Titles" localSheetId="2">'Jury Shortfall Calc. '!$1:$4</definedName>
    <definedName name="_xlnm.Print_Titles" localSheetId="12">'Peer Group Comparison '!$1:$2</definedName>
    <definedName name="_xlnm.Print_Titles" localSheetId="13">'Reduction Exercise '!$A:$B,'Reduction Exercise '!$2:$2</definedName>
    <definedName name="_xlnm.Print_Titles" localSheetId="10">'Unspent Budgeted Funds (22-23)'!$1:$1</definedName>
    <definedName name="Q1SFY1617" localSheetId="8">#REF!</definedName>
    <definedName name="Q1SFY1617" localSheetId="4">#REF!</definedName>
    <definedName name="Q1SFY1617" localSheetId="9">#REF!</definedName>
    <definedName name="Q1SFY1617" localSheetId="7">#REF!</definedName>
    <definedName name="Q1SFY1617" localSheetId="3">#REF!</definedName>
    <definedName name="Q1SFY1617" localSheetId="0">#REF!</definedName>
    <definedName name="Q1SFY1617" localSheetId="12">#REF!</definedName>
    <definedName name="Q1SFY1617" localSheetId="13">#REF!</definedName>
    <definedName name="Q1SFY1617">#REF!</definedName>
    <definedName name="Remove" localSheetId="8">#REF!</definedName>
    <definedName name="Remove" localSheetId="12">#REF!</definedName>
    <definedName name="Remove" localSheetId="13">#REF!</definedName>
    <definedName name="Remove">#REF!</definedName>
    <definedName name="REmove2" localSheetId="8">#REF!</definedName>
    <definedName name="REmove2" localSheetId="12">#REF!</definedName>
    <definedName name="REmove2" localSheetId="13">#REF!</definedName>
    <definedName name="REmove2">#REF!</definedName>
    <definedName name="solver_eng" localSheetId="10" hidden="1">1</definedName>
    <definedName name="solver_neg" localSheetId="10" hidden="1">1</definedName>
    <definedName name="solver_num" localSheetId="10" hidden="1">0</definedName>
    <definedName name="solver_opt" localSheetId="10" hidden="1">'Unspent Budgeted Funds (22-23)'!$I$60</definedName>
    <definedName name="solver_typ" localSheetId="10" hidden="1">1</definedName>
    <definedName name="solver_val" localSheetId="10" hidden="1">0</definedName>
    <definedName name="solver_ver" localSheetId="10" hidden="1">3</definedName>
    <definedName name="UnExpendedAmount">[3]Estimate!$F$52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28" l="1"/>
  <c r="D69" i="28"/>
  <c r="E69" i="28" s="1"/>
  <c r="F69" i="28" s="1"/>
  <c r="D68" i="28"/>
  <c r="E68" i="28" s="1"/>
  <c r="F68" i="28" s="1"/>
  <c r="E67" i="28"/>
  <c r="F67" i="28" s="1"/>
  <c r="D67" i="28"/>
  <c r="D66" i="28"/>
  <c r="E66" i="28" s="1"/>
  <c r="F66" i="28" s="1"/>
  <c r="D65" i="28"/>
  <c r="E65" i="28" s="1"/>
  <c r="F65" i="28" s="1"/>
  <c r="D64" i="28"/>
  <c r="E64" i="28" s="1"/>
  <c r="F64" i="28" s="1"/>
  <c r="D63" i="28"/>
  <c r="E63" i="28" s="1"/>
  <c r="F63" i="28" s="1"/>
  <c r="D62" i="28"/>
  <c r="E62" i="28" s="1"/>
  <c r="F62" i="28" s="1"/>
  <c r="D61" i="28"/>
  <c r="E61" i="28" s="1"/>
  <c r="F61" i="28" s="1"/>
  <c r="D60" i="28"/>
  <c r="E60" i="28" s="1"/>
  <c r="F60" i="28" s="1"/>
  <c r="E59" i="28"/>
  <c r="F59" i="28" s="1"/>
  <c r="D59" i="28"/>
  <c r="D58" i="28"/>
  <c r="E58" i="28" s="1"/>
  <c r="F58" i="28" s="1"/>
  <c r="D57" i="28"/>
  <c r="E57" i="28" s="1"/>
  <c r="F57" i="28" s="1"/>
  <c r="D56" i="28"/>
  <c r="E56" i="28" s="1"/>
  <c r="F56" i="28" s="1"/>
  <c r="E55" i="28"/>
  <c r="F55" i="28" s="1"/>
  <c r="D55" i="28"/>
  <c r="D54" i="28"/>
  <c r="E54" i="28" s="1"/>
  <c r="F54" i="28" s="1"/>
  <c r="E53" i="28"/>
  <c r="F53" i="28" s="1"/>
  <c r="D53" i="28"/>
  <c r="D52" i="28"/>
  <c r="E52" i="28" s="1"/>
  <c r="F52" i="28" s="1"/>
  <c r="E51" i="28"/>
  <c r="F51" i="28" s="1"/>
  <c r="D51" i="28"/>
  <c r="D50" i="28"/>
  <c r="E50" i="28" s="1"/>
  <c r="F50" i="28" s="1"/>
  <c r="D49" i="28"/>
  <c r="E49" i="28" s="1"/>
  <c r="F49" i="28" s="1"/>
  <c r="D48" i="28"/>
  <c r="E48" i="28" s="1"/>
  <c r="F48" i="28" s="1"/>
  <c r="D47" i="28"/>
  <c r="E47" i="28" s="1"/>
  <c r="F47" i="28" s="1"/>
  <c r="D46" i="28"/>
  <c r="E46" i="28" s="1"/>
  <c r="F46" i="28" s="1"/>
  <c r="D45" i="28"/>
  <c r="E45" i="28" s="1"/>
  <c r="F45" i="28" s="1"/>
  <c r="D44" i="28"/>
  <c r="E44" i="28" s="1"/>
  <c r="F44" i="28" s="1"/>
  <c r="E43" i="28"/>
  <c r="F43" i="28" s="1"/>
  <c r="D43" i="28"/>
  <c r="D42" i="28"/>
  <c r="E42" i="28" s="1"/>
  <c r="F42" i="28" s="1"/>
  <c r="D41" i="28"/>
  <c r="E41" i="28" s="1"/>
  <c r="F41" i="28" s="1"/>
  <c r="D40" i="28"/>
  <c r="E40" i="28" s="1"/>
  <c r="F40" i="28" s="1"/>
  <c r="E39" i="28"/>
  <c r="F39" i="28" s="1"/>
  <c r="D39" i="28"/>
  <c r="D38" i="28"/>
  <c r="E38" i="28" s="1"/>
  <c r="F38" i="28" s="1"/>
  <c r="E37" i="28"/>
  <c r="F37" i="28" s="1"/>
  <c r="D37" i="28"/>
  <c r="D36" i="28"/>
  <c r="E36" i="28" s="1"/>
  <c r="F36" i="28" s="1"/>
  <c r="E35" i="28"/>
  <c r="F35" i="28" s="1"/>
  <c r="D35" i="28"/>
  <c r="D34" i="28"/>
  <c r="E34" i="28" s="1"/>
  <c r="F34" i="28" s="1"/>
  <c r="D33" i="28"/>
  <c r="E33" i="28" s="1"/>
  <c r="F33" i="28" s="1"/>
  <c r="D32" i="28"/>
  <c r="E32" i="28" s="1"/>
  <c r="F32" i="28" s="1"/>
  <c r="D31" i="28"/>
  <c r="E31" i="28" s="1"/>
  <c r="F31" i="28" s="1"/>
  <c r="D30" i="28"/>
  <c r="E30" i="28" s="1"/>
  <c r="F30" i="28" s="1"/>
  <c r="D29" i="28"/>
  <c r="E29" i="28" s="1"/>
  <c r="F29" i="28" s="1"/>
  <c r="D28" i="28"/>
  <c r="E28" i="28" s="1"/>
  <c r="F28" i="28" s="1"/>
  <c r="E27" i="28"/>
  <c r="F27" i="28" s="1"/>
  <c r="D27" i="28"/>
  <c r="D26" i="28"/>
  <c r="E26" i="28" s="1"/>
  <c r="F26" i="28" s="1"/>
  <c r="D25" i="28"/>
  <c r="E25" i="28" s="1"/>
  <c r="F25" i="28" s="1"/>
  <c r="D24" i="28"/>
  <c r="E24" i="28" s="1"/>
  <c r="F24" i="28" s="1"/>
  <c r="E23" i="28"/>
  <c r="F23" i="28" s="1"/>
  <c r="D23" i="28"/>
  <c r="D22" i="28"/>
  <c r="E22" i="28" s="1"/>
  <c r="F22" i="28" s="1"/>
  <c r="E21" i="28"/>
  <c r="F21" i="28" s="1"/>
  <c r="D21" i="28"/>
  <c r="D20" i="28"/>
  <c r="E20" i="28" s="1"/>
  <c r="F20" i="28" s="1"/>
  <c r="E19" i="28"/>
  <c r="F19" i="28" s="1"/>
  <c r="D19" i="28"/>
  <c r="D18" i="28"/>
  <c r="E18" i="28" s="1"/>
  <c r="F18" i="28" s="1"/>
  <c r="D17" i="28"/>
  <c r="E17" i="28" s="1"/>
  <c r="F17" i="28" s="1"/>
  <c r="D16" i="28"/>
  <c r="E16" i="28" s="1"/>
  <c r="F16" i="28" s="1"/>
  <c r="D15" i="28"/>
  <c r="E15" i="28" s="1"/>
  <c r="F15" i="28" s="1"/>
  <c r="D14" i="28"/>
  <c r="E14" i="28" s="1"/>
  <c r="F14" i="28" s="1"/>
  <c r="D13" i="28"/>
  <c r="E13" i="28" s="1"/>
  <c r="F13" i="28" s="1"/>
  <c r="D12" i="28"/>
  <c r="E12" i="28" s="1"/>
  <c r="F12" i="28" s="1"/>
  <c r="E11" i="28"/>
  <c r="F11" i="28" s="1"/>
  <c r="D11" i="28"/>
  <c r="D10" i="28"/>
  <c r="E10" i="28" s="1"/>
  <c r="F10" i="28" s="1"/>
  <c r="D9" i="28"/>
  <c r="E9" i="28" s="1"/>
  <c r="F9" i="28" s="1"/>
  <c r="D8" i="28"/>
  <c r="E8" i="28" s="1"/>
  <c r="F8" i="28" s="1"/>
  <c r="E7" i="28"/>
  <c r="F7" i="28" s="1"/>
  <c r="D7" i="28"/>
  <c r="D6" i="28"/>
  <c r="E6" i="28" s="1"/>
  <c r="F6" i="28" s="1"/>
  <c r="E5" i="28"/>
  <c r="F5" i="28" s="1"/>
  <c r="D5" i="28"/>
  <c r="D4" i="28"/>
  <c r="E4" i="28" s="1"/>
  <c r="F4" i="28" s="1"/>
  <c r="D3" i="28"/>
  <c r="D71" i="28" s="1"/>
  <c r="D1" i="28"/>
  <c r="E3" i="28" l="1"/>
  <c r="C77" i="27"/>
  <c r="D75" i="27" s="1"/>
  <c r="D76" i="27"/>
  <c r="D73" i="27"/>
  <c r="D72" i="27"/>
  <c r="D71" i="27"/>
  <c r="C70" i="27"/>
  <c r="D68" i="27" s="1"/>
  <c r="D69" i="27"/>
  <c r="C65" i="27"/>
  <c r="D62" i="27" s="1"/>
  <c r="D63" i="27"/>
  <c r="C57" i="27"/>
  <c r="D45" i="27" s="1"/>
  <c r="D56" i="27"/>
  <c r="D55" i="27"/>
  <c r="D53" i="27"/>
  <c r="D48" i="27"/>
  <c r="D47" i="27"/>
  <c r="D46" i="27"/>
  <c r="D44" i="27"/>
  <c r="C42" i="27"/>
  <c r="D36" i="27" s="1"/>
  <c r="D41" i="27"/>
  <c r="D40" i="27"/>
  <c r="D39" i="27"/>
  <c r="D38" i="27"/>
  <c r="D37" i="27"/>
  <c r="D33" i="27"/>
  <c r="D32" i="27"/>
  <c r="C31" i="27"/>
  <c r="D30" i="27" s="1"/>
  <c r="C20" i="27"/>
  <c r="D13" i="27" s="1"/>
  <c r="D17" i="27"/>
  <c r="D16" i="27"/>
  <c r="D15" i="27"/>
  <c r="D14" i="27"/>
  <c r="D12" i="27"/>
  <c r="D9" i="27"/>
  <c r="D8" i="27"/>
  <c r="C7" i="27"/>
  <c r="C79" i="27" s="1"/>
  <c r="E71" i="28" l="1"/>
  <c r="F71" i="28" s="1"/>
  <c r="F3" i="28"/>
  <c r="D18" i="27"/>
  <c r="D34" i="27"/>
  <c r="D50" i="27"/>
  <c r="D66" i="27"/>
  <c r="D64" i="27"/>
  <c r="D49" i="27"/>
  <c r="D3" i="27"/>
  <c r="D19" i="27"/>
  <c r="D35" i="27"/>
  <c r="D51" i="27"/>
  <c r="D67" i="27"/>
  <c r="D4" i="27"/>
  <c r="D52" i="27"/>
  <c r="D5" i="27"/>
  <c r="D21" i="27"/>
  <c r="D6" i="27"/>
  <c r="D22" i="27"/>
  <c r="D54" i="27"/>
  <c r="D24" i="27"/>
  <c r="D58" i="27"/>
  <c r="D74" i="27"/>
  <c r="D25" i="27"/>
  <c r="D10" i="27"/>
  <c r="D26" i="27"/>
  <c r="D11" i="27"/>
  <c r="D27" i="27"/>
  <c r="D43" i="27"/>
  <c r="D59" i="27"/>
  <c r="D23" i="27"/>
  <c r="D60" i="27"/>
  <c r="D29" i="27"/>
  <c r="D61" i="27"/>
  <c r="D28" i="27"/>
  <c r="D79" i="27" l="1"/>
  <c r="D70" i="26" l="1"/>
  <c r="B70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C5" i="26"/>
  <c r="C4" i="26"/>
  <c r="C3" i="26"/>
  <c r="C70" i="26" s="1"/>
  <c r="C2" i="26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5" i="24"/>
  <c r="C4" i="24"/>
  <c r="Q71" i="23"/>
  <c r="G73" i="23"/>
  <c r="Q74" i="23"/>
  <c r="O70" i="23"/>
  <c r="M70" i="23"/>
  <c r="L70" i="23"/>
  <c r="J70" i="23"/>
  <c r="I70" i="23"/>
  <c r="H70" i="23"/>
  <c r="G70" i="23"/>
  <c r="E70" i="23"/>
  <c r="D70" i="23"/>
  <c r="C70" i="23"/>
  <c r="Q68" i="23"/>
  <c r="R68" i="23" s="1"/>
  <c r="S68" i="23" s="1"/>
  <c r="P68" i="23"/>
  <c r="N68" i="23"/>
  <c r="F68" i="23"/>
  <c r="Q67" i="23"/>
  <c r="R67" i="23" s="1"/>
  <c r="S67" i="23" s="1"/>
  <c r="N67" i="23"/>
  <c r="P67" i="23" s="1"/>
  <c r="F67" i="23"/>
  <c r="N66" i="23"/>
  <c r="P66" i="23" s="1"/>
  <c r="F66" i="23"/>
  <c r="Q66" i="23" s="1"/>
  <c r="R66" i="23" s="1"/>
  <c r="S66" i="23" s="1"/>
  <c r="S65" i="23"/>
  <c r="R65" i="23"/>
  <c r="Q65" i="23"/>
  <c r="N65" i="23"/>
  <c r="P65" i="23" s="1"/>
  <c r="F65" i="23"/>
  <c r="P64" i="23"/>
  <c r="N64" i="23"/>
  <c r="F64" i="23"/>
  <c r="Q64" i="23" s="1"/>
  <c r="R64" i="23" s="1"/>
  <c r="S64" i="23" s="1"/>
  <c r="Q63" i="23"/>
  <c r="R63" i="23" s="1"/>
  <c r="S63" i="23" s="1"/>
  <c r="N63" i="23"/>
  <c r="P63" i="23" s="1"/>
  <c r="F63" i="23"/>
  <c r="Q62" i="23"/>
  <c r="R62" i="23" s="1"/>
  <c r="S62" i="23" s="1"/>
  <c r="N62" i="23"/>
  <c r="P62" i="23" s="1"/>
  <c r="F62" i="23"/>
  <c r="S61" i="23"/>
  <c r="R61" i="23"/>
  <c r="Q61" i="23"/>
  <c r="P61" i="23"/>
  <c r="N61" i="23"/>
  <c r="F61" i="23"/>
  <c r="Q60" i="23"/>
  <c r="R60" i="23" s="1"/>
  <c r="S60" i="23" s="1"/>
  <c r="P60" i="23"/>
  <c r="N60" i="23"/>
  <c r="F60" i="23"/>
  <c r="Q59" i="23"/>
  <c r="R59" i="23" s="1"/>
  <c r="S59" i="23" s="1"/>
  <c r="N59" i="23"/>
  <c r="P59" i="23" s="1"/>
  <c r="F59" i="23"/>
  <c r="N58" i="23"/>
  <c r="P58" i="23" s="1"/>
  <c r="F58" i="23"/>
  <c r="Q58" i="23" s="1"/>
  <c r="R58" i="23" s="1"/>
  <c r="S58" i="23" s="1"/>
  <c r="S57" i="23"/>
  <c r="R57" i="23"/>
  <c r="Q57" i="23"/>
  <c r="N57" i="23"/>
  <c r="P57" i="23" s="1"/>
  <c r="F57" i="23"/>
  <c r="P56" i="23"/>
  <c r="N56" i="23"/>
  <c r="F56" i="23"/>
  <c r="Q56" i="23" s="1"/>
  <c r="R56" i="23" s="1"/>
  <c r="S56" i="23" s="1"/>
  <c r="Q55" i="23"/>
  <c r="R55" i="23" s="1"/>
  <c r="S55" i="23" s="1"/>
  <c r="N55" i="23"/>
  <c r="P55" i="23" s="1"/>
  <c r="F55" i="23"/>
  <c r="Q54" i="23"/>
  <c r="R54" i="23" s="1"/>
  <c r="S54" i="23" s="1"/>
  <c r="N54" i="23"/>
  <c r="P54" i="23" s="1"/>
  <c r="F54" i="23"/>
  <c r="S53" i="23"/>
  <c r="R53" i="23"/>
  <c r="Q53" i="23"/>
  <c r="P53" i="23"/>
  <c r="N53" i="23"/>
  <c r="F53" i="23"/>
  <c r="Q52" i="23"/>
  <c r="R52" i="23" s="1"/>
  <c r="S52" i="23" s="1"/>
  <c r="P52" i="23"/>
  <c r="N52" i="23"/>
  <c r="F52" i="23"/>
  <c r="Q51" i="23"/>
  <c r="R51" i="23" s="1"/>
  <c r="S51" i="23" s="1"/>
  <c r="N51" i="23"/>
  <c r="P51" i="23" s="1"/>
  <c r="K51" i="23"/>
  <c r="K70" i="23" s="1"/>
  <c r="F51" i="23"/>
  <c r="P50" i="23"/>
  <c r="N50" i="23"/>
  <c r="F50" i="23"/>
  <c r="Q50" i="23" s="1"/>
  <c r="R50" i="23" s="1"/>
  <c r="S50" i="23" s="1"/>
  <c r="P49" i="23"/>
  <c r="N49" i="23"/>
  <c r="F49" i="23"/>
  <c r="Q49" i="23" s="1"/>
  <c r="R49" i="23" s="1"/>
  <c r="S49" i="23" s="1"/>
  <c r="R48" i="23"/>
  <c r="S48" i="23" s="1"/>
  <c r="Q48" i="23"/>
  <c r="N48" i="23"/>
  <c r="P48" i="23" s="1"/>
  <c r="F48" i="23"/>
  <c r="R47" i="23"/>
  <c r="S47" i="23" s="1"/>
  <c r="Q47" i="23"/>
  <c r="P47" i="23"/>
  <c r="N47" i="23"/>
  <c r="F47" i="23"/>
  <c r="P46" i="23"/>
  <c r="N46" i="23"/>
  <c r="F46" i="23"/>
  <c r="Q46" i="23" s="1"/>
  <c r="R46" i="23" s="1"/>
  <c r="S46" i="23" s="1"/>
  <c r="Q45" i="23"/>
  <c r="R45" i="23" s="1"/>
  <c r="S45" i="23" s="1"/>
  <c r="P45" i="23"/>
  <c r="N45" i="23"/>
  <c r="F45" i="23"/>
  <c r="P44" i="23"/>
  <c r="N44" i="23"/>
  <c r="F44" i="23"/>
  <c r="Q44" i="23" s="1"/>
  <c r="R44" i="23" s="1"/>
  <c r="S44" i="23" s="1"/>
  <c r="P43" i="23"/>
  <c r="N43" i="23"/>
  <c r="F43" i="23"/>
  <c r="Q43" i="23" s="1"/>
  <c r="R43" i="23" s="1"/>
  <c r="S43" i="23" s="1"/>
  <c r="P42" i="23"/>
  <c r="N42" i="23"/>
  <c r="F42" i="23"/>
  <c r="Q42" i="23" s="1"/>
  <c r="R42" i="23" s="1"/>
  <c r="S42" i="23" s="1"/>
  <c r="P41" i="23"/>
  <c r="N41" i="23"/>
  <c r="F41" i="23"/>
  <c r="Q41" i="23" s="1"/>
  <c r="R41" i="23" s="1"/>
  <c r="S41" i="23" s="1"/>
  <c r="R40" i="23"/>
  <c r="S40" i="23" s="1"/>
  <c r="Q40" i="23"/>
  <c r="N40" i="23"/>
  <c r="P40" i="23" s="1"/>
  <c r="F40" i="23"/>
  <c r="R39" i="23"/>
  <c r="S39" i="23" s="1"/>
  <c r="Q39" i="23"/>
  <c r="P39" i="23"/>
  <c r="N39" i="23"/>
  <c r="F39" i="23"/>
  <c r="P38" i="23"/>
  <c r="N38" i="23"/>
  <c r="F38" i="23"/>
  <c r="Q38" i="23" s="1"/>
  <c r="R38" i="23" s="1"/>
  <c r="S38" i="23" s="1"/>
  <c r="Q37" i="23"/>
  <c r="R37" i="23" s="1"/>
  <c r="S37" i="23" s="1"/>
  <c r="P37" i="23"/>
  <c r="N37" i="23"/>
  <c r="F37" i="23"/>
  <c r="P36" i="23"/>
  <c r="N36" i="23"/>
  <c r="F36" i="23"/>
  <c r="Q36" i="23" s="1"/>
  <c r="R36" i="23" s="1"/>
  <c r="S36" i="23" s="1"/>
  <c r="P35" i="23"/>
  <c r="N35" i="23"/>
  <c r="F35" i="23"/>
  <c r="Q35" i="23" s="1"/>
  <c r="R35" i="23" s="1"/>
  <c r="S35" i="23" s="1"/>
  <c r="P34" i="23"/>
  <c r="N34" i="23"/>
  <c r="F34" i="23"/>
  <c r="Q34" i="23" s="1"/>
  <c r="R34" i="23" s="1"/>
  <c r="S34" i="23" s="1"/>
  <c r="P33" i="23"/>
  <c r="N33" i="23"/>
  <c r="F33" i="23"/>
  <c r="Q33" i="23" s="1"/>
  <c r="R33" i="23" s="1"/>
  <c r="S33" i="23" s="1"/>
  <c r="R32" i="23"/>
  <c r="S32" i="23" s="1"/>
  <c r="Q32" i="23"/>
  <c r="N32" i="23"/>
  <c r="P32" i="23" s="1"/>
  <c r="F32" i="23"/>
  <c r="R31" i="23"/>
  <c r="S31" i="23" s="1"/>
  <c r="Q31" i="23"/>
  <c r="P31" i="23"/>
  <c r="N31" i="23"/>
  <c r="F31" i="23"/>
  <c r="P30" i="23"/>
  <c r="N30" i="23"/>
  <c r="F30" i="23"/>
  <c r="Q30" i="23" s="1"/>
  <c r="R30" i="23" s="1"/>
  <c r="S30" i="23" s="1"/>
  <c r="Q29" i="23"/>
  <c r="R29" i="23" s="1"/>
  <c r="S29" i="23" s="1"/>
  <c r="P29" i="23"/>
  <c r="N29" i="23"/>
  <c r="F29" i="23"/>
  <c r="P28" i="23"/>
  <c r="N28" i="23"/>
  <c r="F28" i="23"/>
  <c r="Q28" i="23" s="1"/>
  <c r="R28" i="23" s="1"/>
  <c r="S28" i="23" s="1"/>
  <c r="P27" i="23"/>
  <c r="N27" i="23"/>
  <c r="F27" i="23"/>
  <c r="Q27" i="23" s="1"/>
  <c r="R27" i="23" s="1"/>
  <c r="S27" i="23" s="1"/>
  <c r="P26" i="23"/>
  <c r="N26" i="23"/>
  <c r="F26" i="23"/>
  <c r="Q26" i="23" s="1"/>
  <c r="R26" i="23" s="1"/>
  <c r="S26" i="23" s="1"/>
  <c r="P25" i="23"/>
  <c r="N25" i="23"/>
  <c r="F25" i="23"/>
  <c r="Q25" i="23" s="1"/>
  <c r="R25" i="23" s="1"/>
  <c r="S25" i="23" s="1"/>
  <c r="R24" i="23"/>
  <c r="S24" i="23" s="1"/>
  <c r="Q24" i="23"/>
  <c r="N24" i="23"/>
  <c r="P24" i="23" s="1"/>
  <c r="F24" i="23"/>
  <c r="R23" i="23"/>
  <c r="S23" i="23" s="1"/>
  <c r="Q23" i="23"/>
  <c r="P23" i="23"/>
  <c r="N23" i="23"/>
  <c r="F23" i="23"/>
  <c r="P22" i="23"/>
  <c r="N22" i="23"/>
  <c r="F22" i="23"/>
  <c r="Q22" i="23" s="1"/>
  <c r="R22" i="23" s="1"/>
  <c r="S22" i="23" s="1"/>
  <c r="Q21" i="23"/>
  <c r="R21" i="23" s="1"/>
  <c r="S21" i="23" s="1"/>
  <c r="P21" i="23"/>
  <c r="N21" i="23"/>
  <c r="F21" i="23"/>
  <c r="P20" i="23"/>
  <c r="N20" i="23"/>
  <c r="F20" i="23"/>
  <c r="Q20" i="23" s="1"/>
  <c r="R20" i="23" s="1"/>
  <c r="S20" i="23" s="1"/>
  <c r="P19" i="23"/>
  <c r="N19" i="23"/>
  <c r="F19" i="23"/>
  <c r="Q19" i="23" s="1"/>
  <c r="R19" i="23" s="1"/>
  <c r="S19" i="23" s="1"/>
  <c r="P18" i="23"/>
  <c r="N18" i="23"/>
  <c r="F18" i="23"/>
  <c r="Q18" i="23" s="1"/>
  <c r="R18" i="23" s="1"/>
  <c r="S18" i="23" s="1"/>
  <c r="P17" i="23"/>
  <c r="N17" i="23"/>
  <c r="F17" i="23"/>
  <c r="Q17" i="23" s="1"/>
  <c r="R17" i="23" s="1"/>
  <c r="S17" i="23" s="1"/>
  <c r="R16" i="23"/>
  <c r="S16" i="23" s="1"/>
  <c r="Q16" i="23"/>
  <c r="N16" i="23"/>
  <c r="P16" i="23" s="1"/>
  <c r="F16" i="23"/>
  <c r="R15" i="23"/>
  <c r="S15" i="23" s="1"/>
  <c r="Q15" i="23"/>
  <c r="P15" i="23"/>
  <c r="N15" i="23"/>
  <c r="F15" i="23"/>
  <c r="P14" i="23"/>
  <c r="N14" i="23"/>
  <c r="F14" i="23"/>
  <c r="Q14" i="23" s="1"/>
  <c r="R14" i="23" s="1"/>
  <c r="S14" i="23" s="1"/>
  <c r="Q13" i="23"/>
  <c r="R13" i="23" s="1"/>
  <c r="S13" i="23" s="1"/>
  <c r="P13" i="23"/>
  <c r="N13" i="23"/>
  <c r="F13" i="23"/>
  <c r="P12" i="23"/>
  <c r="N12" i="23"/>
  <c r="F12" i="23"/>
  <c r="Q12" i="23" s="1"/>
  <c r="R12" i="23" s="1"/>
  <c r="S12" i="23" s="1"/>
  <c r="P11" i="23"/>
  <c r="N11" i="23"/>
  <c r="F11" i="23"/>
  <c r="Q11" i="23" s="1"/>
  <c r="R11" i="23" s="1"/>
  <c r="S11" i="23" s="1"/>
  <c r="P10" i="23"/>
  <c r="N10" i="23"/>
  <c r="F10" i="23"/>
  <c r="Q10" i="23" s="1"/>
  <c r="R10" i="23" s="1"/>
  <c r="S10" i="23" s="1"/>
  <c r="P9" i="23"/>
  <c r="N9" i="23"/>
  <c r="F9" i="23"/>
  <c r="Q9" i="23" s="1"/>
  <c r="R9" i="23" s="1"/>
  <c r="S9" i="23" s="1"/>
  <c r="R8" i="23"/>
  <c r="S8" i="23" s="1"/>
  <c r="Q8" i="23"/>
  <c r="N8" i="23"/>
  <c r="P8" i="23" s="1"/>
  <c r="F8" i="23"/>
  <c r="R7" i="23"/>
  <c r="S7" i="23" s="1"/>
  <c r="Q7" i="23"/>
  <c r="P7" i="23"/>
  <c r="N7" i="23"/>
  <c r="F7" i="23"/>
  <c r="P6" i="23"/>
  <c r="N6" i="23"/>
  <c r="F6" i="23"/>
  <c r="Q6" i="23" s="1"/>
  <c r="R6" i="23" s="1"/>
  <c r="S6" i="23" s="1"/>
  <c r="Q5" i="23"/>
  <c r="R5" i="23" s="1"/>
  <c r="S5" i="23" s="1"/>
  <c r="P5" i="23"/>
  <c r="N5" i="23"/>
  <c r="F5" i="23"/>
  <c r="P4" i="23"/>
  <c r="N4" i="23"/>
  <c r="F4" i="23"/>
  <c r="Q4" i="23" s="1"/>
  <c r="R4" i="23" s="1"/>
  <c r="S4" i="23" s="1"/>
  <c r="P3" i="23"/>
  <c r="N3" i="23"/>
  <c r="F3" i="23"/>
  <c r="Q3" i="23" s="1"/>
  <c r="R3" i="23" s="1"/>
  <c r="S3" i="23" s="1"/>
  <c r="P2" i="23"/>
  <c r="N2" i="23"/>
  <c r="N70" i="23" s="1"/>
  <c r="F2" i="23"/>
  <c r="F70" i="23" s="1"/>
  <c r="S53" i="17"/>
  <c r="S37" i="17"/>
  <c r="L10" i="22"/>
  <c r="I10" i="22"/>
  <c r="J10" i="22" s="1"/>
  <c r="J9" i="22"/>
  <c r="G9" i="22"/>
  <c r="H9" i="22" s="1"/>
  <c r="K9" i="22" s="1"/>
  <c r="M9" i="22" s="1"/>
  <c r="N9" i="22" s="1"/>
  <c r="J8" i="22"/>
  <c r="G8" i="22"/>
  <c r="H8" i="22" s="1"/>
  <c r="K8" i="22" s="1"/>
  <c r="M8" i="22" s="1"/>
  <c r="N8" i="22" s="1"/>
  <c r="J7" i="22"/>
  <c r="G7" i="22"/>
  <c r="H7" i="22" s="1"/>
  <c r="K7" i="22" s="1"/>
  <c r="M7" i="22" s="1"/>
  <c r="N7" i="22" s="1"/>
  <c r="J6" i="22"/>
  <c r="G6" i="22"/>
  <c r="H6" i="22" s="1"/>
  <c r="K6" i="22" s="1"/>
  <c r="M6" i="22" s="1"/>
  <c r="N6" i="22" s="1"/>
  <c r="J5" i="22"/>
  <c r="G5" i="22"/>
  <c r="H5" i="22" s="1"/>
  <c r="K5" i="22" s="1"/>
  <c r="E9" i="21"/>
  <c r="D9" i="21"/>
  <c r="E8" i="21"/>
  <c r="E7" i="21"/>
  <c r="E6" i="21"/>
  <c r="E5" i="21"/>
  <c r="E4" i="21"/>
  <c r="R56" i="17"/>
  <c r="N70" i="17"/>
  <c r="N56" i="17"/>
  <c r="P70" i="23" l="1"/>
  <c r="Q2" i="23"/>
  <c r="K10" i="22"/>
  <c r="M5" i="22"/>
  <c r="R2" i="23" l="1"/>
  <c r="Q70" i="23"/>
  <c r="M10" i="22"/>
  <c r="N5" i="22"/>
  <c r="N10" i="22" s="1"/>
  <c r="R70" i="23" l="1"/>
  <c r="S70" i="23" s="1"/>
  <c r="S2" i="23"/>
  <c r="Q75" i="23"/>
  <c r="B7" i="19"/>
  <c r="B16" i="19" s="1"/>
  <c r="B17" i="19" s="1"/>
  <c r="E73" i="18"/>
  <c r="D73" i="18"/>
  <c r="C73" i="18"/>
  <c r="B73" i="18"/>
  <c r="G71" i="18"/>
  <c r="I71" i="18" s="1"/>
  <c r="G70" i="18"/>
  <c r="I70" i="18" s="1"/>
  <c r="I69" i="18"/>
  <c r="G69" i="18"/>
  <c r="I68" i="18"/>
  <c r="G68" i="18"/>
  <c r="G67" i="18"/>
  <c r="I67" i="18" s="1"/>
  <c r="G66" i="18"/>
  <c r="I66" i="18" s="1"/>
  <c r="G65" i="18"/>
  <c r="I65" i="18" s="1"/>
  <c r="G64" i="18"/>
  <c r="I64" i="18" s="1"/>
  <c r="G63" i="18"/>
  <c r="I63" i="18" s="1"/>
  <c r="G62" i="18"/>
  <c r="I62" i="18" s="1"/>
  <c r="I61" i="18"/>
  <c r="G61" i="18"/>
  <c r="I60" i="18"/>
  <c r="G60" i="18"/>
  <c r="G59" i="18"/>
  <c r="I59" i="18" s="1"/>
  <c r="I58" i="18"/>
  <c r="G58" i="18"/>
  <c r="G57" i="18"/>
  <c r="I57" i="18" s="1"/>
  <c r="I56" i="18"/>
  <c r="G56" i="18"/>
  <c r="G55" i="18"/>
  <c r="I55" i="18" s="1"/>
  <c r="G54" i="18"/>
  <c r="I54" i="18" s="1"/>
  <c r="I53" i="18"/>
  <c r="G53" i="18"/>
  <c r="I52" i="18"/>
  <c r="G52" i="18"/>
  <c r="G51" i="18"/>
  <c r="I51" i="18" s="1"/>
  <c r="G50" i="18"/>
  <c r="I50" i="18" s="1"/>
  <c r="G49" i="18"/>
  <c r="I49" i="18" s="1"/>
  <c r="G48" i="18"/>
  <c r="I48" i="18" s="1"/>
  <c r="G47" i="18"/>
  <c r="I47" i="18" s="1"/>
  <c r="G46" i="18"/>
  <c r="I46" i="18" s="1"/>
  <c r="I45" i="18"/>
  <c r="G45" i="18"/>
  <c r="I44" i="18"/>
  <c r="G44" i="18"/>
  <c r="G43" i="18"/>
  <c r="I43" i="18" s="1"/>
  <c r="I42" i="18"/>
  <c r="G42" i="18"/>
  <c r="G41" i="18"/>
  <c r="I41" i="18" s="1"/>
  <c r="I40" i="18"/>
  <c r="G40" i="18"/>
  <c r="G39" i="18"/>
  <c r="I39" i="18" s="1"/>
  <c r="G38" i="18"/>
  <c r="I38" i="18" s="1"/>
  <c r="I37" i="18"/>
  <c r="G37" i="18"/>
  <c r="I36" i="18"/>
  <c r="G36" i="18"/>
  <c r="G35" i="18"/>
  <c r="I35" i="18" s="1"/>
  <c r="G34" i="18"/>
  <c r="I34" i="18" s="1"/>
  <c r="G33" i="18"/>
  <c r="I33" i="18" s="1"/>
  <c r="G32" i="18"/>
  <c r="I32" i="18" s="1"/>
  <c r="G31" i="18"/>
  <c r="I31" i="18" s="1"/>
  <c r="G30" i="18"/>
  <c r="I30" i="18" s="1"/>
  <c r="I29" i="18"/>
  <c r="G29" i="18"/>
  <c r="I28" i="18"/>
  <c r="G28" i="18"/>
  <c r="G27" i="18"/>
  <c r="I27" i="18" s="1"/>
  <c r="I26" i="18"/>
  <c r="G26" i="18"/>
  <c r="G25" i="18"/>
  <c r="I25" i="18" s="1"/>
  <c r="I24" i="18"/>
  <c r="G24" i="18"/>
  <c r="G23" i="18"/>
  <c r="I23" i="18" s="1"/>
  <c r="G22" i="18"/>
  <c r="I22" i="18" s="1"/>
  <c r="I21" i="18"/>
  <c r="G21" i="18"/>
  <c r="I20" i="18"/>
  <c r="G20" i="18"/>
  <c r="G19" i="18"/>
  <c r="I19" i="18" s="1"/>
  <c r="G18" i="18"/>
  <c r="I18" i="18" s="1"/>
  <c r="I17" i="18"/>
  <c r="G17" i="18"/>
  <c r="G16" i="18"/>
  <c r="I16" i="18" s="1"/>
  <c r="G15" i="18"/>
  <c r="I15" i="18" s="1"/>
  <c r="G14" i="18"/>
  <c r="I14" i="18" s="1"/>
  <c r="I13" i="18"/>
  <c r="G13" i="18"/>
  <c r="I12" i="18"/>
  <c r="G12" i="18"/>
  <c r="G11" i="18"/>
  <c r="I11" i="18" s="1"/>
  <c r="I10" i="18"/>
  <c r="G10" i="18"/>
  <c r="G9" i="18"/>
  <c r="I9" i="18" s="1"/>
  <c r="I8" i="18"/>
  <c r="G8" i="18"/>
  <c r="G7" i="18"/>
  <c r="I7" i="18" s="1"/>
  <c r="G6" i="18"/>
  <c r="I6" i="18" s="1"/>
  <c r="I5" i="18"/>
  <c r="G5" i="18"/>
  <c r="G73" i="18" s="1"/>
  <c r="G75" i="18" s="1"/>
  <c r="T77" i="17"/>
  <c r="Q70" i="17"/>
  <c r="M70" i="17"/>
  <c r="I70" i="17"/>
  <c r="H70" i="17"/>
  <c r="G70" i="17"/>
  <c r="E70" i="17"/>
  <c r="D70" i="17"/>
  <c r="C70" i="17"/>
  <c r="R68" i="17"/>
  <c r="F68" i="17"/>
  <c r="S67" i="17"/>
  <c r="K67" i="17"/>
  <c r="R67" i="17" s="1"/>
  <c r="F67" i="17"/>
  <c r="K66" i="17"/>
  <c r="R66" i="17" s="1"/>
  <c r="F66" i="17"/>
  <c r="K65" i="17"/>
  <c r="R65" i="17" s="1"/>
  <c r="F65" i="17"/>
  <c r="S64" i="17"/>
  <c r="R64" i="17"/>
  <c r="P64" i="17"/>
  <c r="O64" i="17"/>
  <c r="K64" i="17"/>
  <c r="F64" i="17"/>
  <c r="R63" i="17"/>
  <c r="F63" i="17"/>
  <c r="R62" i="17"/>
  <c r="F62" i="17"/>
  <c r="K61" i="17"/>
  <c r="R61" i="17" s="1"/>
  <c r="F61" i="17"/>
  <c r="S60" i="17"/>
  <c r="L60" i="17"/>
  <c r="R60" i="17" s="1"/>
  <c r="F60" i="17"/>
  <c r="S59" i="17"/>
  <c r="R59" i="17"/>
  <c r="F59" i="17"/>
  <c r="R58" i="17"/>
  <c r="F58" i="17"/>
  <c r="R57" i="17"/>
  <c r="F57" i="17"/>
  <c r="F56" i="17"/>
  <c r="R55" i="17"/>
  <c r="F55" i="17"/>
  <c r="K54" i="17"/>
  <c r="R54" i="17" s="1"/>
  <c r="F54" i="17"/>
  <c r="T54" i="17" s="1"/>
  <c r="R53" i="17"/>
  <c r="F53" i="17"/>
  <c r="R52" i="17"/>
  <c r="F52" i="17"/>
  <c r="R51" i="17"/>
  <c r="F51" i="17"/>
  <c r="S50" i="17"/>
  <c r="N50" i="17"/>
  <c r="L50" i="17"/>
  <c r="K50" i="17"/>
  <c r="R50" i="17" s="1"/>
  <c r="F50" i="17"/>
  <c r="R49" i="17"/>
  <c r="F49" i="17"/>
  <c r="R48" i="17"/>
  <c r="F48" i="17"/>
  <c r="R47" i="17"/>
  <c r="F47" i="17"/>
  <c r="K46" i="17"/>
  <c r="R46" i="17" s="1"/>
  <c r="F46" i="17"/>
  <c r="O45" i="17"/>
  <c r="R45" i="17" s="1"/>
  <c r="F45" i="17"/>
  <c r="S44" i="17"/>
  <c r="R44" i="17"/>
  <c r="F44" i="17"/>
  <c r="K43" i="17"/>
  <c r="R43" i="17" s="1"/>
  <c r="F43" i="17"/>
  <c r="R42" i="17"/>
  <c r="F42" i="17"/>
  <c r="S41" i="17"/>
  <c r="L41" i="17"/>
  <c r="R41" i="17" s="1"/>
  <c r="K41" i="17"/>
  <c r="F41" i="17"/>
  <c r="R40" i="17"/>
  <c r="F40" i="17"/>
  <c r="K39" i="17"/>
  <c r="R39" i="17" s="1"/>
  <c r="F39" i="17"/>
  <c r="K38" i="17"/>
  <c r="R38" i="17" s="1"/>
  <c r="F38" i="17"/>
  <c r="R37" i="17"/>
  <c r="F37" i="17"/>
  <c r="R36" i="17"/>
  <c r="F36" i="17"/>
  <c r="R35" i="17"/>
  <c r="F35" i="17"/>
  <c r="R34" i="17"/>
  <c r="F34" i="17"/>
  <c r="R33" i="17"/>
  <c r="F33" i="17"/>
  <c r="R32" i="17"/>
  <c r="F32" i="17"/>
  <c r="S31" i="17"/>
  <c r="L31" i="17"/>
  <c r="R31" i="17" s="1"/>
  <c r="F31" i="17"/>
  <c r="K30" i="17"/>
  <c r="R30" i="17" s="1"/>
  <c r="F30" i="17"/>
  <c r="R29" i="17"/>
  <c r="F29" i="17"/>
  <c r="N28" i="17"/>
  <c r="R28" i="17" s="1"/>
  <c r="K28" i="17"/>
  <c r="F28" i="17"/>
  <c r="K27" i="17"/>
  <c r="R27" i="17" s="1"/>
  <c r="F27" i="17"/>
  <c r="R26" i="17"/>
  <c r="F26" i="17"/>
  <c r="T26" i="17" s="1"/>
  <c r="S25" i="17"/>
  <c r="R25" i="17"/>
  <c r="F25" i="17"/>
  <c r="R24" i="17"/>
  <c r="F24" i="17"/>
  <c r="R23" i="17"/>
  <c r="F23" i="17"/>
  <c r="R22" i="17"/>
  <c r="F22" i="17"/>
  <c r="S21" i="17"/>
  <c r="R21" i="17"/>
  <c r="F21" i="17"/>
  <c r="K20" i="17"/>
  <c r="R20" i="17" s="1"/>
  <c r="F20" i="17"/>
  <c r="K19" i="17"/>
  <c r="R19" i="17" s="1"/>
  <c r="F19" i="17"/>
  <c r="R18" i="17"/>
  <c r="F18" i="17"/>
  <c r="R17" i="17"/>
  <c r="F17" i="17"/>
  <c r="R16" i="17"/>
  <c r="F16" i="17"/>
  <c r="R15" i="17"/>
  <c r="P15" i="17"/>
  <c r="F15" i="17"/>
  <c r="P14" i="17"/>
  <c r="R14" i="17" s="1"/>
  <c r="F14" i="17"/>
  <c r="R13" i="17"/>
  <c r="F13" i="17"/>
  <c r="T13" i="17" s="1"/>
  <c r="R12" i="17"/>
  <c r="F12" i="17"/>
  <c r="J11" i="17"/>
  <c r="J70" i="17" s="1"/>
  <c r="F11" i="17"/>
  <c r="K10" i="17"/>
  <c r="R10" i="17" s="1"/>
  <c r="F10" i="17"/>
  <c r="R9" i="17"/>
  <c r="F9" i="17"/>
  <c r="R8" i="17"/>
  <c r="F8" i="17"/>
  <c r="R7" i="17"/>
  <c r="F7" i="17"/>
  <c r="S6" i="17"/>
  <c r="S70" i="17" s="1"/>
  <c r="R6" i="17"/>
  <c r="F6" i="17"/>
  <c r="T6" i="17" s="1"/>
  <c r="U6" i="17" s="1"/>
  <c r="R5" i="17"/>
  <c r="F5" i="17"/>
  <c r="T5" i="17" s="1"/>
  <c r="R4" i="17"/>
  <c r="F4" i="17"/>
  <c r="R3" i="17"/>
  <c r="K3" i="17"/>
  <c r="F3" i="17"/>
  <c r="T3" i="17" s="1"/>
  <c r="R2" i="17"/>
  <c r="F2" i="17"/>
  <c r="T21" i="17" l="1"/>
  <c r="V21" i="17" s="1"/>
  <c r="T35" i="17"/>
  <c r="T17" i="17"/>
  <c r="T33" i="17"/>
  <c r="V33" i="17" s="1"/>
  <c r="T68" i="17"/>
  <c r="T14" i="17"/>
  <c r="T29" i="17"/>
  <c r="T52" i="17"/>
  <c r="V52" i="17" s="1"/>
  <c r="T25" i="17"/>
  <c r="U25" i="17" s="1"/>
  <c r="T49" i="17"/>
  <c r="T47" i="17"/>
  <c r="T67" i="17"/>
  <c r="U67" i="17" s="1"/>
  <c r="B10" i="19"/>
  <c r="B22" i="19" s="1"/>
  <c r="B23" i="19" s="1"/>
  <c r="T12" i="17"/>
  <c r="U12" i="17" s="1"/>
  <c r="T22" i="17"/>
  <c r="U22" i="17" s="1"/>
  <c r="T8" i="17"/>
  <c r="U8" i="17" s="1"/>
  <c r="T23" i="17"/>
  <c r="V23" i="17" s="1"/>
  <c r="T18" i="17"/>
  <c r="V18" i="17" s="1"/>
  <c r="T40" i="17"/>
  <c r="V40" i="17" s="1"/>
  <c r="T53" i="17"/>
  <c r="U53" i="17" s="1"/>
  <c r="T60" i="17"/>
  <c r="U60" i="17" s="1"/>
  <c r="T38" i="17"/>
  <c r="V38" i="17" s="1"/>
  <c r="T61" i="17"/>
  <c r="V61" i="17" s="1"/>
  <c r="T27" i="17"/>
  <c r="U27" i="17" s="1"/>
  <c r="T7" i="17"/>
  <c r="U7" i="17" s="1"/>
  <c r="T28" i="17"/>
  <c r="U28" i="17" s="1"/>
  <c r="T36" i="17"/>
  <c r="V36" i="17" s="1"/>
  <c r="T63" i="17"/>
  <c r="V63" i="17" s="1"/>
  <c r="T37" i="17"/>
  <c r="V37" i="17" s="1"/>
  <c r="T4" i="17"/>
  <c r="U4" i="17" s="1"/>
  <c r="T32" i="17"/>
  <c r="U32" i="17" s="1"/>
  <c r="T10" i="17"/>
  <c r="V10" i="17" s="1"/>
  <c r="U3" i="17"/>
  <c r="V3" i="17"/>
  <c r="T50" i="17"/>
  <c r="V50" i="17" s="1"/>
  <c r="T30" i="17"/>
  <c r="U30" i="17" s="1"/>
  <c r="T24" i="17"/>
  <c r="V24" i="17" s="1"/>
  <c r="T56" i="17"/>
  <c r="V56" i="17" s="1"/>
  <c r="V6" i="17"/>
  <c r="T42" i="17"/>
  <c r="V42" i="17" s="1"/>
  <c r="T62" i="17"/>
  <c r="V62" i="17" s="1"/>
  <c r="T55" i="17"/>
  <c r="V55" i="17" s="1"/>
  <c r="T44" i="17"/>
  <c r="V44" i="17" s="1"/>
  <c r="T57" i="17"/>
  <c r="V57" i="17" s="1"/>
  <c r="T19" i="17"/>
  <c r="U19" i="17" s="1"/>
  <c r="T51" i="17"/>
  <c r="V51" i="17" s="1"/>
  <c r="T58" i="17"/>
  <c r="U58" i="17" s="1"/>
  <c r="F70" i="17"/>
  <c r="T59" i="17"/>
  <c r="U59" i="17" s="1"/>
  <c r="T9" i="17"/>
  <c r="V9" i="17" s="1"/>
  <c r="T15" i="17"/>
  <c r="U15" i="17" s="1"/>
  <c r="T34" i="17"/>
  <c r="U34" i="17" s="1"/>
  <c r="T48" i="17"/>
  <c r="V48" i="17" s="1"/>
  <c r="T65" i="17"/>
  <c r="V65" i="17" s="1"/>
  <c r="T46" i="17"/>
  <c r="V46" i="17" s="1"/>
  <c r="T64" i="17"/>
  <c r="U64" i="17" s="1"/>
  <c r="T16" i="17"/>
  <c r="V16" i="17" s="1"/>
  <c r="T41" i="17"/>
  <c r="U41" i="17" s="1"/>
  <c r="T66" i="17"/>
  <c r="U66" i="17" s="1"/>
  <c r="I73" i="18"/>
  <c r="U47" i="17"/>
  <c r="V47" i="17"/>
  <c r="V28" i="17"/>
  <c r="V49" i="17"/>
  <c r="U49" i="17"/>
  <c r="U17" i="17"/>
  <c r="V17" i="17"/>
  <c r="V5" i="17"/>
  <c r="U5" i="17"/>
  <c r="T43" i="17"/>
  <c r="T31" i="17"/>
  <c r="U68" i="17"/>
  <c r="V68" i="17"/>
  <c r="U13" i="17"/>
  <c r="V13" i="17"/>
  <c r="T45" i="17"/>
  <c r="V35" i="17"/>
  <c r="U35" i="17"/>
  <c r="V29" i="17"/>
  <c r="U29" i="17"/>
  <c r="T20" i="17"/>
  <c r="T39" i="17"/>
  <c r="V54" i="17"/>
  <c r="U54" i="17"/>
  <c r="U14" i="17"/>
  <c r="V14" i="17"/>
  <c r="V26" i="17"/>
  <c r="U26" i="17"/>
  <c r="R11" i="17"/>
  <c r="L70" i="17"/>
  <c r="L72" i="17" s="1"/>
  <c r="V25" i="17"/>
  <c r="T2" i="17"/>
  <c r="K70" i="17"/>
  <c r="O70" i="17"/>
  <c r="P70" i="17"/>
  <c r="U21" i="17"/>
  <c r="U52" i="17"/>
  <c r="U10" i="17" l="1"/>
  <c r="U33" i="17"/>
  <c r="V22" i="17"/>
  <c r="U23" i="17"/>
  <c r="R70" i="17"/>
  <c r="R72" i="17" s="1"/>
  <c r="V8" i="17"/>
  <c r="V67" i="17"/>
  <c r="U18" i="17"/>
  <c r="V19" i="17"/>
  <c r="V7" i="17"/>
  <c r="V27" i="17"/>
  <c r="V59" i="17"/>
  <c r="U40" i="17"/>
  <c r="V60" i="17"/>
  <c r="V53" i="17"/>
  <c r="U38" i="17"/>
  <c r="U61" i="17"/>
  <c r="U37" i="17"/>
  <c r="V15" i="17"/>
  <c r="U63" i="17"/>
  <c r="U36" i="17"/>
  <c r="V12" i="17"/>
  <c r="U24" i="17"/>
  <c r="U42" i="17"/>
  <c r="V58" i="17"/>
  <c r="V34" i="17"/>
  <c r="U44" i="17"/>
  <c r="U51" i="17"/>
  <c r="V30" i="17"/>
  <c r="U57" i="17"/>
  <c r="V66" i="17"/>
  <c r="U55" i="17"/>
  <c r="V41" i="17"/>
  <c r="V32" i="17"/>
  <c r="V4" i="17"/>
  <c r="U9" i="17"/>
  <c r="U50" i="17"/>
  <c r="U56" i="17"/>
  <c r="U48" i="17"/>
  <c r="U46" i="17"/>
  <c r="U65" i="17"/>
  <c r="U62" i="17"/>
  <c r="T11" i="17"/>
  <c r="U11" i="17" s="1"/>
  <c r="V64" i="17"/>
  <c r="U16" i="17"/>
  <c r="J73" i="18"/>
  <c r="J32" i="18" s="1"/>
  <c r="J13" i="18"/>
  <c r="J45" i="18"/>
  <c r="J57" i="18"/>
  <c r="U2" i="17"/>
  <c r="V2" i="17"/>
  <c r="U45" i="17"/>
  <c r="V45" i="17"/>
  <c r="V39" i="17"/>
  <c r="U39" i="17"/>
  <c r="V20" i="17"/>
  <c r="U20" i="17"/>
  <c r="V31" i="17"/>
  <c r="U31" i="17"/>
  <c r="V43" i="17"/>
  <c r="U43" i="17"/>
  <c r="V11" i="17" l="1"/>
  <c r="T70" i="17"/>
  <c r="T78" i="17" s="1"/>
  <c r="J9" i="18"/>
  <c r="J37" i="18"/>
  <c r="J27" i="18"/>
  <c r="J67" i="18"/>
  <c r="J66" i="18"/>
  <c r="J25" i="18"/>
  <c r="J18" i="18"/>
  <c r="J35" i="18"/>
  <c r="J56" i="18"/>
  <c r="J68" i="18"/>
  <c r="J51" i="18"/>
  <c r="J34" i="18"/>
  <c r="J49" i="18"/>
  <c r="J52" i="18"/>
  <c r="J55" i="18"/>
  <c r="J40" i="18"/>
  <c r="J71" i="18"/>
  <c r="J63" i="18"/>
  <c r="J23" i="18"/>
  <c r="J7" i="18"/>
  <c r="J24" i="18"/>
  <c r="J28" i="18"/>
  <c r="J21" i="18"/>
  <c r="J70" i="18"/>
  <c r="J48" i="18"/>
  <c r="J39" i="18"/>
  <c r="J16" i="18"/>
  <c r="J41" i="18"/>
  <c r="J59" i="18"/>
  <c r="J36" i="18"/>
  <c r="J64" i="18"/>
  <c r="J20" i="18"/>
  <c r="J44" i="18"/>
  <c r="J43" i="18"/>
  <c r="J46" i="18"/>
  <c r="J6" i="18"/>
  <c r="J60" i="18"/>
  <c r="J38" i="18"/>
  <c r="J33" i="18"/>
  <c r="J31" i="18"/>
  <c r="J8" i="18"/>
  <c r="J11" i="18"/>
  <c r="J5" i="18"/>
  <c r="J19" i="18"/>
  <c r="J69" i="18"/>
  <c r="J15" i="18"/>
  <c r="J65" i="18"/>
  <c r="J50" i="18"/>
  <c r="J30" i="18"/>
  <c r="J54" i="18"/>
  <c r="J47" i="18"/>
  <c r="J62" i="18"/>
  <c r="J17" i="18"/>
  <c r="J29" i="18"/>
  <c r="J53" i="18"/>
  <c r="J10" i="18"/>
  <c r="J26" i="18"/>
  <c r="J22" i="18"/>
  <c r="J42" i="18"/>
  <c r="J12" i="18"/>
  <c r="J58" i="18"/>
  <c r="J14" i="18"/>
  <c r="J61" i="18"/>
  <c r="U70" i="17" l="1"/>
  <c r="V70" i="17"/>
  <c r="D3" i="14" l="1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2" i="14"/>
  <c r="C70" i="14"/>
  <c r="H70" i="4" l="1"/>
  <c r="E70" i="4"/>
  <c r="E71" i="4" s="1"/>
  <c r="D70" i="4"/>
  <c r="C70" i="4"/>
  <c r="B70" i="4"/>
  <c r="J68" i="4"/>
  <c r="I68" i="4"/>
  <c r="F68" i="4"/>
  <c r="K68" i="4" s="1"/>
  <c r="L68" i="4" s="1"/>
  <c r="K67" i="4"/>
  <c r="L67" i="4" s="1"/>
  <c r="J67" i="4"/>
  <c r="I67" i="4"/>
  <c r="F67" i="4"/>
  <c r="J66" i="4"/>
  <c r="I66" i="4"/>
  <c r="F66" i="4"/>
  <c r="K66" i="4" s="1"/>
  <c r="L66" i="4" s="1"/>
  <c r="J65" i="4"/>
  <c r="I65" i="4"/>
  <c r="F65" i="4"/>
  <c r="K65" i="4" s="1"/>
  <c r="L65" i="4" s="1"/>
  <c r="J64" i="4"/>
  <c r="I64" i="4"/>
  <c r="F64" i="4"/>
  <c r="K64" i="4" s="1"/>
  <c r="L64" i="4" s="1"/>
  <c r="J63" i="4"/>
  <c r="I63" i="4"/>
  <c r="F63" i="4"/>
  <c r="K63" i="4" s="1"/>
  <c r="L63" i="4" s="1"/>
  <c r="J62" i="4"/>
  <c r="I62" i="4"/>
  <c r="F62" i="4"/>
  <c r="K62" i="4" s="1"/>
  <c r="L62" i="4" s="1"/>
  <c r="J61" i="4"/>
  <c r="I61" i="4"/>
  <c r="F61" i="4"/>
  <c r="K61" i="4" s="1"/>
  <c r="L61" i="4" s="1"/>
  <c r="K60" i="4"/>
  <c r="L60" i="4" s="1"/>
  <c r="J60" i="4"/>
  <c r="I60" i="4"/>
  <c r="F60" i="4"/>
  <c r="J59" i="4"/>
  <c r="G59" i="4"/>
  <c r="I59" i="4" s="1"/>
  <c r="F59" i="4"/>
  <c r="K59" i="4" s="1"/>
  <c r="L59" i="4" s="1"/>
  <c r="J58" i="4"/>
  <c r="I58" i="4"/>
  <c r="F58" i="4"/>
  <c r="K58" i="4" s="1"/>
  <c r="L58" i="4" s="1"/>
  <c r="K57" i="4"/>
  <c r="L57" i="4" s="1"/>
  <c r="J57" i="4"/>
  <c r="I57" i="4"/>
  <c r="F57" i="4"/>
  <c r="J56" i="4"/>
  <c r="I56" i="4"/>
  <c r="F56" i="4"/>
  <c r="K56" i="4" s="1"/>
  <c r="L56" i="4" s="1"/>
  <c r="J55" i="4"/>
  <c r="I55" i="4"/>
  <c r="F55" i="4"/>
  <c r="K55" i="4" s="1"/>
  <c r="L55" i="4" s="1"/>
  <c r="J54" i="4"/>
  <c r="I54" i="4"/>
  <c r="F54" i="4"/>
  <c r="K54" i="4" s="1"/>
  <c r="L54" i="4" s="1"/>
  <c r="K53" i="4"/>
  <c r="L53" i="4" s="1"/>
  <c r="J53" i="4"/>
  <c r="I53" i="4"/>
  <c r="F53" i="4"/>
  <c r="K52" i="4"/>
  <c r="L52" i="4" s="1"/>
  <c r="J52" i="4"/>
  <c r="I52" i="4"/>
  <c r="F52" i="4"/>
  <c r="K51" i="4"/>
  <c r="L51" i="4" s="1"/>
  <c r="J51" i="4"/>
  <c r="I51" i="4"/>
  <c r="F51" i="4"/>
  <c r="J50" i="4"/>
  <c r="I50" i="4"/>
  <c r="K50" i="4" s="1"/>
  <c r="L50" i="4" s="1"/>
  <c r="F50" i="4"/>
  <c r="J49" i="4"/>
  <c r="I49" i="4"/>
  <c r="F49" i="4"/>
  <c r="K49" i="4" s="1"/>
  <c r="L49" i="4" s="1"/>
  <c r="K48" i="4"/>
  <c r="L48" i="4" s="1"/>
  <c r="J48" i="4"/>
  <c r="I48" i="4"/>
  <c r="F48" i="4"/>
  <c r="J47" i="4"/>
  <c r="I47" i="4"/>
  <c r="F47" i="4"/>
  <c r="K47" i="4" s="1"/>
  <c r="L47" i="4" s="1"/>
  <c r="J46" i="4"/>
  <c r="I46" i="4"/>
  <c r="F46" i="4"/>
  <c r="K46" i="4" s="1"/>
  <c r="L46" i="4" s="1"/>
  <c r="J45" i="4"/>
  <c r="I45" i="4"/>
  <c r="K45" i="4" s="1"/>
  <c r="L45" i="4" s="1"/>
  <c r="F45" i="4"/>
  <c r="J44" i="4"/>
  <c r="I44" i="4"/>
  <c r="F44" i="4"/>
  <c r="K44" i="4" s="1"/>
  <c r="L44" i="4" s="1"/>
  <c r="J43" i="4"/>
  <c r="I43" i="4"/>
  <c r="F43" i="4"/>
  <c r="K43" i="4" s="1"/>
  <c r="L43" i="4" s="1"/>
  <c r="J42" i="4"/>
  <c r="I42" i="4"/>
  <c r="F42" i="4"/>
  <c r="K42" i="4" s="1"/>
  <c r="L42" i="4" s="1"/>
  <c r="K41" i="4"/>
  <c r="L41" i="4" s="1"/>
  <c r="J41" i="4"/>
  <c r="I41" i="4"/>
  <c r="F41" i="4"/>
  <c r="J40" i="4"/>
  <c r="I40" i="4"/>
  <c r="F40" i="4"/>
  <c r="K40" i="4" s="1"/>
  <c r="L40" i="4" s="1"/>
  <c r="J39" i="4"/>
  <c r="I39" i="4"/>
  <c r="F39" i="4"/>
  <c r="K39" i="4" s="1"/>
  <c r="L39" i="4" s="1"/>
  <c r="J38" i="4"/>
  <c r="I38" i="4"/>
  <c r="F38" i="4"/>
  <c r="K38" i="4" s="1"/>
  <c r="L38" i="4" s="1"/>
  <c r="K37" i="4"/>
  <c r="L37" i="4" s="1"/>
  <c r="J37" i="4"/>
  <c r="I37" i="4"/>
  <c r="F37" i="4"/>
  <c r="K36" i="4"/>
  <c r="L36" i="4" s="1"/>
  <c r="J36" i="4"/>
  <c r="I36" i="4"/>
  <c r="F36" i="4"/>
  <c r="K35" i="4"/>
  <c r="L35" i="4" s="1"/>
  <c r="J35" i="4"/>
  <c r="I35" i="4"/>
  <c r="F35" i="4"/>
  <c r="K34" i="4"/>
  <c r="L34" i="4" s="1"/>
  <c r="J34" i="4"/>
  <c r="I34" i="4"/>
  <c r="F34" i="4"/>
  <c r="J33" i="4"/>
  <c r="I33" i="4"/>
  <c r="F33" i="4"/>
  <c r="K33" i="4" s="1"/>
  <c r="L33" i="4" s="1"/>
  <c r="K32" i="4"/>
  <c r="L32" i="4" s="1"/>
  <c r="J32" i="4"/>
  <c r="I32" i="4"/>
  <c r="F32" i="4"/>
  <c r="J31" i="4"/>
  <c r="I31" i="4"/>
  <c r="F31" i="4"/>
  <c r="K31" i="4" s="1"/>
  <c r="L31" i="4" s="1"/>
  <c r="J30" i="4"/>
  <c r="I30" i="4"/>
  <c r="F30" i="4"/>
  <c r="K30" i="4" s="1"/>
  <c r="L30" i="4" s="1"/>
  <c r="J29" i="4"/>
  <c r="I29" i="4"/>
  <c r="F29" i="4"/>
  <c r="K29" i="4" s="1"/>
  <c r="L29" i="4" s="1"/>
  <c r="J28" i="4"/>
  <c r="I28" i="4"/>
  <c r="F28" i="4"/>
  <c r="K28" i="4" s="1"/>
  <c r="L28" i="4" s="1"/>
  <c r="J27" i="4"/>
  <c r="I27" i="4"/>
  <c r="F27" i="4"/>
  <c r="K27" i="4" s="1"/>
  <c r="L27" i="4" s="1"/>
  <c r="J26" i="4"/>
  <c r="I26" i="4"/>
  <c r="F26" i="4"/>
  <c r="K26" i="4" s="1"/>
  <c r="L26" i="4" s="1"/>
  <c r="K25" i="4"/>
  <c r="L25" i="4" s="1"/>
  <c r="J25" i="4"/>
  <c r="I25" i="4"/>
  <c r="F25" i="4"/>
  <c r="J24" i="4"/>
  <c r="I24" i="4"/>
  <c r="F24" i="4"/>
  <c r="K24" i="4" s="1"/>
  <c r="L24" i="4" s="1"/>
  <c r="J23" i="4"/>
  <c r="I23" i="4"/>
  <c r="F23" i="4"/>
  <c r="K23" i="4" s="1"/>
  <c r="L23" i="4" s="1"/>
  <c r="J22" i="4"/>
  <c r="I22" i="4"/>
  <c r="F22" i="4"/>
  <c r="K22" i="4" s="1"/>
  <c r="L22" i="4" s="1"/>
  <c r="K21" i="4"/>
  <c r="L21" i="4" s="1"/>
  <c r="J21" i="4"/>
  <c r="I21" i="4"/>
  <c r="F21" i="4"/>
  <c r="K20" i="4"/>
  <c r="L20" i="4" s="1"/>
  <c r="J20" i="4"/>
  <c r="I20" i="4"/>
  <c r="F20" i="4"/>
  <c r="K19" i="4"/>
  <c r="L19" i="4" s="1"/>
  <c r="J19" i="4"/>
  <c r="I19" i="4"/>
  <c r="F19" i="4"/>
  <c r="K18" i="4"/>
  <c r="L18" i="4" s="1"/>
  <c r="J18" i="4"/>
  <c r="I18" i="4"/>
  <c r="F18" i="4"/>
  <c r="J17" i="4"/>
  <c r="I17" i="4"/>
  <c r="F17" i="4"/>
  <c r="K17" i="4" s="1"/>
  <c r="L17" i="4" s="1"/>
  <c r="K16" i="4"/>
  <c r="L16" i="4" s="1"/>
  <c r="J16" i="4"/>
  <c r="J70" i="4" s="1"/>
  <c r="I16" i="4"/>
  <c r="F16" i="4"/>
  <c r="J15" i="4"/>
  <c r="I15" i="4"/>
  <c r="F15" i="4"/>
  <c r="K15" i="4" s="1"/>
  <c r="L15" i="4" s="1"/>
  <c r="J14" i="4"/>
  <c r="I14" i="4"/>
  <c r="F14" i="4"/>
  <c r="K14" i="4" s="1"/>
  <c r="L14" i="4" s="1"/>
  <c r="J13" i="4"/>
  <c r="I13" i="4"/>
  <c r="F13" i="4"/>
  <c r="K13" i="4" s="1"/>
  <c r="L13" i="4" s="1"/>
  <c r="J12" i="4"/>
  <c r="I12" i="4"/>
  <c r="F12" i="4"/>
  <c r="K12" i="4" s="1"/>
  <c r="L12" i="4" s="1"/>
  <c r="J11" i="4"/>
  <c r="I11" i="4"/>
  <c r="F11" i="4"/>
  <c r="K11" i="4" s="1"/>
  <c r="L11" i="4" s="1"/>
  <c r="J10" i="4"/>
  <c r="I10" i="4"/>
  <c r="F10" i="4"/>
  <c r="K10" i="4" s="1"/>
  <c r="L10" i="4" s="1"/>
  <c r="K9" i="4"/>
  <c r="L9" i="4" s="1"/>
  <c r="J9" i="4"/>
  <c r="I9" i="4"/>
  <c r="F9" i="4"/>
  <c r="J8" i="4"/>
  <c r="I8" i="4"/>
  <c r="F8" i="4"/>
  <c r="K8" i="4" s="1"/>
  <c r="L8" i="4" s="1"/>
  <c r="J7" i="4"/>
  <c r="I7" i="4"/>
  <c r="F7" i="4"/>
  <c r="K7" i="4" s="1"/>
  <c r="L7" i="4" s="1"/>
  <c r="J6" i="4"/>
  <c r="I6" i="4"/>
  <c r="F6" i="4"/>
  <c r="K6" i="4" s="1"/>
  <c r="L6" i="4" s="1"/>
  <c r="K5" i="4"/>
  <c r="L5" i="4" s="1"/>
  <c r="J5" i="4"/>
  <c r="I5" i="4"/>
  <c r="F5" i="4"/>
  <c r="K4" i="4"/>
  <c r="L4" i="4" s="1"/>
  <c r="J4" i="4"/>
  <c r="I4" i="4"/>
  <c r="F4" i="4"/>
  <c r="K3" i="4"/>
  <c r="L3" i="4" s="1"/>
  <c r="J3" i="4"/>
  <c r="I3" i="4"/>
  <c r="F3" i="4"/>
  <c r="K2" i="4"/>
  <c r="L2" i="4" s="1"/>
  <c r="J2" i="4"/>
  <c r="I2" i="4"/>
  <c r="I70" i="4" s="1"/>
  <c r="F2" i="4"/>
  <c r="F70" i="4" s="1"/>
  <c r="G70" i="4" l="1"/>
  <c r="K70" i="4"/>
  <c r="B5" i="3" l="1"/>
  <c r="B6" i="3" l="1"/>
  <c r="E252" i="2"/>
  <c r="C305" i="2"/>
  <c r="E274" i="2"/>
  <c r="C307" i="2"/>
  <c r="C306" i="2"/>
  <c r="E138" i="2"/>
  <c r="B7" i="3" l="1"/>
  <c r="B8" i="3" s="1"/>
  <c r="E2" i="2"/>
  <c r="E317" i="2" l="1"/>
  <c r="C317" i="2"/>
  <c r="C304" i="2"/>
  <c r="C299" i="2"/>
  <c r="E298" i="2"/>
  <c r="E297" i="2"/>
  <c r="E296" i="2"/>
  <c r="E295" i="2"/>
  <c r="C294" i="2"/>
  <c r="E293" i="2"/>
  <c r="E292" i="2"/>
  <c r="E291" i="2"/>
  <c r="C290" i="2"/>
  <c r="E289" i="2"/>
  <c r="E288" i="2"/>
  <c r="E287" i="2"/>
  <c r="C286" i="2"/>
  <c r="E285" i="2"/>
  <c r="E284" i="2"/>
  <c r="E283" i="2"/>
  <c r="E282" i="2"/>
  <c r="C281" i="2"/>
  <c r="E280" i="2"/>
  <c r="E279" i="2"/>
  <c r="E278" i="2"/>
  <c r="C277" i="2"/>
  <c r="E276" i="2"/>
  <c r="E275" i="2"/>
  <c r="E273" i="2"/>
  <c r="C272" i="2"/>
  <c r="E271" i="2"/>
  <c r="E270" i="2"/>
  <c r="E269" i="2"/>
  <c r="C268" i="2"/>
  <c r="E267" i="2"/>
  <c r="E266" i="2"/>
  <c r="E265" i="2"/>
  <c r="C264" i="2"/>
  <c r="E263" i="2"/>
  <c r="E262" i="2"/>
  <c r="E261" i="2"/>
  <c r="E260" i="2"/>
  <c r="C259" i="2"/>
  <c r="E258" i="2"/>
  <c r="E257" i="2"/>
  <c r="E256" i="2"/>
  <c r="E255" i="2"/>
  <c r="C254" i="2"/>
  <c r="E253" i="2"/>
  <c r="E251" i="2"/>
  <c r="E250" i="2"/>
  <c r="C249" i="2"/>
  <c r="E248" i="2"/>
  <c r="E247" i="2"/>
  <c r="E246" i="2"/>
  <c r="C245" i="2"/>
  <c r="E244" i="2"/>
  <c r="E243" i="2"/>
  <c r="E242" i="2"/>
  <c r="E241" i="2"/>
  <c r="C240" i="2"/>
  <c r="E239" i="2"/>
  <c r="E238" i="2"/>
  <c r="E237" i="2"/>
  <c r="E236" i="2"/>
  <c r="C235" i="2"/>
  <c r="E234" i="2"/>
  <c r="E233" i="2"/>
  <c r="E232" i="2"/>
  <c r="C231" i="2"/>
  <c r="E230" i="2"/>
  <c r="E229" i="2"/>
  <c r="E228" i="2"/>
  <c r="C227" i="2"/>
  <c r="E226" i="2"/>
  <c r="E225" i="2"/>
  <c r="E224" i="2"/>
  <c r="E223" i="2"/>
  <c r="C222" i="2"/>
  <c r="E221" i="2"/>
  <c r="E220" i="2"/>
  <c r="E219" i="2"/>
  <c r="E218" i="2"/>
  <c r="C217" i="2"/>
  <c r="E216" i="2"/>
  <c r="E215" i="2"/>
  <c r="E214" i="2"/>
  <c r="E213" i="2"/>
  <c r="C212" i="2"/>
  <c r="E211" i="2"/>
  <c r="E210" i="2"/>
  <c r="E209" i="2"/>
  <c r="E208" i="2"/>
  <c r="C207" i="2"/>
  <c r="E206" i="2"/>
  <c r="E205" i="2"/>
  <c r="C204" i="2"/>
  <c r="E203" i="2"/>
  <c r="E202" i="2"/>
  <c r="E201" i="2"/>
  <c r="C200" i="2"/>
  <c r="E199" i="2"/>
  <c r="E198" i="2"/>
  <c r="E197" i="2"/>
  <c r="E196" i="2"/>
  <c r="C195" i="2"/>
  <c r="E194" i="2"/>
  <c r="E193" i="2"/>
  <c r="E192" i="2"/>
  <c r="E191" i="2"/>
  <c r="C190" i="2"/>
  <c r="E189" i="2"/>
  <c r="E188" i="2"/>
  <c r="E187" i="2"/>
  <c r="E186" i="2"/>
  <c r="C185" i="2"/>
  <c r="E184" i="2"/>
  <c r="E183" i="2"/>
  <c r="E182" i="2"/>
  <c r="C181" i="2"/>
  <c r="E180" i="2"/>
  <c r="E179" i="2"/>
  <c r="E178" i="2"/>
  <c r="C177" i="2"/>
  <c r="E176" i="2"/>
  <c r="E175" i="2"/>
  <c r="E174" i="2"/>
  <c r="E173" i="2"/>
  <c r="C172" i="2"/>
  <c r="E171" i="2"/>
  <c r="E170" i="2"/>
  <c r="C169" i="2"/>
  <c r="E168" i="2"/>
  <c r="E167" i="2"/>
  <c r="E166" i="2"/>
  <c r="C165" i="2"/>
  <c r="E164" i="2"/>
  <c r="E163" i="2"/>
  <c r="E162" i="2"/>
  <c r="C161" i="2"/>
  <c r="E160" i="2"/>
  <c r="E159" i="2"/>
  <c r="E158" i="2"/>
  <c r="E157" i="2"/>
  <c r="C156" i="2"/>
  <c r="E155" i="2"/>
  <c r="E154" i="2"/>
  <c r="E153" i="2"/>
  <c r="E152" i="2"/>
  <c r="C151" i="2"/>
  <c r="E150" i="2"/>
  <c r="E149" i="2"/>
  <c r="E148" i="2"/>
  <c r="E147" i="2"/>
  <c r="C146" i="2"/>
  <c r="E145" i="2"/>
  <c r="E144" i="2"/>
  <c r="C143" i="2"/>
  <c r="E142" i="2"/>
  <c r="E141" i="2"/>
  <c r="C140" i="2"/>
  <c r="E139" i="2"/>
  <c r="E137" i="2"/>
  <c r="E136" i="2"/>
  <c r="C135" i="2"/>
  <c r="E134" i="2"/>
  <c r="E133" i="2"/>
  <c r="E132" i="2"/>
  <c r="E131" i="2"/>
  <c r="C130" i="2"/>
  <c r="E129" i="2"/>
  <c r="E128" i="2"/>
  <c r="E127" i="2"/>
  <c r="C126" i="2"/>
  <c r="E125" i="2"/>
  <c r="E124" i="2"/>
  <c r="E123" i="2"/>
  <c r="E122" i="2"/>
  <c r="C121" i="2"/>
  <c r="E120" i="2"/>
  <c r="E119" i="2"/>
  <c r="E118" i="2"/>
  <c r="E117" i="2"/>
  <c r="C116" i="2"/>
  <c r="E115" i="2"/>
  <c r="E114" i="2"/>
  <c r="E113" i="2"/>
  <c r="C112" i="2"/>
  <c r="E111" i="2"/>
  <c r="E110" i="2"/>
  <c r="E109" i="2"/>
  <c r="C108" i="2"/>
  <c r="E107" i="2"/>
  <c r="E106" i="2"/>
  <c r="E105" i="2"/>
  <c r="C104" i="2"/>
  <c r="E103" i="2"/>
  <c r="E102" i="2"/>
  <c r="E101" i="2"/>
  <c r="C100" i="2"/>
  <c r="E99" i="2"/>
  <c r="E98" i="2"/>
  <c r="E97" i="2"/>
  <c r="C96" i="2"/>
  <c r="E95" i="2"/>
  <c r="E94" i="2"/>
  <c r="E93" i="2"/>
  <c r="C92" i="2"/>
  <c r="E91" i="2"/>
  <c r="E90" i="2"/>
  <c r="E89" i="2"/>
  <c r="C88" i="2"/>
  <c r="E87" i="2"/>
  <c r="E86" i="2"/>
  <c r="E85" i="2"/>
  <c r="C84" i="2"/>
  <c r="E83" i="2"/>
  <c r="E82" i="2"/>
  <c r="E81" i="2"/>
  <c r="E80" i="2"/>
  <c r="C79" i="2"/>
  <c r="E78" i="2"/>
  <c r="E77" i="2"/>
  <c r="E76" i="2"/>
  <c r="C75" i="2"/>
  <c r="E74" i="2"/>
  <c r="E73" i="2"/>
  <c r="E72" i="2"/>
  <c r="E71" i="2"/>
  <c r="C70" i="2"/>
  <c r="E69" i="2"/>
  <c r="E68" i="2"/>
  <c r="E67" i="2"/>
  <c r="E66" i="2"/>
  <c r="C65" i="2"/>
  <c r="E64" i="2"/>
  <c r="E63" i="2"/>
  <c r="E62" i="2"/>
  <c r="C61" i="2"/>
  <c r="E60" i="2"/>
  <c r="E59" i="2"/>
  <c r="E58" i="2"/>
  <c r="C57" i="2"/>
  <c r="E56" i="2"/>
  <c r="E55" i="2"/>
  <c r="E54" i="2"/>
  <c r="C53" i="2"/>
  <c r="E52" i="2"/>
  <c r="E51" i="2"/>
  <c r="E50" i="2"/>
  <c r="E49" i="2"/>
  <c r="C48" i="2"/>
  <c r="E47" i="2"/>
  <c r="E46" i="2"/>
  <c r="E45" i="2"/>
  <c r="E44" i="2"/>
  <c r="C43" i="2"/>
  <c r="E42" i="2"/>
  <c r="E41" i="2"/>
  <c r="E40" i="2"/>
  <c r="C39" i="2"/>
  <c r="E38" i="2"/>
  <c r="E37" i="2"/>
  <c r="E36" i="2"/>
  <c r="E35" i="2"/>
  <c r="C34" i="2"/>
  <c r="E33" i="2"/>
  <c r="E32" i="2"/>
  <c r="E31" i="2"/>
  <c r="C30" i="2"/>
  <c r="E29" i="2"/>
  <c r="E28" i="2"/>
  <c r="E27" i="2"/>
  <c r="E26" i="2"/>
  <c r="C25" i="2"/>
  <c r="E24" i="2"/>
  <c r="E23" i="2"/>
  <c r="E22" i="2"/>
  <c r="E21" i="2"/>
  <c r="C20" i="2"/>
  <c r="E19" i="2"/>
  <c r="E18" i="2"/>
  <c r="E17" i="2"/>
  <c r="C16" i="2"/>
  <c r="E15" i="2"/>
  <c r="E14" i="2"/>
  <c r="E13" i="2"/>
  <c r="E12" i="2"/>
  <c r="C11" i="2"/>
  <c r="E10" i="2"/>
  <c r="E9" i="2"/>
  <c r="E8" i="2"/>
  <c r="E7" i="2"/>
  <c r="C6" i="2"/>
  <c r="E5" i="2"/>
  <c r="E4" i="2"/>
  <c r="E3" i="2"/>
  <c r="E305" i="2" l="1"/>
  <c r="E307" i="2"/>
  <c r="E306" i="2"/>
  <c r="E235" i="2"/>
  <c r="E172" i="2"/>
  <c r="E20" i="2"/>
  <c r="E25" i="2"/>
  <c r="E75" i="2"/>
  <c r="E200" i="2"/>
  <c r="E30" i="2"/>
  <c r="E268" i="2"/>
  <c r="C308" i="2"/>
  <c r="E146" i="2"/>
  <c r="E212" i="2"/>
  <c r="E165" i="2"/>
  <c r="E88" i="2"/>
  <c r="E299" i="2"/>
  <c r="E140" i="2"/>
  <c r="E222" i="2"/>
  <c r="E130" i="2"/>
  <c r="E100" i="2"/>
  <c r="E245" i="2"/>
  <c r="E121" i="2"/>
  <c r="E92" i="2"/>
  <c r="E290" i="2"/>
  <c r="E79" i="2"/>
  <c r="E249" i="2"/>
  <c r="E126" i="2"/>
  <c r="E6" i="2"/>
  <c r="E190" i="2"/>
  <c r="C301" i="2"/>
  <c r="E116" i="2"/>
  <c r="E11" i="2"/>
  <c r="E57" i="2"/>
  <c r="E272" i="2"/>
  <c r="E43" i="2"/>
  <c r="E227" i="2"/>
  <c r="E53" i="2"/>
  <c r="E39" i="2"/>
  <c r="E112" i="2"/>
  <c r="E185" i="2"/>
  <c r="E231" i="2"/>
  <c r="E84" i="2"/>
  <c r="E143" i="2"/>
  <c r="E277" i="2"/>
  <c r="E294" i="2"/>
  <c r="E96" i="2"/>
  <c r="E161" i="2"/>
  <c r="E177" i="2"/>
  <c r="E281" i="2"/>
  <c r="E304" i="2"/>
  <c r="E204" i="2"/>
  <c r="E264" i="2"/>
  <c r="E61" i="2"/>
  <c r="E104" i="2"/>
  <c r="E207" i="2"/>
  <c r="E254" i="2"/>
  <c r="E286" i="2"/>
  <c r="E70" i="2"/>
  <c r="E48" i="2"/>
  <c r="E135" i="2"/>
  <c r="E151" i="2"/>
  <c r="E240" i="2"/>
  <c r="E217" i="2"/>
  <c r="E34" i="2"/>
  <c r="E181" i="2"/>
  <c r="E195" i="2"/>
  <c r="E169" i="2"/>
  <c r="E259" i="2"/>
  <c r="E65" i="2"/>
  <c r="E108" i="2"/>
  <c r="E156" i="2"/>
  <c r="E16" i="2"/>
  <c r="C309" i="2" l="1"/>
  <c r="E308" i="2"/>
  <c r="E301" i="2"/>
  <c r="E309" i="2" l="1"/>
</calcChain>
</file>

<file path=xl/sharedStrings.xml><?xml version="1.0" encoding="utf-8"?>
<sst xmlns="http://schemas.openxmlformats.org/spreadsheetml/2006/main" count="1331" uniqueCount="289">
  <si>
    <t>County</t>
  </si>
  <si>
    <t>FRS Type</t>
  </si>
  <si>
    <t>Salary Allocation Court Amount</t>
  </si>
  <si>
    <t>FRS Increase %</t>
  </si>
  <si>
    <t>Alachua</t>
  </si>
  <si>
    <t>Reg EE</t>
  </si>
  <si>
    <t>SMS</t>
  </si>
  <si>
    <t>DROP</t>
  </si>
  <si>
    <t>Clerk</t>
  </si>
  <si>
    <t>Alachua Total</t>
  </si>
  <si>
    <t>Baker</t>
  </si>
  <si>
    <t>Baker Total</t>
  </si>
  <si>
    <t>Bay</t>
  </si>
  <si>
    <t>Bay Total</t>
  </si>
  <si>
    <t>Bradford</t>
  </si>
  <si>
    <t>Bradford Total</t>
  </si>
  <si>
    <t>Brevard</t>
  </si>
  <si>
    <t>Brevard Total</t>
  </si>
  <si>
    <t>Broward</t>
  </si>
  <si>
    <t>Broward Total</t>
  </si>
  <si>
    <t>Calhoun</t>
  </si>
  <si>
    <t>Calhoun Total</t>
  </si>
  <si>
    <t>Charlotte</t>
  </si>
  <si>
    <t>Charlotte Total</t>
  </si>
  <si>
    <t>Citrus</t>
  </si>
  <si>
    <t>Citrus Total</t>
  </si>
  <si>
    <t>Clay</t>
  </si>
  <si>
    <t>Clay Total</t>
  </si>
  <si>
    <t>Collier</t>
  </si>
  <si>
    <t>Collier Total</t>
  </si>
  <si>
    <t>Columbia</t>
  </si>
  <si>
    <t>Columbia Total</t>
  </si>
  <si>
    <t>DeSoto</t>
  </si>
  <si>
    <t>DeSoto Total</t>
  </si>
  <si>
    <t>Dixie</t>
  </si>
  <si>
    <t>Dixie Total</t>
  </si>
  <si>
    <t>Duval</t>
  </si>
  <si>
    <t>Non-FRS (SMS-Equivalent)</t>
  </si>
  <si>
    <t>Non-FRS (Investment Plan)</t>
  </si>
  <si>
    <t>Non-FRS (Pension)</t>
  </si>
  <si>
    <t>Duval Total</t>
  </si>
  <si>
    <t>Escambia</t>
  </si>
  <si>
    <t>Escambia Total</t>
  </si>
  <si>
    <t>Flagler</t>
  </si>
  <si>
    <t>Flagler Total</t>
  </si>
  <si>
    <t>Franklin</t>
  </si>
  <si>
    <t>Franklin Total</t>
  </si>
  <si>
    <t>Gadsden</t>
  </si>
  <si>
    <t>Gadsden Total</t>
  </si>
  <si>
    <t>Gilchrist</t>
  </si>
  <si>
    <t>Gilchrist Total</t>
  </si>
  <si>
    <t>Glades</t>
  </si>
  <si>
    <t>Glades Total</t>
  </si>
  <si>
    <t>Gulf</t>
  </si>
  <si>
    <t>Gulf Total</t>
  </si>
  <si>
    <t>Hamilton</t>
  </si>
  <si>
    <t>Hamilton Total</t>
  </si>
  <si>
    <t>Hardee</t>
  </si>
  <si>
    <t>Hardee Total</t>
  </si>
  <si>
    <t>Hendry</t>
  </si>
  <si>
    <t>Hendry Total</t>
  </si>
  <si>
    <t>Hernando</t>
  </si>
  <si>
    <t>Hernando Total</t>
  </si>
  <si>
    <t>Highlands</t>
  </si>
  <si>
    <t>Highlands Total</t>
  </si>
  <si>
    <t>Hillsborough</t>
  </si>
  <si>
    <t>Hillsborough Total</t>
  </si>
  <si>
    <t>Holmes</t>
  </si>
  <si>
    <t>Holmes Total</t>
  </si>
  <si>
    <t>Indian River</t>
  </si>
  <si>
    <t>Indian River Total</t>
  </si>
  <si>
    <t>Jackson</t>
  </si>
  <si>
    <t>Jackson Total</t>
  </si>
  <si>
    <t>Jefferson</t>
  </si>
  <si>
    <t>Jefferson Total</t>
  </si>
  <si>
    <t>Lafayette</t>
  </si>
  <si>
    <t>Lafayette Total</t>
  </si>
  <si>
    <t>Lake</t>
  </si>
  <si>
    <t>Lake Total</t>
  </si>
  <si>
    <t>Lee</t>
  </si>
  <si>
    <t>Lee Total</t>
  </si>
  <si>
    <t>Leon</t>
  </si>
  <si>
    <t>Leon Total</t>
  </si>
  <si>
    <t>Levy</t>
  </si>
  <si>
    <t>Levy Total</t>
  </si>
  <si>
    <t>Liberty</t>
  </si>
  <si>
    <t>Liberty Total</t>
  </si>
  <si>
    <t>Madison</t>
  </si>
  <si>
    <t>Madison Total</t>
  </si>
  <si>
    <t>Manatee</t>
  </si>
  <si>
    <t>Manatee Total</t>
  </si>
  <si>
    <t>Marion</t>
  </si>
  <si>
    <t>Marion Total</t>
  </si>
  <si>
    <t>Martin</t>
  </si>
  <si>
    <t>Martin Total</t>
  </si>
  <si>
    <t>Miami-Dade</t>
  </si>
  <si>
    <t>Miami-Dade Total</t>
  </si>
  <si>
    <t>Monroe</t>
  </si>
  <si>
    <t>Monroe Total</t>
  </si>
  <si>
    <t>Nassau</t>
  </si>
  <si>
    <t>Nassau Total</t>
  </si>
  <si>
    <t>Okaloosa</t>
  </si>
  <si>
    <t>Okaloosa Total</t>
  </si>
  <si>
    <t>Okeechobee</t>
  </si>
  <si>
    <t>Okeechobee Total</t>
  </si>
  <si>
    <t>Orange</t>
  </si>
  <si>
    <t>Orange Total</t>
  </si>
  <si>
    <t>Osceola</t>
  </si>
  <si>
    <t>Osceola Total</t>
  </si>
  <si>
    <t>Palm Beach</t>
  </si>
  <si>
    <t>Palm Beach Total</t>
  </si>
  <si>
    <t>Pasco</t>
  </si>
  <si>
    <t>Pasco Total</t>
  </si>
  <si>
    <t>Pinellas</t>
  </si>
  <si>
    <t>Pinellas Total</t>
  </si>
  <si>
    <t>Polk</t>
  </si>
  <si>
    <t>Polk Total</t>
  </si>
  <si>
    <t>Putnam</t>
  </si>
  <si>
    <t>Putnam Total</t>
  </si>
  <si>
    <t>Saint Johns</t>
  </si>
  <si>
    <t>Saint Johns Total</t>
  </si>
  <si>
    <t>Saint Lucie</t>
  </si>
  <si>
    <t>Saint Lucie Total</t>
  </si>
  <si>
    <t>Santa Rosa</t>
  </si>
  <si>
    <t>Santa Rosa Total</t>
  </si>
  <si>
    <t>Sarasota</t>
  </si>
  <si>
    <t>Sarasota Total</t>
  </si>
  <si>
    <t>Seminole</t>
  </si>
  <si>
    <t>Seminole Total</t>
  </si>
  <si>
    <t>Sumter</t>
  </si>
  <si>
    <t>Sumter Total</t>
  </si>
  <si>
    <t>Suwannee</t>
  </si>
  <si>
    <t>Suwannee Total</t>
  </si>
  <si>
    <t>Taylor</t>
  </si>
  <si>
    <t>Taylor Total</t>
  </si>
  <si>
    <t>Union</t>
  </si>
  <si>
    <t>Union Total</t>
  </si>
  <si>
    <t>Volusia</t>
  </si>
  <si>
    <t>Volusia Total</t>
  </si>
  <si>
    <t>Wakulla</t>
  </si>
  <si>
    <t>Wakulla Total</t>
  </si>
  <si>
    <t>Walton</t>
  </si>
  <si>
    <t>Walton Total</t>
  </si>
  <si>
    <t>Washington</t>
  </si>
  <si>
    <t>Washington Total</t>
  </si>
  <si>
    <t>Grand Total</t>
  </si>
  <si>
    <t>2024 
FRS Increase</t>
  </si>
  <si>
    <t>Excess Revenue Collected Above the REC Estimate</t>
  </si>
  <si>
    <t>Clerks' Share of the Cumulative Excess (50%)</t>
  </si>
  <si>
    <t>CFY 2022-23 Cumulative Excess</t>
  </si>
  <si>
    <t>Cumulative Excess Calculation Summary (CFY 2022-23)</t>
  </si>
  <si>
    <t>Statutorily Required Amount to Reserve (10%)</t>
  </si>
  <si>
    <t>Final Budget Authority 
(Adopted by Exec. Council 9/21/22)</t>
  </si>
  <si>
    <t>CCOC Revenues
(Sep 22-Aug 23)
(EC Report)</t>
  </si>
  <si>
    <t>Funds Received from Trust Fund
(Sep 22-Aug 23)
(EC Report)</t>
  </si>
  <si>
    <t>Additional Revenues from Trust Fund
(EC Report)</t>
  </si>
  <si>
    <t>Total Revenues + Funds from Trust Fund</t>
  </si>
  <si>
    <t>Excess Revenue Sent to Trust Fund 
(Oct 22-Sep 23)
(DOR Report)</t>
  </si>
  <si>
    <t>CCOC Expenditures
(Oct 22-Sep 23)
(EC Report)</t>
  </si>
  <si>
    <t>Excess Revenue Sent to the TF + CCOC Expenditures</t>
  </si>
  <si>
    <t>Unspent 
Budgeted 
Funds</t>
  </si>
  <si>
    <t>CFY 2022-23
Settle-Up
Calculation</t>
  </si>
  <si>
    <t>Due To
(Due From) TF</t>
  </si>
  <si>
    <t>Statewide</t>
  </si>
  <si>
    <t>Peer
Group</t>
  </si>
  <si>
    <t>FRS 
Increase</t>
  </si>
  <si>
    <r>
      <rPr>
        <b/>
        <sz val="10"/>
        <color rgb="FFFF0000"/>
        <rFont val="Franklin Gothic Book"/>
        <family val="2"/>
      </rPr>
      <t>DEDUCT</t>
    </r>
    <r>
      <rPr>
        <b/>
        <sz val="10"/>
        <color theme="1"/>
        <rFont val="Franklin Gothic Book"/>
        <family val="2"/>
      </rPr>
      <t xml:space="preserve">
Budget Reduction Issues</t>
    </r>
  </si>
  <si>
    <t>TOTAL 
Funding 
Issues
Requested</t>
  </si>
  <si>
    <t>TOTAL 
FTE Requested</t>
  </si>
  <si>
    <t>Increase Over Base Budget</t>
  </si>
  <si>
    <t>Increase Over Current Year Budget</t>
  </si>
  <si>
    <t>STATEWIDE TOTAL</t>
  </si>
  <si>
    <t xml:space="preserve">Total New FTE:  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</si>
  <si>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Additional FRS 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</si>
  <si>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Additional Health Insurance 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</si>
  <si>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Pay &amp; Benefits/ COLA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</si>
  <si>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Pay &amp; Benefits: New FTE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</si>
  <si>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Compliance Issues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</si>
  <si>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IT Funded from CCOC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</si>
  <si>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Other</t>
    </r>
  </si>
  <si>
    <t>CFY 2023-24 Revenue-Limited Budget</t>
  </si>
  <si>
    <t>weighted cases</t>
  </si>
  <si>
    <t xml:space="preserve">Jury Reimbursement Funding:   </t>
  </si>
  <si>
    <t>CFY 2024-25 Base Budget</t>
  </si>
  <si>
    <t>CFY 2024-25 Total Requested Budget</t>
  </si>
  <si>
    <r>
      <t xml:space="preserve">REC Revenue Estimate </t>
    </r>
    <r>
      <rPr>
        <sz val="14"/>
        <rFont val="Franklin Gothic Book"/>
        <family val="2"/>
      </rPr>
      <t xml:space="preserve">(Used to Build CFY 2022-23 Budget)  </t>
    </r>
    <r>
      <rPr>
        <u/>
        <sz val="14"/>
        <rFont val="Franklin Gothic Book"/>
        <family val="2"/>
      </rPr>
      <t>[July 2022</t>
    </r>
    <r>
      <rPr>
        <sz val="14"/>
        <rFont val="Franklin Gothic Book"/>
        <family val="2"/>
      </rPr>
      <t>]</t>
    </r>
  </si>
  <si>
    <r>
      <t xml:space="preserve">Actual Revenues Collected (Settle-Up Calculation) </t>
    </r>
    <r>
      <rPr>
        <sz val="14"/>
        <rFont val="Franklin Gothic Book"/>
        <family val="2"/>
      </rPr>
      <t xml:space="preserve">(CFY 2022-23) </t>
    </r>
  </si>
  <si>
    <t>Calculation Line</t>
  </si>
  <si>
    <t>SRS Data - Court Filings (excluding Civil Traffic) (Oct.-Sept.)</t>
  </si>
  <si>
    <t>Approved New Judges</t>
  </si>
  <si>
    <t>Circuit</t>
  </si>
  <si>
    <t>Number of Judges
(Current)</t>
  </si>
  <si>
    <t>2020-21 TOTALS</t>
  </si>
  <si>
    <t>2021-22 TOTALS</t>
  </si>
  <si>
    <t>2022-23 TOTALS</t>
  </si>
  <si>
    <t>3-Year 
Avg. Filings</t>
  </si>
  <si>
    <t>Avg. Caseload per Judge</t>
  </si>
  <si>
    <t>New Judges</t>
  </si>
  <si>
    <t>TOTAL Certified Judges</t>
  </si>
  <si>
    <t>Formula Calculated FTE</t>
  </si>
  <si>
    <t>Additional Admin. 
FTE</t>
  </si>
  <si>
    <t>TOTAL 
FTE
NEEDED</t>
  </si>
  <si>
    <t>Total Cost ($70,141 
per FTE)</t>
  </si>
  <si>
    <t>Avg Case processing time</t>
  </si>
  <si>
    <t>Annual Avail. Work Hours</t>
  </si>
  <si>
    <t>9</t>
  </si>
  <si>
    <t>Proposed
FTE</t>
  </si>
  <si>
    <t>Total 
Cost</t>
  </si>
  <si>
    <r>
      <t xml:space="preserve">Cost per FTE </t>
    </r>
    <r>
      <rPr>
        <i/>
        <sz val="9"/>
        <color theme="1"/>
        <rFont val="Franklin Gothic Book"/>
        <family val="2"/>
      </rPr>
      <t>[CFY 23-24 Operational Budget data]</t>
    </r>
    <r>
      <rPr>
        <i/>
        <sz val="12"/>
        <color theme="1"/>
        <rFont val="Franklin Gothic Book"/>
        <family val="2"/>
      </rPr>
      <t xml:space="preserve">:  </t>
    </r>
  </si>
  <si>
    <t>Clerks' New Judges Budget Calculation</t>
  </si>
  <si>
    <t>CFY 2023-24 "Glitch" Fix Allocation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</si>
  <si>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Cost
Shifts</t>
    </r>
  </si>
  <si>
    <t>PG</t>
  </si>
  <si>
    <t>Weighted Workload Measure Statewide 
(CFY 2021-22)</t>
  </si>
  <si>
    <t>Allocation Using Statewide WWM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</si>
  <si>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Approved New Judges Calculation</t>
    </r>
  </si>
  <si>
    <t xml:space="preserve">Total Requests + FRS Increase + Glitch Fix:  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</si>
  <si>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Jury Shortfall Projection Calculation</t>
    </r>
  </si>
  <si>
    <t>(4.6% - 69.6%)</t>
  </si>
  <si>
    <t xml:space="preserve">TOTAL COURT-RELATED BUDGET:  </t>
  </si>
  <si>
    <t>Jury Reimbursement Summary</t>
  </si>
  <si>
    <t>2024-25 Projections</t>
  </si>
  <si>
    <t>Total Quarter 1 Costs
(July-Sept. '23)</t>
  </si>
  <si>
    <t>Total Quarter 2 Costs
(Oct.-Dec. '23)</t>
  </si>
  <si>
    <t>Total Quarter 3 Costs
(Jan.-Mar. '24)</t>
  </si>
  <si>
    <t>Total Quarter 4 Costs
(Apr.-June '24)</t>
  </si>
  <si>
    <t>SFY 2023-24 
TOTAL</t>
  </si>
  <si>
    <t>SFY 2023-24 
TOTAL + 5% Increase</t>
  </si>
  <si>
    <t>2024-25
Projected 
Shortfall</t>
  </si>
  <si>
    <t>October 1, 2021 to December 31, 2021</t>
  </si>
  <si>
    <t>January 1, 2022 to March 31, 2022</t>
  </si>
  <si>
    <t>April 1, 2022 to June 30, 2022</t>
  </si>
  <si>
    <t>St. Johns</t>
  </si>
  <si>
    <t>St. Lucie</t>
  </si>
  <si>
    <t>Total</t>
  </si>
  <si>
    <t>New Revenue Summary</t>
  </si>
  <si>
    <r>
      <t>Cumulative Excess - Clerks' Share of 50%</t>
    </r>
    <r>
      <rPr>
        <sz val="14"/>
        <color theme="1"/>
        <rFont val="Franklin Gothic Book"/>
        <family val="2"/>
      </rPr>
      <t xml:space="preserve"> (CFY 2022-23)  </t>
    </r>
  </si>
  <si>
    <r>
      <t xml:space="preserve">Statutorily Required Amount to Reserve </t>
    </r>
    <r>
      <rPr>
        <sz val="14"/>
        <color theme="1"/>
        <rFont val="Franklin Gothic Book"/>
        <family val="2"/>
      </rPr>
      <t>(10%)</t>
    </r>
  </si>
  <si>
    <r>
      <t xml:space="preserve">Unspent Budgeted Funds </t>
    </r>
    <r>
      <rPr>
        <sz val="14"/>
        <color theme="1"/>
        <rFont val="Franklin Gothic Book"/>
        <family val="2"/>
      </rPr>
      <t>(CFY 2022-23)</t>
    </r>
  </si>
  <si>
    <r>
      <t xml:space="preserve">Jury Management Funding </t>
    </r>
    <r>
      <rPr>
        <sz val="14"/>
        <color theme="1"/>
        <rFont val="Franklin Gothic Book"/>
        <family val="2"/>
      </rPr>
      <t>(State GR)</t>
    </r>
  </si>
  <si>
    <t>CFY 2024-25 Total Court-Side Budget Authority</t>
  </si>
  <si>
    <r>
      <t xml:space="preserve">Prior Year Revenue-Limited Budget </t>
    </r>
    <r>
      <rPr>
        <sz val="14"/>
        <color theme="1"/>
        <rFont val="Franklin Gothic Book"/>
        <family val="2"/>
      </rPr>
      <t>(CFY 2023-24)</t>
    </r>
  </si>
  <si>
    <t>Year-over-Year Revenue-Limited Budget Increase</t>
  </si>
  <si>
    <r>
      <t xml:space="preserve">Prior Year Total Court-Side Budget Authority </t>
    </r>
    <r>
      <rPr>
        <sz val="14"/>
        <color theme="1"/>
        <rFont val="Franklin Gothic Book"/>
        <family val="2"/>
      </rPr>
      <t>(CFY 2023-24)</t>
    </r>
  </si>
  <si>
    <t>Year-over-Year Total Court-Side Budget Authority Increase</t>
  </si>
  <si>
    <r>
      <t xml:space="preserve">REC Revenue Estimate </t>
    </r>
    <r>
      <rPr>
        <sz val="14"/>
        <color theme="1"/>
        <rFont val="Franklin Gothic Book"/>
        <family val="2"/>
      </rPr>
      <t xml:space="preserve">(CFY 2024-25)  </t>
    </r>
    <r>
      <rPr>
        <u/>
        <sz val="14"/>
        <color theme="1"/>
        <rFont val="Franklin Gothic Book"/>
        <family val="2"/>
      </rPr>
      <t>[July 2024</t>
    </r>
    <r>
      <rPr>
        <sz val="14"/>
        <color theme="1"/>
        <rFont val="Franklin Gothic Book"/>
        <family val="2"/>
      </rPr>
      <t>]</t>
    </r>
  </si>
  <si>
    <t>CFY 2024-25
Base Budget</t>
  </si>
  <si>
    <t>New Judges Approved in 2024
(1 FTE per Judge)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</si>
  <si>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Weighted Workload Measure Allocation</t>
    </r>
  </si>
  <si>
    <t>TOTAL
Additional Funding Allocations</t>
  </si>
  <si>
    <r>
      <rPr>
        <b/>
        <sz val="9"/>
        <color rgb="FF0070C0"/>
        <rFont val="Franklin Gothic Book"/>
        <family val="2"/>
      </rPr>
      <t>CAP</t>
    </r>
    <r>
      <rPr>
        <b/>
        <sz val="9"/>
        <color theme="1"/>
        <rFont val="Franklin Gothic Book"/>
        <family val="2"/>
      </rPr>
      <t xml:space="preserve">
TOTAL Budget Requests
(Allocation cannot exceed)</t>
    </r>
  </si>
  <si>
    <t xml:space="preserve">Amount over/under CAP
</t>
  </si>
  <si>
    <t>CFY 2024-25 Revenue-Limited Budget</t>
  </si>
  <si>
    <t>Year-over-year Increase</t>
  </si>
  <si>
    <t>Weighted Workload Measure 
(CFY 2022-23)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</si>
  <si>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3% Court-side Salaries &amp; Benefits Increase
</t>
    </r>
    <r>
      <rPr>
        <b/>
        <sz val="9"/>
        <color theme="1"/>
        <rFont val="Franklin Gothic Book"/>
        <family val="2"/>
      </rPr>
      <t>(CFY 2023-24
Operational Budget)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</si>
  <si>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Jury Funding Allocation 
</t>
    </r>
    <r>
      <rPr>
        <b/>
        <sz val="9"/>
        <color theme="1"/>
        <rFont val="Franklin Gothic Book"/>
        <family val="2"/>
      </rPr>
      <t>(Based on SFY 2023-24 Jury Reimb.)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</si>
  <si>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Allocation to Bring Counties to 6% (Unless Capped)</t>
    </r>
  </si>
  <si>
    <r>
      <rPr>
        <b/>
        <sz val="10"/>
        <color rgb="FFFF0000"/>
        <rFont val="Franklin Gothic Book"/>
        <family val="2"/>
      </rPr>
      <t>DEDUCT</t>
    </r>
    <r>
      <rPr>
        <b/>
        <sz val="10"/>
        <color theme="1"/>
        <rFont val="Franklin Gothic Book"/>
        <family val="2"/>
      </rPr>
      <t xml:space="preserve">
Cap 
Overage</t>
    </r>
  </si>
  <si>
    <t xml:space="preserve"> * excludes separation payouts, the elected clerk, and vacancies</t>
  </si>
  <si>
    <t>(4.6% - 15.2%)</t>
  </si>
  <si>
    <t>Jury Allocation Summary</t>
  </si>
  <si>
    <t>TOTAL 
SFY 2023-24 
Jury Costs</t>
  </si>
  <si>
    <t>Budget 
Allocation</t>
  </si>
  <si>
    <t>Personnel Cost Alloc. Court Amt.</t>
  </si>
  <si>
    <t>3% 
Increase</t>
  </si>
  <si>
    <t>Rounded</t>
  </si>
  <si>
    <t xml:space="preserve">5% Increase:  </t>
  </si>
  <si>
    <t>Budget Comparison to the Peer Group Average</t>
  </si>
  <si>
    <t>Peer Groups</t>
  </si>
  <si>
    <t>Percent Above/
Below PG Avg.</t>
  </si>
  <si>
    <t>Peer Group 1 Average</t>
  </si>
  <si>
    <t>Peer Group 2 Average</t>
  </si>
  <si>
    <t>2 Average</t>
  </si>
  <si>
    <t>Peer Group 3 Average</t>
  </si>
  <si>
    <t>Peer Group 4 Average</t>
  </si>
  <si>
    <t>Peer Group 5 Average</t>
  </si>
  <si>
    <t>Peer Group 6 Average</t>
  </si>
  <si>
    <t>Peer Group 7 Average</t>
  </si>
  <si>
    <t>Peer Group 8 Average</t>
  </si>
  <si>
    <t xml:space="preserve">Statewide Total  </t>
  </si>
  <si>
    <t>s. 28.35(2)(f)9., F.S., requires CCOC to identify the budget of any clerk which exceeds the average budget of similarly situated clerks by more than 10%.</t>
  </si>
  <si>
    <r>
      <rPr>
        <b/>
        <sz val="10"/>
        <color rgb="FFFF0000"/>
        <rFont val="Franklin Gothic Book"/>
        <family val="2"/>
      </rPr>
      <t>DEDUCT</t>
    </r>
    <r>
      <rPr>
        <b/>
        <sz val="10"/>
        <color theme="1"/>
        <rFont val="Franklin Gothic Book"/>
        <family val="2"/>
      </rPr>
      <t xml:space="preserve">
Reduction Exercise 
(10%)</t>
    </r>
  </si>
  <si>
    <t>CFY 2024-25 Statutorily- Required Reduction Exercise</t>
  </si>
  <si>
    <t>Percent Decrease</t>
  </si>
  <si>
    <t xml:space="preserve">STATEWIDE TOTAL: </t>
  </si>
  <si>
    <t>s. 28.35(2)(f)3., F.S. -- requires the CCOC to 'identify potential targeted budget reductions in the percentage amount provided in Schedule VIII-B of the state’s previous year’s legislative budget instructions, as referenced in s. 216.023(3), or an equivalent schedule or instruction as may be adopted by the Legislature.</t>
  </si>
  <si>
    <r>
      <rPr>
        <b/>
        <sz val="8"/>
        <color theme="1"/>
        <rFont val="Franklin Gothic Book"/>
        <family val="2"/>
      </rPr>
      <t>Schedule VIIIB-2: Priority Listing of Agency Budget Issues for Possible Reduction in the Event of Revenue Shortfalls for Legislative Budget Request Year</t>
    </r>
    <r>
      <rPr>
        <sz val="8"/>
        <color theme="1"/>
        <rFont val="Franklin Gothic Book"/>
        <family val="2"/>
      </rPr>
      <t xml:space="preserve">
The purpose of the Schedule VIIIB-2 is to identify recurring budget reductions that can be made in Fiscal Year 2024-25 in the event that budget reductions are necessary. Agencies are required to submit a Schedule VIIIB-2 that contains reduction issues for Fiscal Year 2024-25, totaling at least 10 percent of their 2023-24 recurring general revenue funds and at least 10 percent of their 2023-24 recurring state trust funds, for consideration in developing the 2024-25 budget.
Page 100 of FY 24-25 LBR Instructions  [http://floridafiscalportal.state.fl.us/Document.aspx?ID=25744&amp;DocType=PDF]</t>
    </r>
  </si>
  <si>
    <r>
      <t>Clerks' New Judges Funding Calculation
(</t>
    </r>
    <r>
      <rPr>
        <b/>
        <sz val="11"/>
        <color rgb="FF0070C0"/>
        <rFont val="Franklin Gothic Book"/>
        <family val="2"/>
      </rPr>
      <t>USED IN THE ISSUE REQUESTS</t>
    </r>
    <r>
      <rPr>
        <b/>
        <sz val="11"/>
        <color theme="1"/>
        <rFont val="Franklin Gothic Book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</si>
</sst>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00_);_(* \(#,##0.000\);_(* &quot;-&quot;??_);_(@_)"/>
    <numFmt numFmtId="167" formatCode="_(* #,##0_);_(* \(#,##0\);_(* &quot;-&quot;??_);_(@_)"/>
    <numFmt numFmtId="168" formatCode="_(* #,##0.0_);_(* \(#,##0.0\);_(* &quot;-&quot;??_);_(@_)"/>
    <numFmt numFmtId="169" formatCode="&quot;$&quot;#,##0"/>
    <numFmt numFmtId="170" formatCode="_(* #,##0.0000_);_(* \(#,##0.0000\);_(* &quot;-&quot;??_);_(@_)"/>
    <numFmt numFmtId="171" formatCode="[$-409]mmmm\ d\,\ yyyy;@"/>
    <numFmt numFmtId="172" formatCode="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16"/>
      <color theme="1"/>
      <name val="Franklin Gothic Book"/>
      <family val="2"/>
    </font>
    <font>
      <sz val="11"/>
      <color theme="1"/>
      <name val="Franklin Gothic Book"/>
      <family val="2"/>
    </font>
    <font>
      <i/>
      <sz val="12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name val="Franklin Gothic Book"/>
      <family val="2"/>
    </font>
    <font>
      <i/>
      <sz val="11"/>
      <color theme="1"/>
      <name val="Franklin Gothic Book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Franklin Gothic Book"/>
      <family val="2"/>
    </font>
    <font>
      <sz val="16"/>
      <color rgb="FFC00000"/>
      <name val="Franklin Gothic Book"/>
      <family val="2"/>
    </font>
    <font>
      <b/>
      <sz val="16"/>
      <color theme="4" tint="-0.249977111117893"/>
      <name val="Franklin Gothic Book"/>
      <family val="2"/>
    </font>
    <font>
      <b/>
      <sz val="11"/>
      <name val="Franklin Gothic Book"/>
      <family val="2"/>
    </font>
    <font>
      <b/>
      <sz val="11"/>
      <color theme="0"/>
      <name val="Franklin Gothic Book"/>
      <family val="2"/>
    </font>
    <font>
      <b/>
      <sz val="10"/>
      <name val="Franklin Gothic Book"/>
      <family val="2"/>
    </font>
    <font>
      <b/>
      <sz val="10"/>
      <color theme="0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rgb="FFFF0000"/>
      <name val="Franklin Gothic Book"/>
      <family val="2"/>
    </font>
    <font>
      <b/>
      <sz val="9"/>
      <color theme="1"/>
      <name val="Franklin Gothic Book"/>
      <family val="2"/>
    </font>
    <font>
      <sz val="8.5"/>
      <color theme="1"/>
      <name val="Franklin Gothic Book"/>
      <family val="2"/>
    </font>
    <font>
      <sz val="9"/>
      <color theme="1"/>
      <name val="Franklin Gothic Book"/>
      <family val="2"/>
    </font>
    <font>
      <sz val="10"/>
      <color rgb="FFFF0000"/>
      <name val="Franklin Gothic Book"/>
      <family val="2"/>
    </font>
    <font>
      <b/>
      <sz val="9"/>
      <name val="Franklin Gothic Book"/>
      <family val="2"/>
    </font>
    <font>
      <sz val="9"/>
      <name val="Franklin Gothic Book"/>
      <family val="2"/>
    </font>
    <font>
      <b/>
      <sz val="10"/>
      <color rgb="FF00B050"/>
      <name val="Franklin Gothic Book"/>
      <family val="2"/>
    </font>
    <font>
      <sz val="12"/>
      <color theme="1"/>
      <name val="Franklin Gothic Book"/>
      <family val="2"/>
    </font>
    <font>
      <i/>
      <sz val="10"/>
      <color theme="1"/>
      <name val="Franklin Gothic Book"/>
      <family val="2"/>
    </font>
    <font>
      <sz val="9"/>
      <color rgb="FFFF0000"/>
      <name val="Franklin Gothic Book"/>
      <family val="2"/>
    </font>
    <font>
      <i/>
      <sz val="8"/>
      <color theme="1"/>
      <name val="Franklin Gothic Book"/>
      <family val="2"/>
    </font>
    <font>
      <i/>
      <sz val="9"/>
      <color theme="1"/>
      <name val="Franklin Gothic Book"/>
      <family val="2"/>
    </font>
    <font>
      <b/>
      <sz val="16"/>
      <name val="Franklin Gothic Book"/>
      <family val="2"/>
    </font>
    <font>
      <sz val="16"/>
      <name val="Franklin Gothic Book"/>
      <family val="2"/>
    </font>
    <font>
      <sz val="14"/>
      <name val="Franklin Gothic Book"/>
      <family val="2"/>
    </font>
    <font>
      <u/>
      <sz val="14"/>
      <name val="Franklin Gothic Book"/>
      <family val="2"/>
    </font>
    <font>
      <i/>
      <sz val="16"/>
      <name val="Franklin Gothic Book"/>
      <family val="2"/>
    </font>
    <font>
      <b/>
      <sz val="12"/>
      <color theme="1"/>
      <name val="Franklin Gothic Book"/>
      <family val="2"/>
    </font>
    <font>
      <i/>
      <sz val="11"/>
      <color theme="0"/>
      <name val="Franklin Gothic Book"/>
      <family val="2"/>
    </font>
    <font>
      <sz val="12"/>
      <name val="Franklin Gothic Book"/>
      <family val="2"/>
    </font>
    <font>
      <b/>
      <sz val="14"/>
      <color theme="1"/>
      <name val="Franklin Gothic Book"/>
      <family val="2"/>
    </font>
    <font>
      <i/>
      <sz val="12"/>
      <name val="Franklin Gothic Book"/>
      <family val="2"/>
    </font>
    <font>
      <sz val="11"/>
      <color rgb="FFFF0000"/>
      <name val="Franklin Gothic Book"/>
      <family val="2"/>
    </font>
    <font>
      <sz val="9"/>
      <color rgb="FFC00000"/>
      <name val="Franklin Gothic Book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70C0"/>
      <name val="Franklin Gothic Book"/>
      <family val="2"/>
    </font>
    <font>
      <b/>
      <sz val="16"/>
      <color theme="1"/>
      <name val="Franklin Gothic Book"/>
      <family val="2"/>
    </font>
    <font>
      <sz val="14"/>
      <color theme="1"/>
      <name val="Franklin Gothic Book"/>
      <family val="2"/>
    </font>
    <font>
      <u/>
      <sz val="14"/>
      <color theme="1"/>
      <name val="Franklin Gothic Book"/>
      <family val="2"/>
    </font>
    <font>
      <i/>
      <sz val="16"/>
      <color theme="1"/>
      <name val="Franklin Gothic Book"/>
      <family val="2"/>
    </font>
    <font>
      <sz val="16"/>
      <color rgb="FFFF0000"/>
      <name val="Franklin Gothic Book"/>
      <family val="2"/>
    </font>
    <font>
      <i/>
      <sz val="16"/>
      <color rgb="FF0070C0"/>
      <name val="Franklin Gothic Book"/>
      <family val="2"/>
    </font>
    <font>
      <b/>
      <sz val="9"/>
      <color rgb="FF0070C0"/>
      <name val="Franklin Gothic Book"/>
      <family val="2"/>
    </font>
    <font>
      <b/>
      <i/>
      <sz val="10"/>
      <color theme="1"/>
      <name val="Franklin Gothic Book"/>
      <family val="2"/>
    </font>
    <font>
      <b/>
      <i/>
      <sz val="9"/>
      <color theme="1"/>
      <name val="Franklin Gothic Book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Franklin Gothic Book"/>
      <family val="2"/>
    </font>
    <font>
      <b/>
      <sz val="9"/>
      <color theme="0"/>
      <name val="Franklin Gothic Book"/>
      <family val="2"/>
    </font>
    <font>
      <b/>
      <sz val="8"/>
      <color theme="1"/>
      <name val="Franklin Gothic Book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D73"/>
        <bgColor indexed="64"/>
      </patternFill>
    </fill>
    <fill>
      <patternFill patternType="solid">
        <fgColor rgb="FFAF162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FB53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995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4" fillId="12" borderId="55">
      <alignment horizontal="center" vertical="center"/>
      <protection locked="0"/>
    </xf>
    <xf numFmtId="0" fontId="1" fillId="0" borderId="0"/>
    <xf numFmtId="44" fontId="1" fillId="0" borderId="0" applyFont="0" applyFill="0" applyBorder="0" applyAlignment="0" applyProtection="0"/>
    <xf numFmtId="0" fontId="45" fillId="0" borderId="0"/>
    <xf numFmtId="0" fontId="1" fillId="0" borderId="0"/>
    <xf numFmtId="0" fontId="45" fillId="0" borderId="0"/>
    <xf numFmtId="43" fontId="2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</cellStyleXfs>
  <cellXfs count="527">
    <xf numFmtId="0" fontId="0" fillId="0" borderId="0" xfId="0"/>
    <xf numFmtId="0" fontId="3" fillId="0" borderId="0" xfId="2" applyFont="1"/>
    <xf numFmtId="0" fontId="7" fillId="0" borderId="1" xfId="0" applyFont="1" applyBorder="1" applyAlignment="1">
      <alignment horizontal="center"/>
    </xf>
    <xf numFmtId="43" fontId="7" fillId="0" borderId="1" xfId="4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/>
    <xf numFmtId="43" fontId="4" fillId="0" borderId="0" xfId="4" applyFont="1" applyFill="1"/>
    <xf numFmtId="43" fontId="4" fillId="0" borderId="0" xfId="0" applyNumberFormat="1" applyFont="1"/>
    <xf numFmtId="0" fontId="7" fillId="0" borderId="0" xfId="0" applyFont="1"/>
    <xf numFmtId="43" fontId="7" fillId="0" borderId="0" xfId="0" applyNumberFormat="1" applyFont="1"/>
    <xf numFmtId="0" fontId="6" fillId="0" borderId="0" xfId="0" applyFont="1"/>
    <xf numFmtId="43" fontId="4" fillId="0" borderId="0" xfId="4" applyFont="1"/>
    <xf numFmtId="0" fontId="4" fillId="0" borderId="2" xfId="0" applyFont="1" applyBorder="1"/>
    <xf numFmtId="0" fontId="4" fillId="0" borderId="5" xfId="0" applyFont="1" applyBorder="1"/>
    <xf numFmtId="0" fontId="4" fillId="0" borderId="9" xfId="0" applyFont="1" applyBorder="1"/>
    <xf numFmtId="0" fontId="9" fillId="0" borderId="0" xfId="0" applyFont="1"/>
    <xf numFmtId="43" fontId="9" fillId="0" borderId="0" xfId="4" applyFont="1"/>
    <xf numFmtId="166" fontId="9" fillId="0" borderId="0" xfId="4" applyNumberFormat="1" applyFont="1"/>
    <xf numFmtId="0" fontId="10" fillId="0" borderId="0" xfId="0" applyFont="1"/>
    <xf numFmtId="43" fontId="0" fillId="0" borderId="0" xfId="4" applyFont="1"/>
    <xf numFmtId="43" fontId="7" fillId="3" borderId="0" xfId="4" applyFont="1" applyFill="1"/>
    <xf numFmtId="0" fontId="4" fillId="3" borderId="0" xfId="0" applyFont="1" applyFill="1"/>
    <xf numFmtId="43" fontId="4" fillId="3" borderId="0" xfId="4" applyFont="1" applyFill="1"/>
    <xf numFmtId="0" fontId="0" fillId="3" borderId="0" xfId="0" applyFill="1"/>
    <xf numFmtId="0" fontId="11" fillId="3" borderId="0" xfId="0" applyFont="1" applyFill="1" applyAlignment="1">
      <alignment horizontal="center"/>
    </xf>
    <xf numFmtId="43" fontId="4" fillId="3" borderId="7" xfId="4" applyFont="1" applyFill="1" applyBorder="1"/>
    <xf numFmtId="43" fontId="4" fillId="2" borderId="0" xfId="4" applyFont="1" applyFill="1"/>
    <xf numFmtId="10" fontId="8" fillId="0" borderId="0" xfId="1" applyNumberFormat="1" applyFont="1" applyFill="1"/>
    <xf numFmtId="43" fontId="4" fillId="0" borderId="3" xfId="4" applyFont="1" applyFill="1" applyBorder="1"/>
    <xf numFmtId="43" fontId="4" fillId="0" borderId="0" xfId="4" applyFont="1" applyFill="1" applyBorder="1"/>
    <xf numFmtId="43" fontId="7" fillId="0" borderId="10" xfId="4" applyFont="1" applyFill="1" applyBorder="1"/>
    <xf numFmtId="43" fontId="4" fillId="0" borderId="4" xfId="4" applyFont="1" applyFill="1" applyBorder="1"/>
    <xf numFmtId="43" fontId="4" fillId="0" borderId="6" xfId="4" applyFont="1" applyFill="1" applyBorder="1"/>
    <xf numFmtId="43" fontId="4" fillId="0" borderId="8" xfId="4" applyFont="1" applyFill="1" applyBorder="1"/>
    <xf numFmtId="43" fontId="7" fillId="0" borderId="11" xfId="4" applyFont="1" applyFill="1" applyBorder="1"/>
    <xf numFmtId="2" fontId="7" fillId="0" borderId="0" xfId="4" applyNumberFormat="1" applyFont="1" applyFill="1"/>
    <xf numFmtId="43" fontId="7" fillId="0" borderId="0" xfId="4" applyFont="1" applyFill="1"/>
    <xf numFmtId="43" fontId="4" fillId="0" borderId="7" xfId="4" applyFont="1" applyFill="1" applyBorder="1"/>
    <xf numFmtId="4" fontId="4" fillId="0" borderId="0" xfId="0" applyNumberFormat="1" applyFont="1"/>
    <xf numFmtId="164" fontId="12" fillId="0" borderId="7" xfId="3" applyNumberFormat="1" applyFont="1" applyFill="1" applyBorder="1"/>
    <xf numFmtId="164" fontId="13" fillId="6" borderId="0" xfId="3" applyNumberFormat="1" applyFont="1" applyFill="1"/>
    <xf numFmtId="0" fontId="13" fillId="6" borderId="0" xfId="2" applyFont="1" applyFill="1"/>
    <xf numFmtId="0" fontId="7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44" fontId="15" fillId="7" borderId="13" xfId="5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44" fontId="15" fillId="8" borderId="13" xfId="5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4" fillId="0" borderId="15" xfId="0" applyFont="1" applyBorder="1" applyAlignment="1">
      <alignment horizontal="left" vertical="center"/>
    </xf>
    <xf numFmtId="44" fontId="4" fillId="0" borderId="16" xfId="5" applyFont="1" applyFill="1" applyBorder="1" applyAlignment="1">
      <alignment vertical="top"/>
    </xf>
    <xf numFmtId="44" fontId="4" fillId="0" borderId="16" xfId="5" applyFont="1" applyFill="1" applyBorder="1" applyAlignment="1">
      <alignment vertical="center"/>
    </xf>
    <xf numFmtId="44" fontId="4" fillId="0" borderId="17" xfId="5" applyFont="1" applyFill="1" applyBorder="1" applyAlignment="1">
      <alignment vertical="center"/>
    </xf>
    <xf numFmtId="44" fontId="4" fillId="0" borderId="1" xfId="5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19" xfId="0" applyFont="1" applyBorder="1" applyAlignment="1">
      <alignment horizontal="left" vertical="center"/>
    </xf>
    <xf numFmtId="44" fontId="4" fillId="0" borderId="1" xfId="5" applyFont="1" applyFill="1" applyBorder="1" applyAlignment="1">
      <alignment vertical="top"/>
    </xf>
    <xf numFmtId="44" fontId="4" fillId="0" borderId="20" xfId="5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9" xfId="6" applyFont="1" applyFill="1" applyBorder="1" applyAlignment="1">
      <alignment horizontal="left" vertical="center"/>
    </xf>
    <xf numFmtId="44" fontId="4" fillId="0" borderId="1" xfId="6" applyNumberFormat="1" applyFont="1" applyFill="1" applyBorder="1" applyAlignment="1">
      <alignment vertical="top"/>
    </xf>
    <xf numFmtId="44" fontId="4" fillId="0" borderId="1" xfId="6" applyNumberFormat="1" applyFont="1" applyFill="1" applyBorder="1" applyAlignment="1">
      <alignment vertical="center"/>
    </xf>
    <xf numFmtId="44" fontId="4" fillId="0" borderId="20" xfId="6" applyNumberFormat="1" applyFont="1" applyFill="1" applyBorder="1" applyAlignment="1">
      <alignment vertical="center"/>
    </xf>
    <xf numFmtId="0" fontId="4" fillId="0" borderId="21" xfId="6" applyFont="1" applyFill="1" applyBorder="1" applyAlignment="1">
      <alignment vertical="center"/>
    </xf>
    <xf numFmtId="0" fontId="8" fillId="9" borderId="19" xfId="0" applyFont="1" applyFill="1" applyBorder="1" applyAlignment="1">
      <alignment horizontal="left" vertical="center"/>
    </xf>
    <xf numFmtId="0" fontId="4" fillId="9" borderId="19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top"/>
    </xf>
    <xf numFmtId="0" fontId="4" fillId="0" borderId="22" xfId="6" applyFont="1" applyFill="1" applyBorder="1" applyAlignment="1">
      <alignment horizontal="left" vertical="center"/>
    </xf>
    <xf numFmtId="44" fontId="4" fillId="0" borderId="23" xfId="6" applyNumberFormat="1" applyFont="1" applyFill="1" applyBorder="1" applyAlignment="1">
      <alignment vertical="top"/>
    </xf>
    <xf numFmtId="44" fontId="4" fillId="0" borderId="23" xfId="6" applyNumberFormat="1" applyFont="1" applyFill="1" applyBorder="1" applyAlignment="1">
      <alignment vertical="center"/>
    </xf>
    <xf numFmtId="44" fontId="4" fillId="0" borderId="24" xfId="6" applyNumberFormat="1" applyFont="1" applyFill="1" applyBorder="1" applyAlignment="1">
      <alignment vertical="center"/>
    </xf>
    <xf numFmtId="0" fontId="4" fillId="0" borderId="25" xfId="6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44" fontId="4" fillId="0" borderId="0" xfId="5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26" xfId="0" applyFont="1" applyBorder="1" applyAlignment="1">
      <alignment vertical="top"/>
    </xf>
    <xf numFmtId="44" fontId="7" fillId="0" borderId="27" xfId="5" applyFont="1" applyBorder="1" applyAlignment="1">
      <alignment vertical="top"/>
    </xf>
    <xf numFmtId="44" fontId="15" fillId="7" borderId="12" xfId="5" applyFont="1" applyFill="1" applyBorder="1" applyAlignment="1">
      <alignment horizontal="center" vertical="center" wrapText="1"/>
    </xf>
    <xf numFmtId="44" fontId="15" fillId="7" borderId="14" xfId="5" applyFont="1" applyFill="1" applyBorder="1" applyAlignment="1">
      <alignment horizontal="center" vertical="center" wrapText="1"/>
    </xf>
    <xf numFmtId="44" fontId="15" fillId="8" borderId="12" xfId="5" applyFont="1" applyFill="1" applyBorder="1" applyAlignment="1">
      <alignment horizontal="center" vertical="center" wrapText="1"/>
    </xf>
    <xf numFmtId="44" fontId="15" fillId="8" borderId="14" xfId="5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44" fontId="4" fillId="0" borderId="0" xfId="0" applyNumberFormat="1" applyFont="1" applyAlignment="1">
      <alignment vertical="top"/>
    </xf>
    <xf numFmtId="167" fontId="9" fillId="0" borderId="0" xfId="4" applyNumberFormat="1" applyFont="1" applyFill="1" applyAlignment="1">
      <alignment vertical="top"/>
    </xf>
    <xf numFmtId="44" fontId="4" fillId="0" borderId="0" xfId="5" applyFont="1" applyAlignment="1">
      <alignment vertical="top"/>
    </xf>
    <xf numFmtId="165" fontId="9" fillId="0" borderId="0" xfId="1" applyNumberFormat="1" applyFont="1" applyAlignment="1">
      <alignment horizontal="right" vertical="top"/>
    </xf>
    <xf numFmtId="43" fontId="4" fillId="0" borderId="0" xfId="4" applyFont="1" applyAlignment="1">
      <alignment vertical="top"/>
    </xf>
    <xf numFmtId="43" fontId="9" fillId="0" borderId="0" xfId="4" applyFont="1" applyAlignment="1">
      <alignment vertical="top"/>
    </xf>
    <xf numFmtId="44" fontId="9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44" fontId="4" fillId="0" borderId="0" xfId="0" applyNumberFormat="1" applyFont="1" applyAlignment="1">
      <alignment vertical="top" wrapText="1"/>
    </xf>
    <xf numFmtId="44" fontId="4" fillId="0" borderId="0" xfId="5" applyFont="1" applyFill="1" applyAlignment="1">
      <alignment vertical="top" wrapText="1"/>
    </xf>
    <xf numFmtId="49" fontId="4" fillId="0" borderId="0" xfId="0" applyNumberFormat="1" applyFont="1" applyAlignment="1">
      <alignment vertical="top"/>
    </xf>
    <xf numFmtId="44" fontId="4" fillId="0" borderId="0" xfId="5" applyFont="1" applyAlignment="1">
      <alignment horizontal="center" vertical="top"/>
    </xf>
    <xf numFmtId="44" fontId="7" fillId="10" borderId="13" xfId="7" applyNumberFormat="1" applyFont="1" applyFill="1" applyBorder="1" applyAlignment="1">
      <alignment horizontal="center" vertical="center" wrapText="1"/>
    </xf>
    <xf numFmtId="44" fontId="7" fillId="10" borderId="27" xfId="7" applyNumberFormat="1" applyFont="1" applyFill="1" applyBorder="1" applyAlignment="1">
      <alignment horizontal="center" vertical="center" wrapText="1"/>
    </xf>
    <xf numFmtId="44" fontId="4" fillId="0" borderId="0" xfId="5" applyFont="1" applyFill="1" applyBorder="1" applyAlignment="1">
      <alignment vertical="top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10" fontId="18" fillId="0" borderId="26" xfId="1" applyNumberFormat="1" applyFont="1" applyFill="1" applyBorder="1" applyAlignment="1">
      <alignment horizontal="center" vertical="center" wrapText="1"/>
    </xf>
    <xf numFmtId="10" fontId="20" fillId="0" borderId="2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17" xfId="5" applyNumberFormat="1" applyFont="1" applyFill="1" applyBorder="1" applyAlignment="1">
      <alignment vertical="top"/>
    </xf>
    <xf numFmtId="42" fontId="2" fillId="0" borderId="0" xfId="5" applyNumberFormat="1" applyFont="1"/>
    <xf numFmtId="0" fontId="2" fillId="0" borderId="30" xfId="0" applyFont="1" applyBorder="1" applyAlignment="1">
      <alignment vertical="top"/>
    </xf>
    <xf numFmtId="164" fontId="2" fillId="0" borderId="15" xfId="5" applyNumberFormat="1" applyFont="1" applyFill="1" applyBorder="1" applyAlignment="1">
      <alignment horizontal="right" vertical="center"/>
    </xf>
    <xf numFmtId="164" fontId="2" fillId="0" borderId="31" xfId="5" applyNumberFormat="1" applyFont="1" applyFill="1" applyBorder="1" applyAlignment="1">
      <alignment horizontal="right" vertical="center"/>
    </xf>
    <xf numFmtId="164" fontId="18" fillId="0" borderId="32" xfId="5" applyNumberFormat="1" applyFont="1" applyBorder="1" applyAlignment="1">
      <alignment horizontal="right" vertical="center"/>
    </xf>
    <xf numFmtId="164" fontId="18" fillId="0" borderId="30" xfId="5" applyNumberFormat="1" applyFont="1" applyFill="1" applyBorder="1" applyAlignment="1">
      <alignment horizontal="right" vertical="center"/>
    </xf>
    <xf numFmtId="10" fontId="22" fillId="0" borderId="32" xfId="1" applyNumberFormat="1" applyFont="1" applyFill="1" applyBorder="1" applyAlignment="1">
      <alignment horizontal="center" vertical="center"/>
    </xf>
    <xf numFmtId="42" fontId="2" fillId="0" borderId="0" xfId="5" applyNumberFormat="1" applyFont="1" applyFill="1"/>
    <xf numFmtId="164" fontId="18" fillId="0" borderId="30" xfId="5" applyNumberFormat="1" applyFont="1" applyBorder="1" applyAlignment="1">
      <alignment horizontal="right" vertical="center"/>
    </xf>
    <xf numFmtId="0" fontId="2" fillId="0" borderId="0" xfId="0" applyFont="1"/>
    <xf numFmtId="0" fontId="2" fillId="0" borderId="33" xfId="0" applyFont="1" applyBorder="1" applyAlignment="1">
      <alignment vertical="top"/>
    </xf>
    <xf numFmtId="164" fontId="2" fillId="0" borderId="9" xfId="5" applyNumberFormat="1" applyFont="1" applyFill="1" applyBorder="1" applyAlignment="1">
      <alignment horizontal="right" vertical="center"/>
    </xf>
    <xf numFmtId="164" fontId="2" fillId="0" borderId="34" xfId="5" applyNumberFormat="1" applyFont="1" applyFill="1" applyBorder="1" applyAlignment="1">
      <alignment horizontal="right" vertical="center"/>
    </xf>
    <xf numFmtId="164" fontId="18" fillId="0" borderId="35" xfId="5" applyNumberFormat="1" applyFont="1" applyBorder="1" applyAlignment="1">
      <alignment horizontal="right" vertical="center"/>
    </xf>
    <xf numFmtId="164" fontId="2" fillId="0" borderId="36" xfId="5" applyNumberFormat="1" applyFont="1" applyFill="1" applyBorder="1" applyAlignment="1">
      <alignment vertical="top"/>
    </xf>
    <xf numFmtId="164" fontId="18" fillId="0" borderId="33" xfId="5" applyNumberFormat="1" applyFont="1" applyBorder="1" applyAlignment="1">
      <alignment horizontal="right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164" fontId="18" fillId="0" borderId="10" xfId="5" applyNumberFormat="1" applyFont="1" applyBorder="1"/>
    <xf numFmtId="164" fontId="23" fillId="0" borderId="10" xfId="5" applyNumberFormat="1" applyFont="1" applyBorder="1"/>
    <xf numFmtId="164" fontId="18" fillId="0" borderId="10" xfId="5" applyNumberFormat="1" applyFont="1" applyBorder="1" applyAlignment="1">
      <alignment horizontal="center" vertical="center"/>
    </xf>
    <xf numFmtId="43" fontId="18" fillId="0" borderId="10" xfId="4" applyFont="1" applyBorder="1" applyAlignment="1">
      <alignment horizontal="center" vertical="center"/>
    </xf>
    <xf numFmtId="6" fontId="2" fillId="0" borderId="10" xfId="5" applyNumberFormat="1" applyFont="1" applyBorder="1" applyAlignment="1">
      <alignment horizontal="center" vertical="center"/>
    </xf>
    <xf numFmtId="164" fontId="16" fillId="0" borderId="26" xfId="5" applyNumberFormat="1" applyFont="1" applyFill="1" applyBorder="1" applyAlignment="1">
      <alignment vertical="top" wrapText="1"/>
    </xf>
    <xf numFmtId="164" fontId="18" fillId="0" borderId="27" xfId="5" applyNumberFormat="1" applyFont="1" applyBorder="1" applyAlignment="1">
      <alignment vertical="top"/>
    </xf>
    <xf numFmtId="43" fontId="18" fillId="0" borderId="26" xfId="4" applyFont="1" applyBorder="1" applyAlignment="1">
      <alignment vertical="top"/>
    </xf>
    <xf numFmtId="6" fontId="2" fillId="0" borderId="0" xfId="0" applyNumberFormat="1" applyFont="1"/>
    <xf numFmtId="6" fontId="18" fillId="0" borderId="0" xfId="0" applyNumberFormat="1" applyFont="1" applyAlignment="1">
      <alignment horizontal="center" vertical="center"/>
    </xf>
    <xf numFmtId="10" fontId="24" fillId="0" borderId="0" xfId="1" applyNumberFormat="1" applyFont="1" applyAlignment="1">
      <alignment horizontal="center" vertical="center"/>
    </xf>
    <xf numFmtId="164" fontId="22" fillId="0" borderId="0" xfId="0" applyNumberFormat="1" applyFont="1"/>
    <xf numFmtId="8" fontId="22" fillId="0" borderId="0" xfId="0" applyNumberFormat="1" applyFont="1"/>
    <xf numFmtId="8" fontId="22" fillId="0" borderId="0" xfId="0" applyNumberFormat="1" applyFont="1" applyAlignment="1">
      <alignment horizontal="right"/>
    </xf>
    <xf numFmtId="43" fontId="20" fillId="0" borderId="0" xfId="4" applyFont="1" applyAlignment="1">
      <alignment horizontal="center" vertical="center"/>
    </xf>
    <xf numFmtId="167" fontId="18" fillId="0" borderId="0" xfId="4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0" fontId="25" fillId="0" borderId="0" xfId="1" applyNumberFormat="1" applyFont="1" applyFill="1" applyAlignment="1">
      <alignment horizontal="center" vertical="center"/>
    </xf>
    <xf numFmtId="164" fontId="0" fillId="0" borderId="0" xfId="0" applyNumberFormat="1"/>
    <xf numFmtId="10" fontId="24" fillId="0" borderId="0" xfId="1" applyNumberFormat="1" applyFont="1" applyFill="1" applyAlignment="1">
      <alignment horizontal="center" vertical="center"/>
    </xf>
    <xf numFmtId="43" fontId="2" fillId="0" borderId="0" xfId="4" applyFont="1"/>
    <xf numFmtId="165" fontId="2" fillId="0" borderId="0" xfId="1" applyNumberFormat="1" applyFont="1"/>
    <xf numFmtId="0" fontId="17" fillId="11" borderId="26" xfId="0" applyFont="1" applyFill="1" applyBorder="1" applyAlignment="1">
      <alignment horizontal="center" vertical="center" wrapText="1"/>
    </xf>
    <xf numFmtId="164" fontId="17" fillId="11" borderId="26" xfId="5" applyNumberFormat="1" applyFont="1" applyFill="1" applyBorder="1" applyAlignment="1">
      <alignment vertical="top" wrapText="1"/>
    </xf>
    <xf numFmtId="0" fontId="18" fillId="12" borderId="28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165" fontId="22" fillId="0" borderId="30" xfId="1" applyNumberFormat="1" applyFont="1" applyBorder="1"/>
    <xf numFmtId="164" fontId="2" fillId="0" borderId="20" xfId="5" applyNumberFormat="1" applyFont="1" applyFill="1" applyBorder="1" applyAlignment="1">
      <alignment vertical="top"/>
    </xf>
    <xf numFmtId="164" fontId="29" fillId="0" borderId="10" xfId="5" applyNumberFormat="1" applyFont="1" applyFill="1" applyBorder="1"/>
    <xf numFmtId="168" fontId="24" fillId="13" borderId="27" xfId="1" applyNumberFormat="1" applyFont="1" applyFill="1" applyBorder="1" applyAlignment="1">
      <alignment vertical="top"/>
    </xf>
    <xf numFmtId="0" fontId="30" fillId="13" borderId="0" xfId="0" applyFont="1" applyFill="1" applyAlignment="1">
      <alignment horizontal="center"/>
    </xf>
    <xf numFmtId="10" fontId="2" fillId="0" borderId="0" xfId="1" applyNumberFormat="1" applyFont="1"/>
    <xf numFmtId="0" fontId="2" fillId="0" borderId="0" xfId="0" applyFont="1" applyAlignment="1">
      <alignment horizontal="right"/>
    </xf>
    <xf numFmtId="164" fontId="2" fillId="0" borderId="0" xfId="5" applyNumberFormat="1" applyFont="1" applyAlignment="1">
      <alignment horizontal="right" vertical="center"/>
    </xf>
    <xf numFmtId="0" fontId="2" fillId="0" borderId="26" xfId="0" applyFont="1" applyBorder="1"/>
    <xf numFmtId="0" fontId="2" fillId="0" borderId="37" xfId="0" applyFont="1" applyBorder="1"/>
    <xf numFmtId="6" fontId="18" fillId="0" borderId="39" xfId="0" applyNumberFormat="1" applyFont="1" applyBorder="1" applyAlignment="1">
      <alignment horizontal="right" vertical="center"/>
    </xf>
    <xf numFmtId="164" fontId="18" fillId="0" borderId="27" xfId="5" applyNumberFormat="1" applyFont="1" applyBorder="1" applyAlignment="1">
      <alignment horizontal="center" vertical="center"/>
    </xf>
    <xf numFmtId="164" fontId="20" fillId="12" borderId="27" xfId="5" applyNumberFormat="1" applyFont="1" applyFill="1" applyBorder="1" applyAlignment="1">
      <alignment vertical="top"/>
    </xf>
    <xf numFmtId="0" fontId="33" fillId="0" borderId="0" xfId="2" applyFont="1"/>
    <xf numFmtId="164" fontId="33" fillId="0" borderId="0" xfId="3" applyNumberFormat="1" applyFont="1" applyFill="1"/>
    <xf numFmtId="164" fontId="33" fillId="0" borderId="7" xfId="3" applyNumberFormat="1" applyFont="1" applyFill="1" applyBorder="1"/>
    <xf numFmtId="164" fontId="36" fillId="0" borderId="0" xfId="3" applyNumberFormat="1" applyFont="1" applyFill="1"/>
    <xf numFmtId="0" fontId="2" fillId="0" borderId="30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0" borderId="32" xfId="0" applyFont="1" applyBorder="1" applyAlignment="1">
      <alignment vertical="top"/>
    </xf>
    <xf numFmtId="0" fontId="2" fillId="0" borderId="32" xfId="0" applyFont="1" applyBorder="1" applyAlignment="1">
      <alignment horizontal="center" vertical="top"/>
    </xf>
    <xf numFmtId="164" fontId="2" fillId="0" borderId="19" xfId="5" applyNumberFormat="1" applyFont="1" applyFill="1" applyBorder="1" applyAlignment="1">
      <alignment horizontal="right" vertical="center"/>
    </xf>
    <xf numFmtId="0" fontId="16" fillId="14" borderId="27" xfId="0" applyFont="1" applyFill="1" applyBorder="1" applyAlignment="1">
      <alignment horizontal="center" vertical="center" wrapText="1"/>
    </xf>
    <xf numFmtId="0" fontId="21" fillId="14" borderId="27" xfId="0" applyFont="1" applyFill="1" applyBorder="1" applyAlignment="1">
      <alignment horizontal="center" vertical="center" wrapText="1"/>
    </xf>
    <xf numFmtId="164" fontId="16" fillId="14" borderId="26" xfId="5" applyNumberFormat="1" applyFont="1" applyFill="1" applyBorder="1" applyAlignment="1">
      <alignment vertical="top" wrapText="1"/>
    </xf>
    <xf numFmtId="10" fontId="24" fillId="14" borderId="27" xfId="1" applyNumberFormat="1" applyFont="1" applyFill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48" xfId="0" applyFont="1" applyBorder="1"/>
    <xf numFmtId="0" fontId="7" fillId="13" borderId="12" xfId="0" applyFont="1" applyFill="1" applyBorder="1" applyAlignment="1">
      <alignment horizontal="center"/>
    </xf>
    <xf numFmtId="0" fontId="7" fillId="13" borderId="13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 wrapText="1"/>
    </xf>
    <xf numFmtId="0" fontId="7" fillId="15" borderId="37" xfId="0" applyFont="1" applyFill="1" applyBorder="1" applyAlignment="1">
      <alignment horizontal="center" wrapText="1"/>
    </xf>
    <xf numFmtId="0" fontId="7" fillId="15" borderId="13" xfId="0" applyFont="1" applyFill="1" applyBorder="1" applyAlignment="1">
      <alignment horizontal="center" wrapText="1"/>
    </xf>
    <xf numFmtId="167" fontId="7" fillId="15" borderId="38" xfId="4" applyNumberFormat="1" applyFont="1" applyFill="1" applyBorder="1" applyAlignment="1">
      <alignment horizontal="center" wrapText="1"/>
    </xf>
    <xf numFmtId="0" fontId="7" fillId="15" borderId="12" xfId="0" applyFont="1" applyFill="1" applyBorder="1" applyAlignment="1">
      <alignment horizontal="center" wrapText="1"/>
    </xf>
    <xf numFmtId="0" fontId="7" fillId="15" borderId="14" xfId="0" applyFont="1" applyFill="1" applyBorder="1" applyAlignment="1">
      <alignment horizontal="center" wrapText="1"/>
    </xf>
    <xf numFmtId="0" fontId="7" fillId="16" borderId="12" xfId="0" applyFont="1" applyFill="1" applyBorder="1" applyAlignment="1">
      <alignment horizontal="center" wrapText="1"/>
    </xf>
    <xf numFmtId="0" fontId="7" fillId="16" borderId="13" xfId="0" applyFont="1" applyFill="1" applyBorder="1" applyAlignment="1">
      <alignment horizontal="center" wrapText="1"/>
    </xf>
    <xf numFmtId="0" fontId="7" fillId="16" borderId="14" xfId="0" applyFont="1" applyFill="1" applyBorder="1" applyAlignment="1">
      <alignment horizontal="center" wrapText="1"/>
    </xf>
    <xf numFmtId="0" fontId="4" fillId="18" borderId="1" xfId="0" applyFont="1" applyFill="1" applyBorder="1" applyAlignment="1">
      <alignment horizontal="center"/>
    </xf>
    <xf numFmtId="43" fontId="4" fillId="18" borderId="1" xfId="0" applyNumberFormat="1" applyFont="1" applyFill="1" applyBorder="1"/>
    <xf numFmtId="43" fontId="7" fillId="16" borderId="30" xfId="0" applyNumberFormat="1" applyFont="1" applyFill="1" applyBorder="1"/>
    <xf numFmtId="164" fontId="7" fillId="16" borderId="30" xfId="5" applyNumberFormat="1" applyFont="1" applyFill="1" applyBorder="1"/>
    <xf numFmtId="0" fontId="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167" fontId="4" fillId="17" borderId="1" xfId="4" applyNumberFormat="1" applyFont="1" applyFill="1" applyBorder="1"/>
    <xf numFmtId="167" fontId="4" fillId="17" borderId="40" xfId="4" applyNumberFormat="1" applyFont="1" applyFill="1" applyBorder="1"/>
    <xf numFmtId="167" fontId="7" fillId="17" borderId="42" xfId="0" applyNumberFormat="1" applyFont="1" applyFill="1" applyBorder="1"/>
    <xf numFmtId="43" fontId="8" fillId="17" borderId="21" xfId="0" applyNumberFormat="1" applyFont="1" applyFill="1" applyBorder="1"/>
    <xf numFmtId="0" fontId="4" fillId="18" borderId="42" xfId="0" applyFont="1" applyFill="1" applyBorder="1" applyAlignment="1">
      <alignment horizontal="center"/>
    </xf>
    <xf numFmtId="43" fontId="4" fillId="18" borderId="40" xfId="0" applyNumberFormat="1" applyFont="1" applyFill="1" applyBorder="1"/>
    <xf numFmtId="0" fontId="8" fillId="13" borderId="1" xfId="0" applyFont="1" applyFill="1" applyBorder="1" applyAlignment="1">
      <alignment horizontal="center"/>
    </xf>
    <xf numFmtId="0" fontId="8" fillId="18" borderId="42" xfId="0" applyFont="1" applyFill="1" applyBorder="1" applyAlignment="1">
      <alignment horizontal="center"/>
    </xf>
    <xf numFmtId="0" fontId="8" fillId="18" borderId="1" xfId="0" applyFont="1" applyFill="1" applyBorder="1" applyAlignment="1">
      <alignment horizontal="center"/>
    </xf>
    <xf numFmtId="167" fontId="7" fillId="17" borderId="44" xfId="0" applyNumberFormat="1" applyFont="1" applyFill="1" applyBorder="1"/>
    <xf numFmtId="43" fontId="8" fillId="17" borderId="25" xfId="0" applyNumberFormat="1" applyFont="1" applyFill="1" applyBorder="1"/>
    <xf numFmtId="0" fontId="4" fillId="18" borderId="44" xfId="0" applyFont="1" applyFill="1" applyBorder="1" applyAlignment="1">
      <alignment horizontal="center"/>
    </xf>
    <xf numFmtId="0" fontId="4" fillId="18" borderId="23" xfId="0" applyFont="1" applyFill="1" applyBorder="1" applyAlignment="1">
      <alignment horizontal="center"/>
    </xf>
    <xf numFmtId="43" fontId="4" fillId="18" borderId="23" xfId="0" applyNumberFormat="1" applyFont="1" applyFill="1" applyBorder="1"/>
    <xf numFmtId="43" fontId="4" fillId="18" borderId="46" xfId="0" applyNumberFormat="1" applyFont="1" applyFill="1" applyBorder="1"/>
    <xf numFmtId="43" fontId="7" fillId="16" borderId="33" xfId="0" applyNumberFormat="1" applyFont="1" applyFill="1" applyBorder="1"/>
    <xf numFmtId="164" fontId="7" fillId="16" borderId="33" xfId="5" applyNumberFormat="1" applyFont="1" applyFill="1" applyBorder="1"/>
    <xf numFmtId="167" fontId="7" fillId="13" borderId="49" xfId="4" applyNumberFormat="1" applyFont="1" applyFill="1" applyBorder="1"/>
    <xf numFmtId="167" fontId="7" fillId="15" borderId="50" xfId="4" applyNumberFormat="1" applyFont="1" applyFill="1" applyBorder="1"/>
    <xf numFmtId="167" fontId="7" fillId="16" borderId="51" xfId="4" applyNumberFormat="1" applyFont="1" applyFill="1" applyBorder="1" applyAlignment="1">
      <alignment horizontal="center"/>
    </xf>
    <xf numFmtId="167" fontId="7" fillId="16" borderId="51" xfId="4" applyNumberFormat="1" applyFont="1" applyFill="1" applyBorder="1"/>
    <xf numFmtId="43" fontId="7" fillId="16" borderId="51" xfId="4" applyFont="1" applyFill="1" applyBorder="1"/>
    <xf numFmtId="164" fontId="7" fillId="16" borderId="52" xfId="5" applyNumberFormat="1" applyFont="1" applyFill="1" applyBorder="1"/>
    <xf numFmtId="0" fontId="9" fillId="0" borderId="0" xfId="0" applyFont="1" applyAlignment="1">
      <alignment horizontal="center"/>
    </xf>
    <xf numFmtId="168" fontId="9" fillId="0" borderId="0" xfId="0" applyNumberFormat="1" applyFont="1"/>
    <xf numFmtId="167" fontId="9" fillId="0" borderId="0" xfId="4" applyNumberFormat="1" applyFont="1"/>
    <xf numFmtId="0" fontId="8" fillId="0" borderId="40" xfId="0" applyFont="1" applyBorder="1"/>
    <xf numFmtId="0" fontId="4" fillId="0" borderId="20" xfId="0" applyFont="1" applyBorder="1"/>
    <xf numFmtId="167" fontId="4" fillId="0" borderId="0" xfId="4" applyNumberFormat="1" applyFont="1"/>
    <xf numFmtId="170" fontId="4" fillId="0" borderId="1" xfId="4" applyNumberFormat="1" applyFont="1" applyBorder="1"/>
    <xf numFmtId="164" fontId="38" fillId="0" borderId="0" xfId="5" applyNumberFormat="1" applyFont="1" applyFill="1"/>
    <xf numFmtId="168" fontId="4" fillId="0" borderId="1" xfId="4" applyNumberFormat="1" applyFont="1" applyBorder="1"/>
    <xf numFmtId="43" fontId="18" fillId="0" borderId="30" xfId="4" applyFont="1" applyFill="1" applyBorder="1" applyAlignment="1">
      <alignment horizontal="right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37" fillId="13" borderId="12" xfId="0" applyFont="1" applyFill="1" applyBorder="1" applyAlignment="1">
      <alignment horizontal="center"/>
    </xf>
    <xf numFmtId="0" fontId="37" fillId="13" borderId="13" xfId="0" applyFont="1" applyFill="1" applyBorder="1" applyAlignment="1">
      <alignment horizontal="center"/>
    </xf>
    <xf numFmtId="0" fontId="37" fillId="16" borderId="12" xfId="0" applyFont="1" applyFill="1" applyBorder="1" applyAlignment="1">
      <alignment horizontal="center" wrapText="1"/>
    </xf>
    <xf numFmtId="0" fontId="37" fillId="16" borderId="13" xfId="0" applyFont="1" applyFill="1" applyBorder="1" applyAlignment="1">
      <alignment horizontal="center" wrapText="1"/>
    </xf>
    <xf numFmtId="0" fontId="37" fillId="16" borderId="14" xfId="0" applyFont="1" applyFill="1" applyBorder="1" applyAlignment="1">
      <alignment horizontal="center" wrapText="1"/>
    </xf>
    <xf numFmtId="0" fontId="37" fillId="0" borderId="0" xfId="0" applyFont="1"/>
    <xf numFmtId="164" fontId="27" fillId="16" borderId="30" xfId="5" applyNumberFormat="1" applyFont="1" applyFill="1" applyBorder="1"/>
    <xf numFmtId="0" fontId="27" fillId="13" borderId="1" xfId="0" applyFont="1" applyFill="1" applyBorder="1"/>
    <xf numFmtId="0" fontId="27" fillId="18" borderId="42" xfId="0" applyFont="1" applyFill="1" applyBorder="1" applyAlignment="1">
      <alignment horizontal="center"/>
    </xf>
    <xf numFmtId="43" fontId="27" fillId="18" borderId="40" xfId="0" applyNumberFormat="1" applyFont="1" applyFill="1" applyBorder="1"/>
    <xf numFmtId="0" fontId="39" fillId="18" borderId="42" xfId="0" applyFont="1" applyFill="1" applyBorder="1" applyAlignment="1">
      <alignment horizontal="center"/>
    </xf>
    <xf numFmtId="0" fontId="27" fillId="18" borderId="44" xfId="0" applyFont="1" applyFill="1" applyBorder="1" applyAlignment="1">
      <alignment horizontal="center"/>
    </xf>
    <xf numFmtId="43" fontId="27" fillId="18" borderId="46" xfId="0" applyNumberFormat="1" applyFont="1" applyFill="1" applyBorder="1"/>
    <xf numFmtId="164" fontId="27" fillId="16" borderId="33" xfId="5" applyNumberFormat="1" applyFont="1" applyFill="1" applyBorder="1"/>
    <xf numFmtId="0" fontId="39" fillId="0" borderId="0" xfId="0" applyFont="1"/>
    <xf numFmtId="164" fontId="41" fillId="0" borderId="0" xfId="5" applyNumberFormat="1" applyFont="1" applyFill="1"/>
    <xf numFmtId="0" fontId="5" fillId="0" borderId="0" xfId="0" applyFont="1" applyAlignment="1">
      <alignment horizontal="right"/>
    </xf>
    <xf numFmtId="0" fontId="27" fillId="13" borderId="42" xfId="0" applyFont="1" applyFill="1" applyBorder="1" applyAlignment="1">
      <alignment horizontal="center"/>
    </xf>
    <xf numFmtId="0" fontId="27" fillId="13" borderId="44" xfId="0" applyFont="1" applyFill="1" applyBorder="1" applyAlignment="1">
      <alignment horizontal="center"/>
    </xf>
    <xf numFmtId="0" fontId="27" fillId="13" borderId="23" xfId="0" applyFont="1" applyFill="1" applyBorder="1"/>
    <xf numFmtId="49" fontId="37" fillId="16" borderId="26" xfId="4" applyNumberFormat="1" applyFont="1" applyFill="1" applyBorder="1" applyAlignment="1">
      <alignment horizontal="center"/>
    </xf>
    <xf numFmtId="43" fontId="37" fillId="16" borderId="38" xfId="4" applyFont="1" applyFill="1" applyBorder="1"/>
    <xf numFmtId="164" fontId="37" fillId="16" borderId="27" xfId="5" applyNumberFormat="1" applyFont="1" applyFill="1" applyBorder="1"/>
    <xf numFmtId="164" fontId="2" fillId="12" borderId="17" xfId="5" applyNumberFormat="1" applyFont="1" applyFill="1" applyBorder="1" applyAlignment="1">
      <alignment vertical="top"/>
    </xf>
    <xf numFmtId="43" fontId="18" fillId="0" borderId="32" xfId="4" applyFont="1" applyFill="1" applyBorder="1" applyAlignment="1">
      <alignment horizontal="right" vertical="center"/>
    </xf>
    <xf numFmtId="164" fontId="2" fillId="0" borderId="23" xfId="5" applyNumberFormat="1" applyFont="1" applyFill="1" applyBorder="1" applyAlignment="1">
      <alignment vertical="top"/>
    </xf>
    <xf numFmtId="43" fontId="18" fillId="0" borderId="33" xfId="4" applyFont="1" applyFill="1" applyBorder="1" applyAlignment="1">
      <alignment horizontal="right" vertical="center"/>
    </xf>
    <xf numFmtId="0" fontId="16" fillId="0" borderId="37" xfId="0" applyFont="1" applyBorder="1" applyAlignment="1">
      <alignment horizontal="center" vertical="center" wrapText="1"/>
    </xf>
    <xf numFmtId="164" fontId="2" fillId="0" borderId="47" xfId="5" applyNumberFormat="1" applyFont="1" applyFill="1" applyBorder="1" applyAlignment="1">
      <alignment horizontal="right" vertical="center"/>
    </xf>
    <xf numFmtId="164" fontId="2" fillId="0" borderId="18" xfId="5" applyNumberFormat="1" applyFont="1" applyFill="1" applyBorder="1" applyAlignment="1">
      <alignment horizontal="right" vertical="center"/>
    </xf>
    <xf numFmtId="164" fontId="2" fillId="0" borderId="53" xfId="5" applyNumberFormat="1" applyFont="1" applyFill="1" applyBorder="1" applyAlignment="1">
      <alignment horizontal="right" vertical="center"/>
    </xf>
    <xf numFmtId="164" fontId="2" fillId="0" borderId="21" xfId="5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horizontal="center" vertical="center" wrapText="1"/>
    </xf>
    <xf numFmtId="0" fontId="7" fillId="19" borderId="14" xfId="0" applyFont="1" applyFill="1" applyBorder="1" applyAlignment="1">
      <alignment horizontal="center" wrapText="1"/>
    </xf>
    <xf numFmtId="0" fontId="4" fillId="0" borderId="41" xfId="0" applyFont="1" applyBorder="1" applyAlignment="1">
      <alignment vertical="top"/>
    </xf>
    <xf numFmtId="0" fontId="4" fillId="0" borderId="16" xfId="0" applyFont="1" applyBorder="1" applyAlignment="1">
      <alignment horizontal="center" vertical="top"/>
    </xf>
    <xf numFmtId="167" fontId="7" fillId="19" borderId="18" xfId="4" applyNumberFormat="1" applyFont="1" applyFill="1" applyBorder="1"/>
    <xf numFmtId="167" fontId="7" fillId="19" borderId="47" xfId="4" applyNumberFormat="1" applyFont="1" applyFill="1" applyBorder="1"/>
    <xf numFmtId="167" fontId="4" fillId="0" borderId="0" xfId="0" applyNumberFormat="1" applyFont="1"/>
    <xf numFmtId="0" fontId="4" fillId="0" borderId="42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67" fontId="7" fillId="19" borderId="21" xfId="4" applyNumberFormat="1" applyFont="1" applyFill="1" applyBorder="1"/>
    <xf numFmtId="0" fontId="4" fillId="0" borderId="44" xfId="0" applyFont="1" applyBorder="1" applyAlignment="1">
      <alignment vertical="top"/>
    </xf>
    <xf numFmtId="0" fontId="4" fillId="0" borderId="23" xfId="0" applyFont="1" applyBorder="1" applyAlignment="1">
      <alignment horizontal="center" vertical="top"/>
    </xf>
    <xf numFmtId="167" fontId="7" fillId="19" borderId="25" xfId="4" applyNumberFormat="1" applyFont="1" applyFill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167" fontId="7" fillId="19" borderId="14" xfId="4" applyNumberFormat="1" applyFont="1" applyFill="1" applyBorder="1"/>
    <xf numFmtId="0" fontId="7" fillId="13" borderId="12" xfId="0" applyFont="1" applyFill="1" applyBorder="1" applyAlignment="1">
      <alignment horizontal="center" vertical="center" wrapText="1"/>
    </xf>
    <xf numFmtId="168" fontId="8" fillId="13" borderId="45" xfId="8" applyNumberFormat="1" applyFont="1" applyFill="1" applyBorder="1" applyAlignment="1">
      <alignment vertical="top"/>
    </xf>
    <xf numFmtId="168" fontId="8" fillId="13" borderId="42" xfId="8" applyNumberFormat="1" applyFont="1" applyFill="1" applyBorder="1" applyAlignment="1">
      <alignment vertical="top"/>
    </xf>
    <xf numFmtId="168" fontId="8" fillId="13" borderId="41" xfId="8" applyNumberFormat="1" applyFont="1" applyFill="1" applyBorder="1" applyAlignment="1">
      <alignment vertical="top"/>
    </xf>
    <xf numFmtId="168" fontId="8" fillId="13" borderId="44" xfId="8" applyNumberFormat="1" applyFont="1" applyFill="1" applyBorder="1" applyAlignment="1">
      <alignment vertical="top"/>
    </xf>
    <xf numFmtId="164" fontId="42" fillId="0" borderId="10" xfId="5" applyNumberFormat="1" applyFont="1" applyFill="1" applyBorder="1"/>
    <xf numFmtId="168" fontId="14" fillId="13" borderId="12" xfId="1" applyNumberFormat="1" applyFont="1" applyFill="1" applyBorder="1" applyAlignment="1"/>
    <xf numFmtId="0" fontId="20" fillId="13" borderId="13" xfId="0" applyFont="1" applyFill="1" applyBorder="1" applyAlignment="1">
      <alignment horizontal="center" vertical="center" wrapText="1"/>
    </xf>
    <xf numFmtId="168" fontId="25" fillId="13" borderId="1" xfId="8" applyNumberFormat="1" applyFont="1" applyFill="1" applyBorder="1" applyAlignment="1">
      <alignment vertical="top"/>
    </xf>
    <xf numFmtId="168" fontId="25" fillId="13" borderId="16" xfId="8" applyNumberFormat="1" applyFont="1" applyFill="1" applyBorder="1" applyAlignment="1">
      <alignment vertical="top"/>
    </xf>
    <xf numFmtId="168" fontId="25" fillId="13" borderId="23" xfId="8" applyNumberFormat="1" applyFont="1" applyFill="1" applyBorder="1" applyAlignment="1">
      <alignment vertical="top"/>
    </xf>
    <xf numFmtId="2" fontId="2" fillId="0" borderId="0" xfId="0" applyNumberFormat="1" applyFont="1"/>
    <xf numFmtId="164" fontId="20" fillId="0" borderId="27" xfId="5" applyNumberFormat="1" applyFont="1" applyFill="1" applyBorder="1" applyAlignment="1">
      <alignment horizontal="center" vertical="center"/>
    </xf>
    <xf numFmtId="164" fontId="2" fillId="0" borderId="40" xfId="5" applyNumberFormat="1" applyFont="1" applyFill="1" applyBorder="1" applyAlignment="1">
      <alignment horizontal="right" vertical="center"/>
    </xf>
    <xf numFmtId="171" fontId="27" fillId="0" borderId="0" xfId="0" applyNumberFormat="1" applyFont="1"/>
    <xf numFmtId="0" fontId="27" fillId="0" borderId="40" xfId="0" applyFont="1" applyBorder="1"/>
    <xf numFmtId="44" fontId="27" fillId="0" borderId="41" xfId="0" applyNumberFormat="1" applyFont="1" applyBorder="1"/>
    <xf numFmtId="44" fontId="27" fillId="0" borderId="32" xfId="0" applyNumberFormat="1" applyFont="1" applyBorder="1"/>
    <xf numFmtId="44" fontId="37" fillId="20" borderId="29" xfId="0" applyNumberFormat="1" applyFont="1" applyFill="1" applyBorder="1"/>
    <xf numFmtId="44" fontId="27" fillId="17" borderId="54" xfId="0" applyNumberFormat="1" applyFont="1" applyFill="1" applyBorder="1"/>
    <xf numFmtId="44" fontId="27" fillId="17" borderId="29" xfId="0" applyNumberFormat="1" applyFont="1" applyFill="1" applyBorder="1"/>
    <xf numFmtId="44" fontId="27" fillId="0" borderId="42" xfId="0" applyNumberFormat="1" applyFont="1" applyBorder="1"/>
    <xf numFmtId="44" fontId="27" fillId="0" borderId="30" xfId="0" applyNumberFormat="1" applyFont="1" applyBorder="1"/>
    <xf numFmtId="44" fontId="37" fillId="20" borderId="30" xfId="0" applyNumberFormat="1" applyFont="1" applyFill="1" applyBorder="1"/>
    <xf numFmtId="44" fontId="27" fillId="17" borderId="19" xfId="0" applyNumberFormat="1" applyFont="1" applyFill="1" applyBorder="1"/>
    <xf numFmtId="44" fontId="27" fillId="17" borderId="30" xfId="0" applyNumberFormat="1" applyFont="1" applyFill="1" applyBorder="1"/>
    <xf numFmtId="172" fontId="27" fillId="0" borderId="0" xfId="0" applyNumberFormat="1" applyFont="1"/>
    <xf numFmtId="44" fontId="27" fillId="0" borderId="44" xfId="0" applyNumberFormat="1" applyFont="1" applyBorder="1"/>
    <xf numFmtId="44" fontId="27" fillId="0" borderId="33" xfId="0" applyNumberFormat="1" applyFont="1" applyBorder="1"/>
    <xf numFmtId="44" fontId="37" fillId="20" borderId="33" xfId="0" applyNumberFormat="1" applyFont="1" applyFill="1" applyBorder="1"/>
    <xf numFmtId="44" fontId="27" fillId="17" borderId="22" xfId="0" applyNumberFormat="1" applyFont="1" applyFill="1" applyBorder="1"/>
    <xf numFmtId="44" fontId="27" fillId="17" borderId="33" xfId="0" applyNumberFormat="1" applyFont="1" applyFill="1" applyBorder="1"/>
    <xf numFmtId="44" fontId="27" fillId="0" borderId="0" xfId="0" applyNumberFormat="1" applyFont="1"/>
    <xf numFmtId="0" fontId="37" fillId="20" borderId="40" xfId="0" applyFont="1" applyFill="1" applyBorder="1" applyAlignment="1">
      <alignment horizontal="center"/>
    </xf>
    <xf numFmtId="44" fontId="37" fillId="20" borderId="12" xfId="0" applyNumberFormat="1" applyFont="1" applyFill="1" applyBorder="1"/>
    <xf numFmtId="44" fontId="37" fillId="20" borderId="27" xfId="0" applyNumberFormat="1" applyFont="1" applyFill="1" applyBorder="1"/>
    <xf numFmtId="44" fontId="37" fillId="17" borderId="27" xfId="0" applyNumberFormat="1" applyFont="1" applyFill="1" applyBorder="1"/>
    <xf numFmtId="44" fontId="27" fillId="0" borderId="0" xfId="5" applyFont="1" applyFill="1"/>
    <xf numFmtId="10" fontId="27" fillId="0" borderId="0" xfId="1" applyNumberFormat="1" applyFont="1"/>
    <xf numFmtId="164" fontId="3" fillId="0" borderId="0" xfId="3" applyNumberFormat="1" applyFont="1" applyFill="1"/>
    <xf numFmtId="164" fontId="51" fillId="0" borderId="0" xfId="3" applyNumberFormat="1" applyFont="1" applyFill="1"/>
    <xf numFmtId="164" fontId="12" fillId="0" borderId="0" xfId="3" applyNumberFormat="1" applyFont="1" applyFill="1"/>
    <xf numFmtId="164" fontId="52" fillId="0" borderId="0" xfId="3" applyNumberFormat="1" applyFont="1"/>
    <xf numFmtId="164" fontId="48" fillId="0" borderId="60" xfId="3" applyNumberFormat="1" applyFont="1" applyFill="1" applyBorder="1"/>
    <xf numFmtId="164" fontId="53" fillId="0" borderId="0" xfId="3" applyNumberFormat="1" applyFont="1"/>
    <xf numFmtId="164" fontId="48" fillId="0" borderId="0" xfId="3" applyNumberFormat="1" applyFont="1" applyFill="1" applyBorder="1"/>
    <xf numFmtId="164" fontId="3" fillId="0" borderId="0" xfId="3" applyNumberFormat="1" applyFont="1" applyFill="1" applyBorder="1"/>
    <xf numFmtId="0" fontId="48" fillId="0" borderId="0" xfId="2" applyFont="1"/>
    <xf numFmtId="0" fontId="51" fillId="0" borderId="0" xfId="2" applyFont="1"/>
    <xf numFmtId="165" fontId="5" fillId="0" borderId="0" xfId="1" applyNumberFormat="1" applyFont="1"/>
    <xf numFmtId="165" fontId="5" fillId="0" borderId="0" xfId="1" applyNumberFormat="1" applyFont="1" applyFill="1"/>
    <xf numFmtId="164" fontId="3" fillId="0" borderId="0" xfId="2" applyNumberFormat="1" applyFont="1"/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4" fillId="13" borderId="39" xfId="0" applyFont="1" applyFill="1" applyBorder="1" applyAlignment="1">
      <alignment horizontal="center" vertical="center" wrapText="1"/>
    </xf>
    <xf numFmtId="0" fontId="17" fillId="21" borderId="27" xfId="0" applyFont="1" applyFill="1" applyBorder="1" applyAlignment="1">
      <alignment horizontal="center" vertical="center" wrapText="1"/>
    </xf>
    <xf numFmtId="164" fontId="2" fillId="0" borderId="41" xfId="5" applyNumberFormat="1" applyFont="1" applyFill="1" applyBorder="1" applyAlignment="1">
      <alignment horizontal="right" vertical="center"/>
    </xf>
    <xf numFmtId="164" fontId="18" fillId="0" borderId="17" xfId="5" applyNumberFormat="1" applyFont="1" applyFill="1" applyBorder="1" applyAlignment="1">
      <alignment vertical="top"/>
    </xf>
    <xf numFmtId="164" fontId="22" fillId="13" borderId="17" xfId="5" applyNumberFormat="1" applyFont="1" applyFill="1" applyBorder="1" applyAlignment="1">
      <alignment vertical="top"/>
    </xf>
    <xf numFmtId="164" fontId="2" fillId="0" borderId="42" xfId="5" applyNumberFormat="1" applyFont="1" applyFill="1" applyBorder="1" applyAlignment="1">
      <alignment horizontal="right" vertical="center"/>
    </xf>
    <xf numFmtId="164" fontId="18" fillId="0" borderId="20" xfId="5" applyNumberFormat="1" applyFont="1" applyFill="1" applyBorder="1" applyAlignment="1">
      <alignment vertical="top"/>
    </xf>
    <xf numFmtId="164" fontId="22" fillId="13" borderId="20" xfId="5" applyNumberFormat="1" applyFont="1" applyFill="1" applyBorder="1" applyAlignment="1">
      <alignment vertical="top"/>
    </xf>
    <xf numFmtId="164" fontId="28" fillId="0" borderId="21" xfId="5" applyNumberFormat="1" applyFont="1" applyFill="1" applyBorder="1" applyAlignment="1">
      <alignment horizontal="right" vertical="center"/>
    </xf>
    <xf numFmtId="165" fontId="22" fillId="0" borderId="32" xfId="1" applyNumberFormat="1" applyFont="1" applyBorder="1"/>
    <xf numFmtId="164" fontId="43" fillId="2" borderId="17" xfId="5" applyNumberFormat="1" applyFont="1" applyFill="1" applyBorder="1" applyAlignment="1">
      <alignment vertical="top"/>
    </xf>
    <xf numFmtId="164" fontId="2" fillId="0" borderId="59" xfId="5" applyNumberFormat="1" applyFont="1" applyFill="1" applyBorder="1" applyAlignment="1">
      <alignment horizontal="right" vertical="center"/>
    </xf>
    <xf numFmtId="164" fontId="18" fillId="0" borderId="36" xfId="5" applyNumberFormat="1" applyFont="1" applyFill="1" applyBorder="1" applyAlignment="1">
      <alignment vertical="top"/>
    </xf>
    <xf numFmtId="164" fontId="22" fillId="13" borderId="36" xfId="5" applyNumberFormat="1" applyFont="1" applyFill="1" applyBorder="1" applyAlignment="1">
      <alignment vertical="top"/>
    </xf>
    <xf numFmtId="164" fontId="43" fillId="2" borderId="36" xfId="5" applyNumberFormat="1" applyFont="1" applyFill="1" applyBorder="1" applyAlignment="1">
      <alignment vertical="top"/>
    </xf>
    <xf numFmtId="165" fontId="22" fillId="0" borderId="33" xfId="1" applyNumberFormat="1" applyFont="1" applyBorder="1"/>
    <xf numFmtId="164" fontId="2" fillId="0" borderId="10" xfId="5" applyNumberFormat="1" applyFont="1" applyBorder="1"/>
    <xf numFmtId="164" fontId="29" fillId="0" borderId="10" xfId="5" applyNumberFormat="1" applyFont="1" applyBorder="1"/>
    <xf numFmtId="164" fontId="20" fillId="13" borderId="27" xfId="5" applyNumberFormat="1" applyFont="1" applyFill="1" applyBorder="1" applyAlignment="1">
      <alignment vertical="top"/>
    </xf>
    <xf numFmtId="164" fontId="17" fillId="21" borderId="26" xfId="5" applyNumberFormat="1" applyFont="1" applyFill="1" applyBorder="1" applyAlignment="1">
      <alignment vertical="top" wrapText="1"/>
    </xf>
    <xf numFmtId="164" fontId="55" fillId="0" borderId="27" xfId="5" applyNumberFormat="1" applyFont="1" applyBorder="1" applyAlignment="1">
      <alignment vertical="top"/>
    </xf>
    <xf numFmtId="165" fontId="20" fillId="0" borderId="27" xfId="1" applyNumberFormat="1" applyFont="1" applyBorder="1" applyAlignment="1">
      <alignment vertical="top"/>
    </xf>
    <xf numFmtId="169" fontId="2" fillId="0" borderId="0" xfId="0" applyNumberFormat="1" applyFont="1"/>
    <xf numFmtId="0" fontId="31" fillId="0" borderId="0" xfId="0" applyFont="1" applyAlignment="1">
      <alignment horizontal="center"/>
    </xf>
    <xf numFmtId="164" fontId="2" fillId="0" borderId="0" xfId="0" applyNumberFormat="1" applyFont="1"/>
    <xf numFmtId="164" fontId="31" fillId="0" borderId="0" xfId="0" applyNumberFormat="1" applyFont="1"/>
    <xf numFmtId="164" fontId="28" fillId="0" borderId="0" xfId="0" applyNumberFormat="1" applyFont="1"/>
    <xf numFmtId="167" fontId="28" fillId="0" borderId="0" xfId="4" applyNumberFormat="1" applyFont="1"/>
    <xf numFmtId="0" fontId="22" fillId="0" borderId="0" xfId="0" applyFont="1" applyAlignment="1">
      <alignment horizontal="right"/>
    </xf>
    <xf numFmtId="164" fontId="56" fillId="0" borderId="0" xfId="0" applyNumberFormat="1" applyFont="1"/>
    <xf numFmtId="10" fontId="22" fillId="0" borderId="35" xfId="1" applyNumberFormat="1" applyFont="1" applyFill="1" applyBorder="1" applyAlignment="1">
      <alignment horizontal="center" vertical="center"/>
    </xf>
    <xf numFmtId="42" fontId="2" fillId="0" borderId="1" xfId="5" applyNumberFormat="1" applyFont="1" applyBorder="1"/>
    <xf numFmtId="0" fontId="27" fillId="0" borderId="0" xfId="0" applyFont="1" applyAlignment="1">
      <alignment horizontal="right"/>
    </xf>
    <xf numFmtId="9" fontId="18" fillId="0" borderId="28" xfId="0" applyNumberFormat="1" applyFont="1" applyBorder="1" applyAlignment="1">
      <alignment horizontal="center" vertical="center" wrapText="1"/>
    </xf>
    <xf numFmtId="164" fontId="18" fillId="0" borderId="32" xfId="5" applyNumberFormat="1" applyFont="1" applyFill="1" applyBorder="1" applyAlignment="1">
      <alignment vertical="top"/>
    </xf>
    <xf numFmtId="164" fontId="28" fillId="0" borderId="18" xfId="5" applyNumberFormat="1" applyFont="1" applyFill="1" applyBorder="1" applyAlignment="1">
      <alignment horizontal="right" vertical="center"/>
    </xf>
    <xf numFmtId="164" fontId="18" fillId="0" borderId="30" xfId="5" applyNumberFormat="1" applyFont="1" applyFill="1" applyBorder="1" applyAlignment="1">
      <alignment vertical="top"/>
    </xf>
    <xf numFmtId="164" fontId="18" fillId="0" borderId="33" xfId="5" applyNumberFormat="1" applyFont="1" applyFill="1" applyBorder="1" applyAlignment="1">
      <alignment vertical="top"/>
    </xf>
    <xf numFmtId="164" fontId="28" fillId="0" borderId="53" xfId="5" applyNumberFormat="1" applyFont="1" applyFill="1" applyBorder="1" applyAlignment="1">
      <alignment horizontal="right" vertical="center"/>
    </xf>
    <xf numFmtId="164" fontId="2" fillId="0" borderId="10" xfId="5" applyNumberFormat="1" applyFont="1" applyFill="1" applyBorder="1"/>
    <xf numFmtId="164" fontId="18" fillId="0" borderId="27" xfId="5" applyNumberFormat="1" applyFont="1" applyFill="1" applyBorder="1" applyAlignment="1">
      <alignment vertical="top"/>
    </xf>
    <xf numFmtId="167" fontId="31" fillId="0" borderId="0" xfId="4" applyNumberFormat="1" applyFont="1" applyAlignment="1">
      <alignment horizontal="center"/>
    </xf>
    <xf numFmtId="43" fontId="31" fillId="0" borderId="0" xfId="4" applyFont="1"/>
    <xf numFmtId="0" fontId="21" fillId="0" borderId="0" xfId="0" applyFont="1" applyAlignment="1">
      <alignment horizontal="center"/>
    </xf>
    <xf numFmtId="8" fontId="2" fillId="0" borderId="0" xfId="0" applyNumberFormat="1" applyFont="1"/>
    <xf numFmtId="0" fontId="37" fillId="0" borderId="27" xfId="0" applyFont="1" applyBorder="1" applyAlignment="1">
      <alignment horizontal="center"/>
    </xf>
    <xf numFmtId="0" fontId="37" fillId="0" borderId="27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wrapText="1"/>
    </xf>
    <xf numFmtId="0" fontId="27" fillId="0" borderId="54" xfId="0" applyFont="1" applyBorder="1"/>
    <xf numFmtId="44" fontId="27" fillId="0" borderId="54" xfId="0" applyNumberFormat="1" applyFont="1" applyBorder="1"/>
    <xf numFmtId="44" fontId="27" fillId="0" borderId="47" xfId="0" applyNumberFormat="1" applyFont="1" applyBorder="1"/>
    <xf numFmtId="0" fontId="27" fillId="0" borderId="19" xfId="0" applyFont="1" applyBorder="1"/>
    <xf numFmtId="44" fontId="27" fillId="0" borderId="19" xfId="0" applyNumberFormat="1" applyFont="1" applyBorder="1"/>
    <xf numFmtId="44" fontId="27" fillId="0" borderId="21" xfId="0" applyNumberFormat="1" applyFont="1" applyBorder="1"/>
    <xf numFmtId="0" fontId="27" fillId="0" borderId="22" xfId="0" applyFont="1" applyBorder="1"/>
    <xf numFmtId="44" fontId="27" fillId="0" borderId="22" xfId="0" applyNumberFormat="1" applyFont="1" applyBorder="1"/>
    <xf numFmtId="44" fontId="27" fillId="0" borderId="25" xfId="0" applyNumberFormat="1" applyFont="1" applyBorder="1"/>
    <xf numFmtId="44" fontId="37" fillId="0" borderId="27" xfId="0" applyNumberFormat="1" applyFont="1" applyBorder="1"/>
    <xf numFmtId="44" fontId="37" fillId="0" borderId="27" xfId="5" applyFont="1" applyBorder="1"/>
    <xf numFmtId="0" fontId="57" fillId="0" borderId="0" xfId="0" applyFont="1" applyAlignment="1">
      <alignment horizontal="center"/>
    </xf>
    <xf numFmtId="43" fontId="0" fillId="0" borderId="0" xfId="0" applyNumberFormat="1"/>
    <xf numFmtId="43" fontId="10" fillId="0" borderId="0" xfId="0" applyNumberFormat="1" applyFont="1"/>
    <xf numFmtId="0" fontId="57" fillId="0" borderId="0" xfId="0" applyFont="1"/>
    <xf numFmtId="0" fontId="2" fillId="0" borderId="0" xfId="9" applyFont="1"/>
    <xf numFmtId="0" fontId="18" fillId="0" borderId="12" xfId="9" applyFont="1" applyBorder="1" applyAlignment="1">
      <alignment horizontal="center" vertical="center" wrapText="1"/>
    </xf>
    <xf numFmtId="0" fontId="18" fillId="0" borderId="13" xfId="9" applyFont="1" applyBorder="1" applyAlignment="1">
      <alignment horizontal="center" vertical="center" wrapText="1"/>
    </xf>
    <xf numFmtId="164" fontId="18" fillId="0" borderId="13" xfId="5" applyNumberFormat="1" applyFont="1" applyFill="1" applyBorder="1" applyAlignment="1">
      <alignment horizontal="center" vertical="center" wrapText="1"/>
    </xf>
    <xf numFmtId="10" fontId="18" fillId="0" borderId="27" xfId="1" applyNumberFormat="1" applyFont="1" applyBorder="1" applyAlignment="1">
      <alignment horizontal="center" vertical="center" wrapText="1"/>
    </xf>
    <xf numFmtId="0" fontId="2" fillId="0" borderId="42" xfId="9" applyFont="1" applyBorder="1"/>
    <xf numFmtId="0" fontId="2" fillId="0" borderId="1" xfId="9" applyFont="1" applyBorder="1" applyAlignment="1">
      <alignment horizontal="center" vertical="center"/>
    </xf>
    <xf numFmtId="164" fontId="2" fillId="0" borderId="32" xfId="5" applyNumberFormat="1" applyFont="1" applyFill="1" applyBorder="1" applyAlignment="1">
      <alignment horizontal="center" vertical="center"/>
    </xf>
    <xf numFmtId="10" fontId="2" fillId="22" borderId="29" xfId="1" applyNumberFormat="1" applyFont="1" applyFill="1" applyBorder="1"/>
    <xf numFmtId="10" fontId="2" fillId="0" borderId="32" xfId="1" applyNumberFormat="1" applyFont="1" applyBorder="1"/>
    <xf numFmtId="0" fontId="2" fillId="0" borderId="61" xfId="9" applyFont="1" applyBorder="1"/>
    <xf numFmtId="0" fontId="2" fillId="0" borderId="43" xfId="9" applyFont="1" applyBorder="1" applyAlignment="1">
      <alignment horizontal="center" vertical="center"/>
    </xf>
    <xf numFmtId="164" fontId="2" fillId="0" borderId="62" xfId="5" applyNumberFormat="1" applyFont="1" applyFill="1" applyBorder="1" applyAlignment="1">
      <alignment horizontal="center" vertical="center"/>
    </xf>
    <xf numFmtId="10" fontId="2" fillId="22" borderId="62" xfId="1" applyNumberFormat="1" applyFont="1" applyFill="1" applyBorder="1"/>
    <xf numFmtId="164" fontId="18" fillId="0" borderId="27" xfId="5" applyNumberFormat="1" applyFont="1" applyFill="1" applyBorder="1" applyAlignment="1">
      <alignment horizontal="center" vertical="center"/>
    </xf>
    <xf numFmtId="10" fontId="2" fillId="0" borderId="27" xfId="1" applyNumberFormat="1" applyFont="1" applyBorder="1"/>
    <xf numFmtId="0" fontId="2" fillId="0" borderId="41" xfId="9" applyFont="1" applyBorder="1"/>
    <xf numFmtId="0" fontId="2" fillId="0" borderId="16" xfId="9" applyFont="1" applyBorder="1" applyAlignment="1">
      <alignment horizontal="center" vertical="center"/>
    </xf>
    <xf numFmtId="10" fontId="2" fillId="22" borderId="32" xfId="1" applyNumberFormat="1" applyFont="1" applyFill="1" applyBorder="1"/>
    <xf numFmtId="10" fontId="2" fillId="0" borderId="32" xfId="1" applyNumberFormat="1" applyFont="1" applyFill="1" applyBorder="1"/>
    <xf numFmtId="10" fontId="2" fillId="0" borderId="30" xfId="1" applyNumberFormat="1" applyFont="1" applyBorder="1"/>
    <xf numFmtId="10" fontId="2" fillId="0" borderId="30" xfId="1" applyNumberFormat="1" applyFont="1" applyFill="1" applyBorder="1"/>
    <xf numFmtId="10" fontId="2" fillId="22" borderId="63" xfId="1" applyNumberFormat="1" applyFont="1" applyFill="1" applyBorder="1"/>
    <xf numFmtId="10" fontId="2" fillId="22" borderId="30" xfId="1" applyNumberFormat="1" applyFont="1" applyFill="1" applyBorder="1"/>
    <xf numFmtId="10" fontId="2" fillId="0" borderId="63" xfId="1" applyNumberFormat="1" applyFont="1" applyBorder="1"/>
    <xf numFmtId="10" fontId="2" fillId="0" borderId="63" xfId="1" applyNumberFormat="1" applyFont="1" applyFill="1" applyBorder="1"/>
    <xf numFmtId="0" fontId="2" fillId="0" borderId="44" xfId="9" applyFont="1" applyBorder="1"/>
    <xf numFmtId="0" fontId="2" fillId="0" borderId="23" xfId="9" applyFont="1" applyBorder="1" applyAlignment="1">
      <alignment horizontal="center" vertical="center"/>
    </xf>
    <xf numFmtId="164" fontId="2" fillId="0" borderId="35" xfId="5" applyNumberFormat="1" applyFont="1" applyFill="1" applyBorder="1" applyAlignment="1">
      <alignment horizontal="center" vertical="center"/>
    </xf>
    <xf numFmtId="10" fontId="2" fillId="0" borderId="33" xfId="1" applyNumberFormat="1" applyFont="1" applyBorder="1"/>
    <xf numFmtId="10" fontId="2" fillId="0" borderId="39" xfId="1" applyNumberFormat="1" applyFont="1" applyBorder="1"/>
    <xf numFmtId="0" fontId="18" fillId="0" borderId="0" xfId="9" applyFont="1" applyAlignment="1">
      <alignment horizontal="center" vertical="center"/>
    </xf>
    <xf numFmtId="164" fontId="2" fillId="0" borderId="0" xfId="5" applyNumberFormat="1" applyFont="1" applyFill="1" applyBorder="1" applyAlignment="1">
      <alignment horizontal="center" vertical="center"/>
    </xf>
    <xf numFmtId="10" fontId="2" fillId="0" borderId="0" xfId="1" applyNumberFormat="1" applyFont="1" applyBorder="1"/>
    <xf numFmtId="0" fontId="18" fillId="0" borderId="0" xfId="9" applyFont="1" applyAlignment="1">
      <alignment horizontal="right" vertical="center"/>
    </xf>
    <xf numFmtId="164" fontId="18" fillId="0" borderId="12" xfId="5" applyNumberFormat="1" applyFont="1" applyFill="1" applyBorder="1" applyAlignment="1">
      <alignment horizontal="center" vertical="center"/>
    </xf>
    <xf numFmtId="167" fontId="18" fillId="22" borderId="27" xfId="4" applyNumberFormat="1" applyFont="1" applyFill="1" applyBorder="1" applyAlignment="1">
      <alignment horizontal="right"/>
    </xf>
    <xf numFmtId="167" fontId="28" fillId="0" borderId="0" xfId="4" applyNumberFormat="1" applyFont="1" applyBorder="1"/>
    <xf numFmtId="167" fontId="2" fillId="0" borderId="0" xfId="0" applyNumberFormat="1" applyFont="1"/>
    <xf numFmtId="0" fontId="30" fillId="0" borderId="0" xfId="0" applyFont="1"/>
    <xf numFmtId="169" fontId="58" fillId="0" borderId="0" xfId="0" applyNumberFormat="1" applyFont="1"/>
    <xf numFmtId="43" fontId="58" fillId="0" borderId="0" xfId="4" applyFont="1" applyAlignment="1">
      <alignment horizontal="center"/>
    </xf>
    <xf numFmtId="0" fontId="18" fillId="0" borderId="37" xfId="0" applyFont="1" applyBorder="1" applyAlignment="1">
      <alignment horizontal="center" vertical="center" wrapText="1"/>
    </xf>
    <xf numFmtId="0" fontId="17" fillId="23" borderId="27" xfId="0" applyFont="1" applyFill="1" applyBorder="1" applyAlignment="1">
      <alignment horizontal="center" vertical="center" wrapText="1"/>
    </xf>
    <xf numFmtId="0" fontId="59" fillId="23" borderId="2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vertical="top"/>
    </xf>
    <xf numFmtId="0" fontId="2" fillId="0" borderId="29" xfId="0" applyFont="1" applyBorder="1" applyAlignment="1">
      <alignment horizontal="center" vertical="top"/>
    </xf>
    <xf numFmtId="164" fontId="2" fillId="0" borderId="29" xfId="5" applyNumberFormat="1" applyFont="1" applyFill="1" applyBorder="1" applyAlignment="1">
      <alignment horizontal="right" vertical="center"/>
    </xf>
    <xf numFmtId="164" fontId="23" fillId="0" borderId="64" xfId="5" applyNumberFormat="1" applyFont="1" applyFill="1" applyBorder="1" applyAlignment="1">
      <alignment vertical="top"/>
    </xf>
    <xf numFmtId="164" fontId="18" fillId="0" borderId="54" xfId="5" applyNumberFormat="1" applyFont="1" applyBorder="1" applyAlignment="1">
      <alignment horizontal="right" vertical="center"/>
    </xf>
    <xf numFmtId="165" fontId="22" fillId="0" borderId="47" xfId="1" applyNumberFormat="1" applyFont="1" applyBorder="1" applyAlignment="1">
      <alignment horizontal="center"/>
    </xf>
    <xf numFmtId="164" fontId="2" fillId="0" borderId="32" xfId="5" applyNumberFormat="1" applyFont="1" applyFill="1" applyBorder="1" applyAlignment="1">
      <alignment horizontal="right" vertical="center"/>
    </xf>
    <xf numFmtId="164" fontId="23" fillId="0" borderId="65" xfId="5" applyNumberFormat="1" applyFont="1" applyFill="1" applyBorder="1" applyAlignment="1">
      <alignment vertical="top"/>
    </xf>
    <xf numFmtId="164" fontId="18" fillId="0" borderId="15" xfId="5" applyNumberFormat="1" applyFont="1" applyBorder="1" applyAlignment="1">
      <alignment horizontal="right" vertical="center"/>
    </xf>
    <xf numFmtId="165" fontId="22" fillId="0" borderId="18" xfId="1" applyNumberFormat="1" applyFont="1" applyBorder="1" applyAlignment="1">
      <alignment horizontal="center"/>
    </xf>
    <xf numFmtId="164" fontId="2" fillId="0" borderId="35" xfId="5" applyNumberFormat="1" applyFont="1" applyFill="1" applyBorder="1" applyAlignment="1">
      <alignment horizontal="right" vertical="center"/>
    </xf>
    <xf numFmtId="164" fontId="23" fillId="0" borderId="66" xfId="5" applyNumberFormat="1" applyFont="1" applyFill="1" applyBorder="1" applyAlignment="1">
      <alignment vertical="top"/>
    </xf>
    <xf numFmtId="164" fontId="18" fillId="0" borderId="9" xfId="5" applyNumberFormat="1" applyFont="1" applyBorder="1" applyAlignment="1">
      <alignment horizontal="right" vertical="center"/>
    </xf>
    <xf numFmtId="165" fontId="22" fillId="0" borderId="53" xfId="1" applyNumberFormat="1" applyFont="1" applyBorder="1" applyAlignment="1">
      <alignment horizontal="center"/>
    </xf>
    <xf numFmtId="164" fontId="19" fillId="0" borderId="10" xfId="5" applyNumberFormat="1" applyFont="1" applyBorder="1"/>
    <xf numFmtId="0" fontId="2" fillId="0" borderId="0" xfId="0" applyFont="1" applyAlignment="1">
      <alignment horizontal="center"/>
    </xf>
    <xf numFmtId="164" fontId="16" fillId="14" borderId="27" xfId="5" applyNumberFormat="1" applyFont="1" applyFill="1" applyBorder="1" applyAlignment="1">
      <alignment vertical="top" wrapText="1"/>
    </xf>
    <xf numFmtId="164" fontId="19" fillId="0" borderId="27" xfId="5" applyNumberFormat="1" applyFont="1" applyBorder="1" applyAlignment="1">
      <alignment vertical="top"/>
    </xf>
    <xf numFmtId="164" fontId="17" fillId="23" borderId="27" xfId="5" applyNumberFormat="1" applyFont="1" applyFill="1" applyBorder="1" applyAlignment="1">
      <alignment vertical="top" wrapText="1"/>
    </xf>
    <xf numFmtId="165" fontId="59" fillId="23" borderId="27" xfId="1" applyNumberFormat="1" applyFont="1" applyFill="1" applyBorder="1" applyAlignment="1">
      <alignment horizontal="center" vertical="top" wrapText="1"/>
    </xf>
    <xf numFmtId="169" fontId="22" fillId="0" borderId="0" xfId="0" applyNumberFormat="1" applyFont="1" applyAlignment="1">
      <alignment horizontal="center"/>
    </xf>
    <xf numFmtId="0" fontId="48" fillId="0" borderId="0" xfId="2" applyFont="1" applyAlignment="1">
      <alignment horizontal="center"/>
    </xf>
    <xf numFmtId="0" fontId="18" fillId="0" borderId="27" xfId="0" applyFont="1" applyBorder="1" applyAlignment="1">
      <alignment horizontal="right" vertical="top"/>
    </xf>
    <xf numFmtId="0" fontId="27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7" fillId="0" borderId="56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20" borderId="58" xfId="0" applyFont="1" applyFill="1" applyBorder="1" applyAlignment="1">
      <alignment horizontal="center" vertical="center" wrapText="1"/>
    </xf>
    <xf numFmtId="0" fontId="37" fillId="20" borderId="35" xfId="0" applyFont="1" applyFill="1" applyBorder="1" applyAlignment="1">
      <alignment horizontal="center" vertical="center"/>
    </xf>
    <xf numFmtId="0" fontId="37" fillId="17" borderId="58" xfId="0" applyFont="1" applyFill="1" applyBorder="1" applyAlignment="1">
      <alignment horizontal="center" vertical="center" wrapText="1"/>
    </xf>
    <xf numFmtId="0" fontId="37" fillId="17" borderId="3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67" fontId="7" fillId="15" borderId="43" xfId="4" applyNumberFormat="1" applyFont="1" applyFill="1" applyBorder="1" applyAlignment="1">
      <alignment horizontal="center" wrapText="1"/>
    </xf>
    <xf numFmtId="0" fontId="7" fillId="16" borderId="43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top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32" fillId="0" borderId="0" xfId="2" applyFont="1" applyAlignment="1">
      <alignment horizontal="center"/>
    </xf>
    <xf numFmtId="0" fontId="18" fillId="0" borderId="26" xfId="9" applyFont="1" applyBorder="1" applyAlignment="1">
      <alignment horizontal="center" vertical="center"/>
    </xf>
    <xf numFmtId="0" fontId="18" fillId="0" borderId="39" xfId="9" applyFont="1" applyBorder="1" applyAlignment="1">
      <alignment horizontal="center" vertical="center"/>
    </xf>
    <xf numFmtId="0" fontId="7" fillId="0" borderId="26" xfId="9" applyFont="1" applyBorder="1" applyAlignment="1">
      <alignment horizontal="center" vertical="top" wrapText="1"/>
    </xf>
    <xf numFmtId="0" fontId="7" fillId="0" borderId="37" xfId="9" applyFont="1" applyBorder="1" applyAlignment="1">
      <alignment horizontal="center" vertical="top" wrapText="1"/>
    </xf>
    <xf numFmtId="0" fontId="7" fillId="0" borderId="39" xfId="9" applyFont="1" applyBorder="1" applyAlignment="1">
      <alignment horizontal="center" vertical="top" wrapText="1"/>
    </xf>
    <xf numFmtId="0" fontId="37" fillId="0" borderId="26" xfId="9" applyFont="1" applyBorder="1" applyAlignment="1">
      <alignment horizontal="center" vertical="center" wrapText="1"/>
    </xf>
    <xf numFmtId="0" fontId="37" fillId="0" borderId="37" xfId="9" applyFont="1" applyBorder="1" applyAlignment="1">
      <alignment horizontal="center" vertical="center" wrapText="1"/>
    </xf>
    <xf numFmtId="0" fontId="37" fillId="0" borderId="39" xfId="9" applyFont="1" applyBorder="1" applyAlignment="1">
      <alignment horizontal="center" vertical="center" wrapText="1"/>
    </xf>
    <xf numFmtId="0" fontId="60" fillId="0" borderId="40" xfId="0" applyFont="1" applyBorder="1" applyAlignment="1">
      <alignment horizontal="left" wrapText="1"/>
    </xf>
    <xf numFmtId="0" fontId="60" fillId="0" borderId="65" xfId="0" applyFont="1" applyBorder="1" applyAlignment="1">
      <alignment horizontal="left" wrapText="1"/>
    </xf>
    <xf numFmtId="0" fontId="60" fillId="0" borderId="20" xfId="0" applyFont="1" applyBorder="1" applyAlignment="1">
      <alignment horizontal="left" wrapText="1"/>
    </xf>
    <xf numFmtId="0" fontId="58" fillId="0" borderId="40" xfId="0" applyFont="1" applyBorder="1" applyAlignment="1">
      <alignment horizontal="left" wrapText="1"/>
    </xf>
    <xf numFmtId="0" fontId="58" fillId="0" borderId="65" xfId="0" applyFont="1" applyBorder="1" applyAlignment="1">
      <alignment horizontal="left" wrapText="1"/>
    </xf>
    <xf numFmtId="0" fontId="58" fillId="0" borderId="20" xfId="0" applyFont="1" applyBorder="1" applyAlignment="1">
      <alignment horizontal="left" wrapText="1"/>
    </xf>
    <xf numFmtId="43" fontId="0" fillId="0" borderId="1" xfId="4" applyFont="1" applyBorder="1"/>
    <xf numFmtId="43" fontId="0" fillId="0" borderId="1" xfId="0" applyNumberFormat="1" applyBorder="1"/>
    <xf numFmtId="0" fontId="6" fillId="0" borderId="27" xfId="0" applyFont="1" applyBorder="1" applyAlignment="1">
      <alignment horizontal="center"/>
    </xf>
    <xf numFmtId="43" fontId="0" fillId="0" borderId="16" xfId="4" applyFont="1" applyBorder="1"/>
    <xf numFmtId="0" fontId="6" fillId="0" borderId="27" xfId="0" applyFont="1" applyBorder="1" applyAlignment="1">
      <alignment horizontal="center" wrapText="1"/>
    </xf>
    <xf numFmtId="43" fontId="0" fillId="0" borderId="16" xfId="0" applyNumberFormat="1" applyBorder="1"/>
    <xf numFmtId="0" fontId="6" fillId="13" borderId="27" xfId="0" applyFont="1" applyFill="1" applyBorder="1" applyAlignment="1">
      <alignment horizontal="center"/>
    </xf>
    <xf numFmtId="0" fontId="0" fillId="0" borderId="41" xfId="0" applyBorder="1"/>
    <xf numFmtId="43" fontId="0" fillId="13" borderId="18" xfId="4" applyFont="1" applyFill="1" applyBorder="1"/>
    <xf numFmtId="0" fontId="0" fillId="0" borderId="42" xfId="0" applyBorder="1"/>
    <xf numFmtId="43" fontId="0" fillId="13" borderId="21" xfId="4" applyFont="1" applyFill="1" applyBorder="1"/>
    <xf numFmtId="0" fontId="0" fillId="0" borderId="44" xfId="0" applyBorder="1"/>
    <xf numFmtId="43" fontId="0" fillId="0" borderId="23" xfId="4" applyFont="1" applyBorder="1"/>
    <xf numFmtId="43" fontId="0" fillId="0" borderId="23" xfId="0" applyNumberFormat="1" applyBorder="1"/>
    <xf numFmtId="43" fontId="0" fillId="13" borderId="25" xfId="4" applyFont="1" applyFill="1" applyBorder="1"/>
    <xf numFmtId="0" fontId="6" fillId="0" borderId="27" xfId="0" applyFont="1" applyBorder="1"/>
    <xf numFmtId="43" fontId="6" fillId="0" borderId="27" xfId="4" applyFont="1" applyBorder="1"/>
    <xf numFmtId="43" fontId="6" fillId="13" borderId="27" xfId="4" applyFont="1" applyFill="1" applyBorder="1"/>
  </cellXfs>
  <cellStyles count="22">
    <cellStyle name="20% - Accent2" xfId="6" builtinId="34"/>
    <cellStyle name="60% - Accent3" xfId="7" builtinId="40"/>
    <cellStyle name="Comma" xfId="4" builtinId="3"/>
    <cellStyle name="Comma 2" xfId="19" xr:uid="{7B8FE814-093C-4CAD-B133-19A71DD28A8E}"/>
    <cellStyle name="Comma 2 2" xfId="8" xr:uid="{4E1EDE2A-9B03-41FE-BDB5-48E40830B997}"/>
    <cellStyle name="Currency" xfId="5" builtinId="4"/>
    <cellStyle name="Currency 2" xfId="15" xr:uid="{13847C3B-8A01-45DA-9490-778CDF9C4100}"/>
    <cellStyle name="Currency 3 2 2 2" xfId="11" xr:uid="{180CD66E-C72F-4055-9EA5-8244A9B95E29}"/>
    <cellStyle name="Currency 4" xfId="3" xr:uid="{F03F5B00-49CD-46B6-A415-215FD5D65A57}"/>
    <cellStyle name="Hyperlink 2" xfId="21" xr:uid="{3163921D-9763-48AB-BBC4-9C5F7B334721}"/>
    <cellStyle name="Line 2 Report Information Fill In" xfId="13" xr:uid="{42C49493-08A9-4F35-824C-E23FCC1E12A9}"/>
    <cellStyle name="Normal" xfId="0" builtinId="0"/>
    <cellStyle name="Normal 10 2" xfId="16" xr:uid="{5D75A4CA-207D-4CA5-8085-8DF0A6BD4C06}"/>
    <cellStyle name="Normal 2" xfId="14" xr:uid="{E565D95A-B54F-47C7-A66F-D909B988EA82}"/>
    <cellStyle name="Normal 2 2" xfId="17" xr:uid="{D5D2D888-D4E9-4B2A-BC84-D1EE71788725}"/>
    <cellStyle name="Normal 3" xfId="18" xr:uid="{4415DA06-CA76-4DA5-BF39-C5C84DC5201C}"/>
    <cellStyle name="Normal 3 2 2 2" xfId="10" xr:uid="{5F1D216E-114C-41EB-8965-D6ADB175A5CF}"/>
    <cellStyle name="Normal 3 2 3" xfId="9" xr:uid="{4ABC7BEE-6493-4727-B443-2BE09C4384E8}"/>
    <cellStyle name="Normal 4" xfId="2" xr:uid="{BAA4276F-FCD1-4640-A215-31A69BCE46A1}"/>
    <cellStyle name="Normal 4 2" xfId="20" xr:uid="{B4B95188-BB28-42DC-B503-D06FA2C14FF7}"/>
    <cellStyle name="Percent" xfId="1" builtinId="5"/>
    <cellStyle name="Percent 3 2 2 2" xfId="12" xr:uid="{9CC7A04A-1A77-4948-A8BB-136C4AAE64F9}"/>
  </cellStyles>
  <dxfs count="1">
    <dxf>
      <font>
        <color theme="4"/>
      </font>
    </dxf>
  </dxfs>
  <tableStyles count="0" defaultTableStyle="TableStyleMedium2" defaultPivotStyle="PivotStyleLight16"/>
  <colors>
    <mruColors>
      <color rgb="FFFFC1C1"/>
      <color rgb="FFCFB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70</xdr:row>
      <xdr:rowOff>85724</xdr:rowOff>
    </xdr:from>
    <xdr:to>
      <xdr:col>9</xdr:col>
      <xdr:colOff>1267089</xdr:colOff>
      <xdr:row>76</xdr:row>
      <xdr:rowOff>28573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246FAA8-B34A-454B-889F-057569599025}"/>
            </a:ext>
          </a:extLst>
        </xdr:cNvPr>
        <xdr:cNvGrpSpPr/>
      </xdr:nvGrpSpPr>
      <xdr:grpSpPr>
        <a:xfrm>
          <a:off x="12763500" y="14925674"/>
          <a:ext cx="1086114" cy="1142999"/>
          <a:chOff x="10496550" y="4019550"/>
          <a:chExt cx="1086114" cy="1128251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54D5C8A9-BA77-22B8-F83F-38FE0899F2FE}"/>
              </a:ext>
            </a:extLst>
          </xdr:cNvPr>
          <xdr:cNvSpPr txBox="1"/>
        </xdr:nvSpPr>
        <xdr:spPr>
          <a:xfrm>
            <a:off x="10496550" y="4342343"/>
            <a:ext cx="1086114" cy="805458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2857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Unspent</a:t>
            </a:r>
            <a:r>
              <a:rPr lang="en-US" sz="1100" b="1" baseline="0">
                <a:solidFill>
                  <a:schemeClr val="accent1">
                    <a:lumMod val="75000"/>
                  </a:schemeClr>
                </a:solidFill>
              </a:rPr>
              <a:t> Budgeted Funds</a:t>
            </a:r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(CFY 2022-23)</a:t>
            </a:r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5C979CED-CFD4-5A1D-2A18-0B8E970A06C9}"/>
              </a:ext>
            </a:extLst>
          </xdr:cNvPr>
          <xdr:cNvCxnSpPr/>
        </xdr:nvCxnSpPr>
        <xdr:spPr>
          <a:xfrm flipV="1">
            <a:off x="11056427" y="4019550"/>
            <a:ext cx="0" cy="317499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347663</xdr:colOff>
      <xdr:row>8</xdr:row>
      <xdr:rowOff>95250</xdr:rowOff>
    </xdr:from>
    <xdr:to>
      <xdr:col>1</xdr:col>
      <xdr:colOff>1433777</xdr:colOff>
      <xdr:row>12</xdr:row>
      <xdr:rowOff>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D90C5DC-27CD-DE9A-2A76-7DD3649CA437}"/>
            </a:ext>
          </a:extLst>
        </xdr:cNvPr>
        <xdr:cNvGrpSpPr/>
      </xdr:nvGrpSpPr>
      <xdr:grpSpPr>
        <a:xfrm>
          <a:off x="6475413" y="2492375"/>
          <a:ext cx="1086114" cy="984250"/>
          <a:chOff x="10496550" y="4019550"/>
          <a:chExt cx="1086114" cy="971550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964B8E31-24AF-464F-B5D7-25E48895A55C}"/>
              </a:ext>
            </a:extLst>
          </xdr:cNvPr>
          <xdr:cNvSpPr txBox="1"/>
        </xdr:nvSpPr>
        <xdr:spPr>
          <a:xfrm>
            <a:off x="10496550" y="4342343"/>
            <a:ext cx="1086114" cy="648757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2857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Cumulative Excess </a:t>
            </a:r>
          </a:p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(CFY 2022-23)</a:t>
            </a:r>
          </a:p>
        </xdr:txBody>
      </xdr:sp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3FA9AECC-20C2-4368-86C6-EA890B6D75E7}"/>
              </a:ext>
            </a:extLst>
          </xdr:cNvPr>
          <xdr:cNvCxnSpPr/>
        </xdr:nvCxnSpPr>
        <xdr:spPr>
          <a:xfrm flipV="1">
            <a:off x="11056427" y="4019550"/>
            <a:ext cx="0" cy="317499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920/Jury%20Mgmt%20Costs%20Analysis/Estimate/Quarter%20Submissions/Q1_Jul-Aug-Sep%20(Q1_SFY1920_Q4_CFY1819)/Jury_Detail_Jul-Aug-Sep_SFY1920_Q1_CFY1819_Q4_v2_asof_06-03-2019_JW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718/Jury%20Mgmt%20Costs%20Analysis/Qtr%203%20(Apr-May-Jun)/Approved%20JAC%20Disbursement%20Figures/FINAL%20-%20Jury%20Management%20Estimate%20Endorsed%20Amounts%20042418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mailProcessing/Incoming/Jury%20Estimate/Alachua%20County%20FY1718%20Jury%20Mgmt%20Estimate%20Qtr%20ver3%20110917%20~ecs_alachuaclerk-org~11201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kolchakian.FLCCOC\Desktop\CFY%202024-25%20Budget%20Development%20Spreadsheet%20(FULL%20BACKUP).xlsx" TargetMode="External"/><Relationship Id="rId1" Type="http://schemas.openxmlformats.org/officeDocument/2006/relationships/externalLinkPath" Target="CFY%202024-25%20Budget%20Development%20Spreadsheet%20(FULL%20BACKU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C_template_donotdelete"/>
      <sheetName val="SFY1920_JuryEstimateDetail"/>
      <sheetName val="Estimate v Avg Actu Perf Ana"/>
      <sheetName val="Request v Avg Actu Perf Var Ana"/>
      <sheetName val="Sheet1"/>
      <sheetName val="Adj Endorsement Amts"/>
      <sheetName val="CCOC Pro-Rata"/>
      <sheetName val="Estimat v Avg Actu Perf Var "/>
      <sheetName val="Request v Avg Actu Perf Var-All"/>
    </sheetNames>
    <sheetDataSet>
      <sheetData sheetId="0" refreshError="1"/>
      <sheetData sheetId="1" refreshError="1">
        <row r="4">
          <cell r="A4" t="str">
            <v>ü</v>
          </cell>
          <cell r="B4" t="str">
            <v>ü</v>
          </cell>
          <cell r="F4" t="str">
            <v>Alachua</v>
          </cell>
          <cell r="G4">
            <v>1920</v>
          </cell>
          <cell r="H4" t="str">
            <v>Q1</v>
          </cell>
          <cell r="I4" t="str">
            <v>Jul-Aug-Sep</v>
          </cell>
          <cell r="J4">
            <v>49098.611661266674</v>
          </cell>
          <cell r="K4">
            <v>10448.458338733324</v>
          </cell>
          <cell r="L4">
            <v>58800</v>
          </cell>
          <cell r="M4">
            <v>59547.07</v>
          </cell>
          <cell r="N4">
            <v>-747.07</v>
          </cell>
          <cell r="O4" t="str">
            <v>Insufficient</v>
          </cell>
          <cell r="P4">
            <v>58800</v>
          </cell>
          <cell r="Q4">
            <v>35000</v>
          </cell>
          <cell r="R4">
            <v>2400</v>
          </cell>
          <cell r="S4">
            <v>400</v>
          </cell>
          <cell r="T4">
            <v>1000</v>
          </cell>
          <cell r="U4">
            <v>0</v>
          </cell>
          <cell r="V4">
            <v>3800</v>
          </cell>
          <cell r="W4">
            <v>12000</v>
          </cell>
          <cell r="X4">
            <v>2000</v>
          </cell>
          <cell r="Y4">
            <v>0</v>
          </cell>
          <cell r="Z4">
            <v>14000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6000</v>
          </cell>
          <cell r="AG4">
            <v>0</v>
          </cell>
          <cell r="AH4">
            <v>0</v>
          </cell>
          <cell r="AI4">
            <v>6000</v>
          </cell>
          <cell r="AJ4">
            <v>0</v>
          </cell>
          <cell r="AK4">
            <v>20000</v>
          </cell>
        </row>
        <row r="5">
          <cell r="A5" t="str">
            <v>ü</v>
          </cell>
          <cell r="B5" t="str">
            <v>ü</v>
          </cell>
          <cell r="F5" t="str">
            <v>Baker</v>
          </cell>
          <cell r="G5">
            <v>1920</v>
          </cell>
          <cell r="H5" t="str">
            <v>Q1</v>
          </cell>
          <cell r="I5" t="str">
            <v>Jul-Aug-Sep</v>
          </cell>
          <cell r="J5">
            <v>17014.021379166759</v>
          </cell>
          <cell r="K5">
            <v>3620.6786208332423</v>
          </cell>
          <cell r="L5">
            <v>8253</v>
          </cell>
          <cell r="M5">
            <v>20634.7</v>
          </cell>
          <cell r="N5">
            <v>-12381.7</v>
          </cell>
          <cell r="O5" t="str">
            <v>Insufficient</v>
          </cell>
          <cell r="P5">
            <v>8253</v>
          </cell>
          <cell r="Q5">
            <v>6753</v>
          </cell>
          <cell r="R5">
            <v>325</v>
          </cell>
          <cell r="S5">
            <v>100</v>
          </cell>
          <cell r="T5">
            <v>0</v>
          </cell>
          <cell r="U5">
            <v>0</v>
          </cell>
          <cell r="V5">
            <v>425</v>
          </cell>
          <cell r="W5">
            <v>825</v>
          </cell>
          <cell r="X5">
            <v>0</v>
          </cell>
          <cell r="Y5">
            <v>0</v>
          </cell>
          <cell r="Z5">
            <v>825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250</v>
          </cell>
          <cell r="AG5">
            <v>0</v>
          </cell>
          <cell r="AH5">
            <v>0</v>
          </cell>
          <cell r="AI5">
            <v>250</v>
          </cell>
          <cell r="AJ5">
            <v>0</v>
          </cell>
          <cell r="AK5">
            <v>1075</v>
          </cell>
        </row>
        <row r="6">
          <cell r="A6" t="str">
            <v>ü</v>
          </cell>
          <cell r="B6" t="str">
            <v>ü</v>
          </cell>
          <cell r="F6" t="str">
            <v>Bay</v>
          </cell>
          <cell r="G6">
            <v>1920</v>
          </cell>
          <cell r="H6" t="str">
            <v>Q1</v>
          </cell>
          <cell r="I6" t="str">
            <v>Jul-Aug-Sep</v>
          </cell>
          <cell r="J6">
            <v>49688.030125450663</v>
          </cell>
          <cell r="K6">
            <v>10573.889874549335</v>
          </cell>
          <cell r="L6">
            <v>39086</v>
          </cell>
          <cell r="M6">
            <v>60261.919999999998</v>
          </cell>
          <cell r="N6">
            <v>-21175.919999999998</v>
          </cell>
          <cell r="O6" t="str">
            <v>Insufficient</v>
          </cell>
          <cell r="P6">
            <v>39086</v>
          </cell>
          <cell r="Q6">
            <v>22079</v>
          </cell>
          <cell r="R6">
            <v>2397</v>
          </cell>
          <cell r="S6">
            <v>0</v>
          </cell>
          <cell r="T6">
            <v>0</v>
          </cell>
          <cell r="U6">
            <v>0</v>
          </cell>
          <cell r="V6">
            <v>2397</v>
          </cell>
          <cell r="W6">
            <v>14295</v>
          </cell>
          <cell r="X6">
            <v>0</v>
          </cell>
          <cell r="Y6">
            <v>0</v>
          </cell>
          <cell r="Z6">
            <v>14295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315</v>
          </cell>
          <cell r="AH6">
            <v>0</v>
          </cell>
          <cell r="AI6">
            <v>315</v>
          </cell>
          <cell r="AJ6">
            <v>0</v>
          </cell>
          <cell r="AK6">
            <v>14610</v>
          </cell>
        </row>
        <row r="7">
          <cell r="A7" t="str">
            <v>ü</v>
          </cell>
          <cell r="B7" t="str">
            <v>ü</v>
          </cell>
          <cell r="F7" t="str">
            <v>Bradford</v>
          </cell>
          <cell r="G7">
            <v>1920</v>
          </cell>
          <cell r="H7" t="str">
            <v>Q1</v>
          </cell>
          <cell r="I7" t="str">
            <v>Jul-Aug-Sep</v>
          </cell>
          <cell r="J7">
            <v>12489.38848805724</v>
          </cell>
          <cell r="K7">
            <v>2657.8115119427607</v>
          </cell>
          <cell r="L7">
            <v>8515</v>
          </cell>
          <cell r="M7">
            <v>15147.2</v>
          </cell>
          <cell r="N7">
            <v>-6632.2</v>
          </cell>
          <cell r="O7" t="str">
            <v>Insufficient</v>
          </cell>
          <cell r="P7">
            <v>8515</v>
          </cell>
          <cell r="Q7">
            <v>2430</v>
          </cell>
          <cell r="R7">
            <v>550</v>
          </cell>
          <cell r="S7">
            <v>0</v>
          </cell>
          <cell r="T7">
            <v>0</v>
          </cell>
          <cell r="U7">
            <v>0</v>
          </cell>
          <cell r="V7">
            <v>550</v>
          </cell>
          <cell r="W7">
            <v>4500</v>
          </cell>
          <cell r="X7">
            <v>0</v>
          </cell>
          <cell r="Y7">
            <v>0</v>
          </cell>
          <cell r="Z7">
            <v>4500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1000</v>
          </cell>
          <cell r="AG7">
            <v>0</v>
          </cell>
          <cell r="AH7">
            <v>35</v>
          </cell>
          <cell r="AI7">
            <v>1035</v>
          </cell>
          <cell r="AJ7">
            <v>0</v>
          </cell>
          <cell r="AK7">
            <v>5535</v>
          </cell>
        </row>
        <row r="8">
          <cell r="A8" t="str">
            <v>ü</v>
          </cell>
          <cell r="B8" t="str">
            <v>ü</v>
          </cell>
          <cell r="F8" t="str">
            <v>Brevard</v>
          </cell>
          <cell r="G8">
            <v>1920</v>
          </cell>
          <cell r="H8" t="str">
            <v>Q1</v>
          </cell>
          <cell r="I8" t="str">
            <v>Jul-Aug-Sep</v>
          </cell>
          <cell r="J8">
            <v>91384.795870819362</v>
          </cell>
          <cell r="K8">
            <v>19447.194129180636</v>
          </cell>
          <cell r="L8">
            <v>111405</v>
          </cell>
          <cell r="M8">
            <v>110831.99</v>
          </cell>
          <cell r="N8">
            <v>573.01</v>
          </cell>
          <cell r="O8" t="str">
            <v>Unexpended</v>
          </cell>
          <cell r="P8">
            <v>111405</v>
          </cell>
          <cell r="Q8">
            <v>43500</v>
          </cell>
          <cell r="R8">
            <v>6655</v>
          </cell>
          <cell r="S8">
            <v>0</v>
          </cell>
          <cell r="T8">
            <v>0</v>
          </cell>
          <cell r="U8">
            <v>0</v>
          </cell>
          <cell r="V8">
            <v>6655</v>
          </cell>
          <cell r="W8">
            <v>46500</v>
          </cell>
          <cell r="X8">
            <v>13000</v>
          </cell>
          <cell r="Y8">
            <v>0</v>
          </cell>
          <cell r="Z8">
            <v>59500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1000</v>
          </cell>
          <cell r="AG8">
            <v>0</v>
          </cell>
          <cell r="AH8">
            <v>750</v>
          </cell>
          <cell r="AI8">
            <v>1750</v>
          </cell>
          <cell r="AJ8">
            <v>0</v>
          </cell>
          <cell r="AK8">
            <v>61250</v>
          </cell>
        </row>
        <row r="9">
          <cell r="A9" t="str">
            <v>ü</v>
          </cell>
          <cell r="B9" t="str">
            <v>ü</v>
          </cell>
          <cell r="F9" t="str">
            <v>Broward</v>
          </cell>
          <cell r="G9">
            <v>1920</v>
          </cell>
          <cell r="H9" t="str">
            <v>Q1</v>
          </cell>
          <cell r="I9" t="str">
            <v>Jul-Aug-Sep</v>
          </cell>
          <cell r="J9">
            <v>264340.93504029664</v>
          </cell>
          <cell r="K9">
            <v>56253.224959703402</v>
          </cell>
          <cell r="L9">
            <v>217210</v>
          </cell>
          <cell r="M9">
            <v>320594.16000000003</v>
          </cell>
          <cell r="N9">
            <v>-103384.16</v>
          </cell>
          <cell r="O9" t="str">
            <v>Insufficient</v>
          </cell>
          <cell r="P9">
            <v>217210</v>
          </cell>
          <cell r="Q9">
            <v>67710</v>
          </cell>
          <cell r="R9">
            <v>22950</v>
          </cell>
          <cell r="S9">
            <v>14640</v>
          </cell>
          <cell r="T9">
            <v>1620</v>
          </cell>
          <cell r="U9">
            <v>420</v>
          </cell>
          <cell r="V9">
            <v>39630</v>
          </cell>
          <cell r="W9">
            <v>51200</v>
          </cell>
          <cell r="X9">
            <v>48660</v>
          </cell>
          <cell r="Y9">
            <v>0</v>
          </cell>
          <cell r="Z9">
            <v>99860</v>
          </cell>
          <cell r="AA9">
            <v>220</v>
          </cell>
          <cell r="AB9">
            <v>2640</v>
          </cell>
          <cell r="AC9">
            <v>0</v>
          </cell>
          <cell r="AD9">
            <v>2860</v>
          </cell>
          <cell r="AE9">
            <v>0</v>
          </cell>
          <cell r="AF9">
            <v>0</v>
          </cell>
          <cell r="AG9">
            <v>1320</v>
          </cell>
          <cell r="AH9">
            <v>0</v>
          </cell>
          <cell r="AI9">
            <v>1320</v>
          </cell>
          <cell r="AJ9">
            <v>5830</v>
          </cell>
          <cell r="AK9">
            <v>109870</v>
          </cell>
        </row>
        <row r="10">
          <cell r="A10" t="str">
            <v>ü</v>
          </cell>
          <cell r="B10" t="str">
            <v>ü</v>
          </cell>
          <cell r="F10" t="str">
            <v>Calhoun</v>
          </cell>
          <cell r="G10">
            <v>1920</v>
          </cell>
          <cell r="H10" t="str">
            <v>Q1</v>
          </cell>
          <cell r="I10" t="str">
            <v>Jul-Aug-Sep</v>
          </cell>
          <cell r="J10">
            <v>1961.5345171086835</v>
          </cell>
          <cell r="K10">
            <v>417.42548289131656</v>
          </cell>
          <cell r="L10">
            <v>3135</v>
          </cell>
          <cell r="M10">
            <v>2378.96</v>
          </cell>
          <cell r="N10">
            <v>756.04</v>
          </cell>
          <cell r="O10" t="str">
            <v>Unexpended</v>
          </cell>
          <cell r="P10">
            <v>3135</v>
          </cell>
          <cell r="Q10">
            <v>1590</v>
          </cell>
          <cell r="R10">
            <v>210</v>
          </cell>
          <cell r="S10">
            <v>500</v>
          </cell>
          <cell r="T10">
            <v>0</v>
          </cell>
          <cell r="U10">
            <v>0</v>
          </cell>
          <cell r="V10">
            <v>710</v>
          </cell>
          <cell r="W10">
            <v>400</v>
          </cell>
          <cell r="X10">
            <v>0</v>
          </cell>
          <cell r="Y10">
            <v>0</v>
          </cell>
          <cell r="Z10">
            <v>400</v>
          </cell>
          <cell r="AA10">
            <v>435</v>
          </cell>
          <cell r="AB10">
            <v>0</v>
          </cell>
          <cell r="AC10">
            <v>0</v>
          </cell>
          <cell r="AD10">
            <v>435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835</v>
          </cell>
        </row>
        <row r="11">
          <cell r="A11" t="str">
            <v>ü</v>
          </cell>
          <cell r="B11" t="str">
            <v>ü</v>
          </cell>
          <cell r="F11" t="str">
            <v>Charlotte</v>
          </cell>
          <cell r="G11">
            <v>1920</v>
          </cell>
          <cell r="H11" t="str">
            <v>Q1</v>
          </cell>
          <cell r="I11" t="str">
            <v>Jul-Aug-Sep</v>
          </cell>
          <cell r="J11">
            <v>34344.828900796252</v>
          </cell>
          <cell r="K11">
            <v>7308.7710992037455</v>
          </cell>
          <cell r="L11">
            <v>38510</v>
          </cell>
          <cell r="M11">
            <v>41653.599999999999</v>
          </cell>
          <cell r="N11">
            <v>-3143.6</v>
          </cell>
          <cell r="O11" t="str">
            <v>Insufficient</v>
          </cell>
          <cell r="P11">
            <v>38510</v>
          </cell>
          <cell r="Q11">
            <v>24770</v>
          </cell>
          <cell r="R11">
            <v>3600</v>
          </cell>
          <cell r="S11">
            <v>0</v>
          </cell>
          <cell r="T11">
            <v>0</v>
          </cell>
          <cell r="U11">
            <v>0</v>
          </cell>
          <cell r="V11">
            <v>3600</v>
          </cell>
          <cell r="W11">
            <v>9900</v>
          </cell>
          <cell r="X11">
            <v>0</v>
          </cell>
          <cell r="Y11">
            <v>0</v>
          </cell>
          <cell r="Z11">
            <v>9900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240</v>
          </cell>
          <cell r="AG11">
            <v>0</v>
          </cell>
          <cell r="AH11">
            <v>0</v>
          </cell>
          <cell r="AI11">
            <v>240</v>
          </cell>
          <cell r="AJ11">
            <v>0</v>
          </cell>
          <cell r="AK11">
            <v>10140</v>
          </cell>
        </row>
        <row r="12">
          <cell r="A12" t="str">
            <v>ü</v>
          </cell>
          <cell r="B12" t="str">
            <v>ü</v>
          </cell>
          <cell r="F12" t="str">
            <v>Citrus</v>
          </cell>
          <cell r="G12">
            <v>1920</v>
          </cell>
          <cell r="H12" t="str">
            <v>Q1</v>
          </cell>
          <cell r="I12" t="str">
            <v>Jul-Aug-Sep</v>
          </cell>
          <cell r="J12">
            <v>18708.794259963703</v>
          </cell>
          <cell r="K12">
            <v>3981.3357400362966</v>
          </cell>
          <cell r="L12">
            <v>21375</v>
          </cell>
          <cell r="M12">
            <v>22690.13</v>
          </cell>
          <cell r="N12">
            <v>-1315.13</v>
          </cell>
          <cell r="O12" t="str">
            <v>Insufficient</v>
          </cell>
          <cell r="P12">
            <v>21375</v>
          </cell>
          <cell r="Q12">
            <v>8400</v>
          </cell>
          <cell r="R12">
            <v>1400</v>
          </cell>
          <cell r="S12">
            <v>250</v>
          </cell>
          <cell r="T12">
            <v>250</v>
          </cell>
          <cell r="U12">
            <v>0</v>
          </cell>
          <cell r="V12">
            <v>1900</v>
          </cell>
          <cell r="W12">
            <v>7200</v>
          </cell>
          <cell r="X12">
            <v>2100</v>
          </cell>
          <cell r="Y12">
            <v>0</v>
          </cell>
          <cell r="Z12">
            <v>9300</v>
          </cell>
          <cell r="AA12">
            <v>600</v>
          </cell>
          <cell r="AB12">
            <v>0</v>
          </cell>
          <cell r="AC12">
            <v>0</v>
          </cell>
          <cell r="AD12">
            <v>600</v>
          </cell>
          <cell r="AE12">
            <v>0</v>
          </cell>
          <cell r="AF12">
            <v>925</v>
          </cell>
          <cell r="AG12">
            <v>250</v>
          </cell>
          <cell r="AH12">
            <v>0</v>
          </cell>
          <cell r="AI12">
            <v>1175</v>
          </cell>
          <cell r="AJ12">
            <v>0</v>
          </cell>
          <cell r="AK12">
            <v>11075</v>
          </cell>
        </row>
        <row r="13">
          <cell r="A13" t="str">
            <v>ü</v>
          </cell>
          <cell r="B13" t="str">
            <v>ü</v>
          </cell>
          <cell r="F13" t="str">
            <v>Clay</v>
          </cell>
          <cell r="G13">
            <v>1920</v>
          </cell>
          <cell r="H13" t="str">
            <v>Q1</v>
          </cell>
          <cell r="I13" t="str">
            <v>Jul-Aug-Sep</v>
          </cell>
          <cell r="J13">
            <v>23987.051654485356</v>
          </cell>
          <cell r="K13">
            <v>5104.5783455146411</v>
          </cell>
          <cell r="L13">
            <v>16613</v>
          </cell>
          <cell r="M13">
            <v>29091.629999999997</v>
          </cell>
          <cell r="N13">
            <v>-12478.63</v>
          </cell>
          <cell r="O13" t="str">
            <v>Insufficient</v>
          </cell>
          <cell r="P13">
            <v>16613</v>
          </cell>
          <cell r="Q13">
            <v>10200</v>
          </cell>
          <cell r="R13">
            <v>1600</v>
          </cell>
          <cell r="S13">
            <v>0</v>
          </cell>
          <cell r="T13">
            <v>100</v>
          </cell>
          <cell r="U13">
            <v>2213</v>
          </cell>
          <cell r="V13">
            <v>3913</v>
          </cell>
          <cell r="W13">
            <v>2000</v>
          </cell>
          <cell r="X13">
            <v>0</v>
          </cell>
          <cell r="Y13">
            <v>0</v>
          </cell>
          <cell r="Z13">
            <v>2000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500</v>
          </cell>
          <cell r="AI13">
            <v>500</v>
          </cell>
          <cell r="AJ13">
            <v>0</v>
          </cell>
          <cell r="AK13">
            <v>2500</v>
          </cell>
        </row>
        <row r="14">
          <cell r="A14" t="str">
            <v>ü</v>
          </cell>
          <cell r="B14" t="str">
            <v>ü</v>
          </cell>
          <cell r="F14" t="str">
            <v>Collier</v>
          </cell>
          <cell r="G14">
            <v>1920</v>
          </cell>
          <cell r="H14" t="str">
            <v>Q1</v>
          </cell>
          <cell r="I14" t="str">
            <v>Jul-Aug-Sep</v>
          </cell>
          <cell r="J14">
            <v>55686.246281071195</v>
          </cell>
          <cell r="K14">
            <v>11850.3437189288</v>
          </cell>
          <cell r="L14">
            <v>58001</v>
          </cell>
          <cell r="M14">
            <v>67536.59</v>
          </cell>
          <cell r="N14">
            <v>-9535.59</v>
          </cell>
          <cell r="O14" t="str">
            <v>Insufficient</v>
          </cell>
          <cell r="P14">
            <v>58001</v>
          </cell>
          <cell r="Q14">
            <v>33137</v>
          </cell>
          <cell r="R14">
            <v>4675</v>
          </cell>
          <cell r="S14">
            <v>1389</v>
          </cell>
          <cell r="T14">
            <v>300</v>
          </cell>
          <cell r="U14">
            <v>0</v>
          </cell>
          <cell r="V14">
            <v>6364</v>
          </cell>
          <cell r="W14">
            <v>17500</v>
          </cell>
          <cell r="X14">
            <v>0</v>
          </cell>
          <cell r="Y14">
            <v>0</v>
          </cell>
          <cell r="Z14">
            <v>17500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1000</v>
          </cell>
          <cell r="AG14">
            <v>0</v>
          </cell>
          <cell r="AH14">
            <v>0</v>
          </cell>
          <cell r="AI14">
            <v>1000</v>
          </cell>
          <cell r="AJ14">
            <v>0</v>
          </cell>
          <cell r="AK14">
            <v>18500</v>
          </cell>
        </row>
        <row r="15">
          <cell r="A15" t="str">
            <v>ü</v>
          </cell>
          <cell r="B15" t="str">
            <v>ü</v>
          </cell>
          <cell r="F15" t="str">
            <v>Columbia</v>
          </cell>
          <cell r="G15">
            <v>1920</v>
          </cell>
          <cell r="H15" t="str">
            <v>Q1</v>
          </cell>
          <cell r="I15" t="str">
            <v>Jul-Aug-Sep</v>
          </cell>
          <cell r="J15">
            <v>15030.463546427725</v>
          </cell>
          <cell r="K15">
            <v>3198.5664535722735</v>
          </cell>
          <cell r="L15">
            <v>15120</v>
          </cell>
          <cell r="M15">
            <v>18229.03</v>
          </cell>
          <cell r="N15">
            <v>-3109.03</v>
          </cell>
          <cell r="O15" t="str">
            <v>Insufficient</v>
          </cell>
          <cell r="P15">
            <v>15120</v>
          </cell>
          <cell r="Q15">
            <v>11000</v>
          </cell>
          <cell r="R15">
            <v>900</v>
          </cell>
          <cell r="S15">
            <v>20</v>
          </cell>
          <cell r="T15">
            <v>100</v>
          </cell>
          <cell r="U15">
            <v>0</v>
          </cell>
          <cell r="V15">
            <v>1020</v>
          </cell>
          <cell r="W15">
            <v>3000</v>
          </cell>
          <cell r="X15">
            <v>0</v>
          </cell>
          <cell r="Y15">
            <v>0</v>
          </cell>
          <cell r="Z15">
            <v>3000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100</v>
          </cell>
          <cell r="AG15">
            <v>0</v>
          </cell>
          <cell r="AH15">
            <v>0</v>
          </cell>
          <cell r="AI15">
            <v>100</v>
          </cell>
          <cell r="AJ15">
            <v>0</v>
          </cell>
          <cell r="AK15">
            <v>3100</v>
          </cell>
        </row>
        <row r="16">
          <cell r="A16" t="str">
            <v>ü</v>
          </cell>
          <cell r="B16" t="str">
            <v>ü</v>
          </cell>
          <cell r="F16" t="str">
            <v>DeSoto</v>
          </cell>
          <cell r="G16">
            <v>1920</v>
          </cell>
          <cell r="H16" t="str">
            <v>Q1</v>
          </cell>
          <cell r="I16" t="str">
            <v>Jul-Aug-Sep</v>
          </cell>
          <cell r="J16">
            <v>8369.808154170054</v>
          </cell>
          <cell r="K16">
            <v>1781.1418458299468</v>
          </cell>
          <cell r="L16">
            <v>12445</v>
          </cell>
          <cell r="M16">
            <v>10150.950000000001</v>
          </cell>
          <cell r="N16">
            <v>2294.0500000000002</v>
          </cell>
          <cell r="O16" t="str">
            <v>Unexpended</v>
          </cell>
          <cell r="P16">
            <v>12445</v>
          </cell>
          <cell r="Q16">
            <v>4500</v>
          </cell>
          <cell r="R16">
            <v>1125</v>
          </cell>
          <cell r="S16">
            <v>1015</v>
          </cell>
          <cell r="T16">
            <v>250</v>
          </cell>
          <cell r="U16">
            <v>0</v>
          </cell>
          <cell r="V16">
            <v>2390</v>
          </cell>
          <cell r="W16">
            <v>3300</v>
          </cell>
          <cell r="X16">
            <v>1350</v>
          </cell>
          <cell r="Y16">
            <v>300</v>
          </cell>
          <cell r="Z16">
            <v>4950</v>
          </cell>
          <cell r="AA16">
            <v>330</v>
          </cell>
          <cell r="AB16">
            <v>0</v>
          </cell>
          <cell r="AC16">
            <v>0</v>
          </cell>
          <cell r="AD16">
            <v>330</v>
          </cell>
          <cell r="AE16">
            <v>50</v>
          </cell>
          <cell r="AF16">
            <v>75</v>
          </cell>
          <cell r="AG16">
            <v>150</v>
          </cell>
          <cell r="AH16">
            <v>0</v>
          </cell>
          <cell r="AI16">
            <v>275</v>
          </cell>
          <cell r="AJ16">
            <v>0</v>
          </cell>
          <cell r="AK16">
            <v>5555</v>
          </cell>
        </row>
        <row r="17">
          <cell r="A17" t="str">
            <v>ü</v>
          </cell>
          <cell r="B17" t="str">
            <v>ü</v>
          </cell>
          <cell r="F17" t="str">
            <v>Dixie</v>
          </cell>
          <cell r="G17">
            <v>1920</v>
          </cell>
          <cell r="H17" t="str">
            <v>Q1</v>
          </cell>
          <cell r="I17" t="str">
            <v>Jul-Aug-Sep</v>
          </cell>
          <cell r="J17">
            <v>3786.8559401651955</v>
          </cell>
          <cell r="K17">
            <v>805.86405983480483</v>
          </cell>
          <cell r="L17">
            <v>2610</v>
          </cell>
          <cell r="M17">
            <v>4592.72</v>
          </cell>
          <cell r="N17">
            <v>-1982.72</v>
          </cell>
          <cell r="O17" t="str">
            <v>Insufficient</v>
          </cell>
          <cell r="P17">
            <v>2610</v>
          </cell>
          <cell r="Q17">
            <v>1500</v>
          </cell>
          <cell r="R17">
            <v>150</v>
          </cell>
          <cell r="S17">
            <v>0</v>
          </cell>
          <cell r="T17">
            <v>10</v>
          </cell>
          <cell r="U17">
            <v>0</v>
          </cell>
          <cell r="V17">
            <v>160</v>
          </cell>
          <cell r="W17">
            <v>950</v>
          </cell>
          <cell r="X17">
            <v>0</v>
          </cell>
          <cell r="Y17">
            <v>0</v>
          </cell>
          <cell r="Z17">
            <v>950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950</v>
          </cell>
        </row>
        <row r="18">
          <cell r="A18" t="str">
            <v>ü</v>
          </cell>
          <cell r="B18" t="str">
            <v>ü</v>
          </cell>
          <cell r="F18" t="str">
            <v>Duval</v>
          </cell>
          <cell r="G18">
            <v>1920</v>
          </cell>
          <cell r="H18" t="str">
            <v>Q1</v>
          </cell>
          <cell r="I18" t="str">
            <v>Jul-Aug-Sep</v>
          </cell>
          <cell r="J18">
            <v>82537.615241271313</v>
          </cell>
          <cell r="K18">
            <v>17564.464758728689</v>
          </cell>
          <cell r="L18">
            <v>110044</v>
          </cell>
          <cell r="M18">
            <v>100102.08</v>
          </cell>
          <cell r="N18">
            <v>9941.92</v>
          </cell>
          <cell r="O18" t="str">
            <v>Unexpended</v>
          </cell>
          <cell r="P18">
            <v>110044</v>
          </cell>
          <cell r="Q18">
            <v>66140</v>
          </cell>
          <cell r="R18">
            <v>8459</v>
          </cell>
          <cell r="S18">
            <v>0</v>
          </cell>
          <cell r="T18">
            <v>1285</v>
          </cell>
          <cell r="U18">
            <v>0</v>
          </cell>
          <cell r="V18">
            <v>9744</v>
          </cell>
          <cell r="W18">
            <v>33660</v>
          </cell>
          <cell r="X18">
            <v>0</v>
          </cell>
          <cell r="Y18">
            <v>0</v>
          </cell>
          <cell r="Z18">
            <v>33660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200</v>
          </cell>
          <cell r="AG18">
            <v>300</v>
          </cell>
          <cell r="AH18">
            <v>0</v>
          </cell>
          <cell r="AI18">
            <v>500</v>
          </cell>
          <cell r="AJ18">
            <v>0</v>
          </cell>
          <cell r="AK18">
            <v>34160</v>
          </cell>
        </row>
        <row r="19">
          <cell r="A19" t="str">
            <v>ü</v>
          </cell>
          <cell r="B19" t="str">
            <v>ü</v>
          </cell>
          <cell r="F19" t="str">
            <v>Escambia</v>
          </cell>
          <cell r="G19">
            <v>1920</v>
          </cell>
          <cell r="H19" t="str">
            <v>Q1</v>
          </cell>
          <cell r="I19" t="str">
            <v>Jul-Aug-Sep</v>
          </cell>
          <cell r="J19">
            <v>62577.416774443678</v>
          </cell>
          <cell r="K19">
            <v>13316.823225556325</v>
          </cell>
          <cell r="L19">
            <v>83352</v>
          </cell>
          <cell r="M19">
            <v>75894.240000000005</v>
          </cell>
          <cell r="N19">
            <v>7457.76</v>
          </cell>
          <cell r="O19" t="str">
            <v>Unexpended</v>
          </cell>
          <cell r="P19">
            <v>83352</v>
          </cell>
          <cell r="Q19">
            <v>29516</v>
          </cell>
          <cell r="R19">
            <v>6134</v>
          </cell>
          <cell r="S19">
            <v>1351</v>
          </cell>
          <cell r="T19">
            <v>2210</v>
          </cell>
          <cell r="U19">
            <v>6015</v>
          </cell>
          <cell r="V19">
            <v>15710</v>
          </cell>
          <cell r="W19">
            <v>26505</v>
          </cell>
          <cell r="X19">
            <v>5910</v>
          </cell>
          <cell r="Y19">
            <v>0</v>
          </cell>
          <cell r="Z19">
            <v>32415</v>
          </cell>
          <cell r="AA19">
            <v>0</v>
          </cell>
          <cell r="AB19">
            <v>1485</v>
          </cell>
          <cell r="AC19">
            <v>0</v>
          </cell>
          <cell r="AD19">
            <v>1485</v>
          </cell>
          <cell r="AE19">
            <v>0</v>
          </cell>
          <cell r="AF19">
            <v>3921</v>
          </cell>
          <cell r="AG19">
            <v>305</v>
          </cell>
          <cell r="AH19">
            <v>0</v>
          </cell>
          <cell r="AI19">
            <v>4226</v>
          </cell>
          <cell r="AJ19">
            <v>0</v>
          </cell>
          <cell r="AK19">
            <v>38126</v>
          </cell>
        </row>
        <row r="20">
          <cell r="A20" t="str">
            <v>ü</v>
          </cell>
          <cell r="B20" t="str">
            <v>ü</v>
          </cell>
          <cell r="F20" t="str">
            <v>Flagler</v>
          </cell>
          <cell r="G20">
            <v>1920</v>
          </cell>
          <cell r="H20" t="str">
            <v>Q1</v>
          </cell>
          <cell r="I20" t="str">
            <v>Jul-Aug-Sep</v>
          </cell>
          <cell r="J20">
            <v>14863.223220358708</v>
          </cell>
          <cell r="K20">
            <v>3162.976779641293</v>
          </cell>
          <cell r="L20">
            <v>15600</v>
          </cell>
          <cell r="M20">
            <v>18026.2</v>
          </cell>
          <cell r="N20">
            <v>-2426.1999999999998</v>
          </cell>
          <cell r="O20" t="str">
            <v>Insufficient</v>
          </cell>
          <cell r="P20">
            <v>15600</v>
          </cell>
          <cell r="Q20">
            <v>10000</v>
          </cell>
          <cell r="R20">
            <v>500</v>
          </cell>
          <cell r="S20">
            <v>0</v>
          </cell>
          <cell r="T20">
            <v>0</v>
          </cell>
          <cell r="U20">
            <v>0</v>
          </cell>
          <cell r="V20">
            <v>500</v>
          </cell>
          <cell r="W20">
            <v>2300</v>
          </cell>
          <cell r="X20">
            <v>600</v>
          </cell>
          <cell r="Y20">
            <v>1400</v>
          </cell>
          <cell r="Z20">
            <v>4300</v>
          </cell>
          <cell r="AA20">
            <v>300</v>
          </cell>
          <cell r="AB20">
            <v>0</v>
          </cell>
          <cell r="AC20">
            <v>0</v>
          </cell>
          <cell r="AD20">
            <v>300</v>
          </cell>
          <cell r="AE20">
            <v>0</v>
          </cell>
          <cell r="AF20">
            <v>150</v>
          </cell>
          <cell r="AG20">
            <v>350</v>
          </cell>
          <cell r="AH20">
            <v>0</v>
          </cell>
          <cell r="AI20">
            <v>500</v>
          </cell>
          <cell r="AJ20">
            <v>0</v>
          </cell>
          <cell r="AK20">
            <v>5100</v>
          </cell>
        </row>
        <row r="21">
          <cell r="A21" t="str">
            <v>ü</v>
          </cell>
          <cell r="B21" t="str">
            <v>ü</v>
          </cell>
          <cell r="F21" t="str">
            <v>Franklin</v>
          </cell>
          <cell r="G21">
            <v>1920</v>
          </cell>
          <cell r="H21" t="str">
            <v>Q1</v>
          </cell>
          <cell r="I21" t="str">
            <v>Jul-Aug-Sep</v>
          </cell>
          <cell r="J21">
            <v>5447.7899264106809</v>
          </cell>
          <cell r="K21">
            <v>1159.320073589319</v>
          </cell>
          <cell r="L21">
            <v>4906</v>
          </cell>
          <cell r="M21">
            <v>6607.11</v>
          </cell>
          <cell r="N21">
            <v>-1701.11</v>
          </cell>
          <cell r="O21" t="str">
            <v>Insufficient</v>
          </cell>
          <cell r="P21">
            <v>4906</v>
          </cell>
          <cell r="Q21">
            <v>2506</v>
          </cell>
          <cell r="R21">
            <v>600</v>
          </cell>
          <cell r="S21">
            <v>0</v>
          </cell>
          <cell r="T21">
            <v>0</v>
          </cell>
          <cell r="U21">
            <v>0</v>
          </cell>
          <cell r="V21">
            <v>600</v>
          </cell>
          <cell r="W21">
            <v>1800</v>
          </cell>
          <cell r="X21">
            <v>0</v>
          </cell>
          <cell r="Y21">
            <v>0</v>
          </cell>
          <cell r="Z21">
            <v>1800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1800</v>
          </cell>
        </row>
        <row r="22">
          <cell r="A22" t="str">
            <v>ü</v>
          </cell>
          <cell r="B22" t="str">
            <v>ü</v>
          </cell>
          <cell r="F22" t="str">
            <v>Gadsden</v>
          </cell>
          <cell r="G22">
            <v>1920</v>
          </cell>
          <cell r="H22" t="str">
            <v>Q1</v>
          </cell>
          <cell r="I22" t="str">
            <v>Jul-Aug-Sep</v>
          </cell>
          <cell r="J22">
            <v>19948.053074119474</v>
          </cell>
          <cell r="K22">
            <v>4245.0569258805272</v>
          </cell>
          <cell r="L22">
            <v>14286</v>
          </cell>
          <cell r="M22">
            <v>24193.11</v>
          </cell>
          <cell r="N22">
            <v>-9907.11</v>
          </cell>
          <cell r="O22" t="str">
            <v>Insufficient</v>
          </cell>
          <cell r="P22">
            <v>14286</v>
          </cell>
          <cell r="Q22">
            <v>9962</v>
          </cell>
          <cell r="R22">
            <v>979</v>
          </cell>
          <cell r="S22">
            <v>0</v>
          </cell>
          <cell r="T22">
            <v>532</v>
          </cell>
          <cell r="U22">
            <v>68</v>
          </cell>
          <cell r="V22">
            <v>1579</v>
          </cell>
          <cell r="W22">
            <v>2565</v>
          </cell>
          <cell r="X22">
            <v>180</v>
          </cell>
          <cell r="Y22">
            <v>0</v>
          </cell>
          <cell r="Z22">
            <v>2745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2745</v>
          </cell>
        </row>
        <row r="23">
          <cell r="A23" t="str">
            <v>ü</v>
          </cell>
          <cell r="B23" t="str">
            <v>ü</v>
          </cell>
          <cell r="F23" t="str">
            <v>Gilchrist</v>
          </cell>
          <cell r="G23">
            <v>1920</v>
          </cell>
          <cell r="H23" t="str">
            <v>Q1</v>
          </cell>
          <cell r="I23" t="str">
            <v>Jul-Aug-Sep</v>
          </cell>
          <cell r="J23">
            <v>0</v>
          </cell>
          <cell r="K23">
            <v>0</v>
          </cell>
          <cell r="L23">
            <v>2490</v>
          </cell>
          <cell r="M23">
            <v>0</v>
          </cell>
          <cell r="N23">
            <v>4105.29</v>
          </cell>
          <cell r="O23" t="str">
            <v>Unexpended</v>
          </cell>
          <cell r="P23">
            <v>2490</v>
          </cell>
          <cell r="Q23">
            <v>600</v>
          </cell>
          <cell r="R23">
            <v>175</v>
          </cell>
          <cell r="S23">
            <v>0</v>
          </cell>
          <cell r="T23">
            <v>50</v>
          </cell>
          <cell r="U23">
            <v>10</v>
          </cell>
          <cell r="V23">
            <v>235</v>
          </cell>
          <cell r="W23">
            <v>1020</v>
          </cell>
          <cell r="X23">
            <v>0</v>
          </cell>
          <cell r="Y23">
            <v>0</v>
          </cell>
          <cell r="Z23">
            <v>1020</v>
          </cell>
          <cell r="AA23">
            <v>315</v>
          </cell>
          <cell r="AB23">
            <v>0</v>
          </cell>
          <cell r="AC23">
            <v>0</v>
          </cell>
          <cell r="AD23">
            <v>315</v>
          </cell>
          <cell r="AE23">
            <v>0</v>
          </cell>
          <cell r="AF23">
            <v>270</v>
          </cell>
          <cell r="AG23">
            <v>0</v>
          </cell>
          <cell r="AH23">
            <v>50</v>
          </cell>
          <cell r="AI23">
            <v>320</v>
          </cell>
          <cell r="AJ23">
            <v>0</v>
          </cell>
          <cell r="AK23">
            <v>1655</v>
          </cell>
        </row>
        <row r="24">
          <cell r="A24" t="str">
            <v>ü</v>
          </cell>
          <cell r="B24" t="str">
            <v>ü</v>
          </cell>
          <cell r="F24" t="str">
            <v>Glades</v>
          </cell>
          <cell r="G24">
            <v>1920</v>
          </cell>
          <cell r="H24" t="str">
            <v>Q1</v>
          </cell>
          <cell r="I24" t="str">
            <v>Jul-Aug-Sep</v>
          </cell>
          <cell r="J24">
            <v>5674.6440944892165</v>
          </cell>
          <cell r="K24">
            <v>1207.5959055107837</v>
          </cell>
          <cell r="L24">
            <v>5200</v>
          </cell>
          <cell r="M24">
            <v>6882.24</v>
          </cell>
          <cell r="N24">
            <v>-1682.24</v>
          </cell>
          <cell r="O24" t="str">
            <v>Insufficient</v>
          </cell>
          <cell r="P24">
            <v>5200</v>
          </cell>
          <cell r="Q24">
            <v>3950</v>
          </cell>
          <cell r="R24">
            <v>650</v>
          </cell>
          <cell r="S24">
            <v>0</v>
          </cell>
          <cell r="T24">
            <v>0</v>
          </cell>
          <cell r="U24">
            <v>0</v>
          </cell>
          <cell r="V24">
            <v>650</v>
          </cell>
          <cell r="W24">
            <v>600</v>
          </cell>
          <cell r="X24">
            <v>0</v>
          </cell>
          <cell r="Y24">
            <v>0</v>
          </cell>
          <cell r="Z24">
            <v>600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600</v>
          </cell>
        </row>
        <row r="25">
          <cell r="A25" t="str">
            <v>ü</v>
          </cell>
          <cell r="B25" t="str">
            <v>ü</v>
          </cell>
          <cell r="F25" t="str">
            <v>Gulf</v>
          </cell>
          <cell r="G25">
            <v>1920</v>
          </cell>
          <cell r="H25" t="str">
            <v>Q1</v>
          </cell>
          <cell r="I25" t="str">
            <v>Jul-Aug-Sep</v>
          </cell>
          <cell r="J25">
            <v>4694.4540100622144</v>
          </cell>
          <cell r="K25">
            <v>999.0059899377859</v>
          </cell>
          <cell r="L25">
            <v>4860</v>
          </cell>
          <cell r="M25">
            <v>5693.46</v>
          </cell>
          <cell r="N25">
            <v>-833.46</v>
          </cell>
          <cell r="O25" t="str">
            <v>Insufficient</v>
          </cell>
          <cell r="P25">
            <v>4860</v>
          </cell>
          <cell r="Q25">
            <v>3210</v>
          </cell>
          <cell r="R25">
            <v>200</v>
          </cell>
          <cell r="S25">
            <v>0</v>
          </cell>
          <cell r="T25">
            <v>100</v>
          </cell>
          <cell r="U25">
            <v>1350</v>
          </cell>
          <cell r="V25">
            <v>1650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6">
          <cell r="A26" t="str">
            <v>ü</v>
          </cell>
          <cell r="B26" t="str">
            <v>ü</v>
          </cell>
          <cell r="F26" t="str">
            <v>Hamilton</v>
          </cell>
          <cell r="G26">
            <v>1920</v>
          </cell>
          <cell r="H26" t="str">
            <v>Q1</v>
          </cell>
          <cell r="I26" t="str">
            <v>Jul-Aug-Sep</v>
          </cell>
          <cell r="J26">
            <v>2009.1431372695331</v>
          </cell>
          <cell r="K26">
            <v>427.55686273046666</v>
          </cell>
          <cell r="L26">
            <v>2877</v>
          </cell>
          <cell r="M26">
            <v>2436.6999999999998</v>
          </cell>
          <cell r="N26">
            <v>440.3</v>
          </cell>
          <cell r="O26" t="str">
            <v>Unexpended</v>
          </cell>
          <cell r="P26">
            <v>2877</v>
          </cell>
          <cell r="Q26">
            <v>922</v>
          </cell>
          <cell r="R26">
            <v>375</v>
          </cell>
          <cell r="S26">
            <v>750</v>
          </cell>
          <cell r="T26">
            <v>30</v>
          </cell>
          <cell r="U26">
            <v>0</v>
          </cell>
          <cell r="V26">
            <v>1155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800</v>
          </cell>
          <cell r="AB26">
            <v>0</v>
          </cell>
          <cell r="AC26">
            <v>0</v>
          </cell>
          <cell r="AD26">
            <v>800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800</v>
          </cell>
        </row>
        <row r="27">
          <cell r="A27" t="str">
            <v>ü</v>
          </cell>
          <cell r="B27" t="str">
            <v>ü</v>
          </cell>
          <cell r="F27" t="str">
            <v>Hardee</v>
          </cell>
          <cell r="G27">
            <v>1920</v>
          </cell>
          <cell r="H27" t="str">
            <v>Q1</v>
          </cell>
          <cell r="I27" t="str">
            <v>Jul-Aug-Sep</v>
          </cell>
          <cell r="J27">
            <v>7965.0524293560666</v>
          </cell>
          <cell r="K27">
            <v>1695.0075706439331</v>
          </cell>
          <cell r="L27">
            <v>9780</v>
          </cell>
          <cell r="M27">
            <v>9660.06</v>
          </cell>
          <cell r="N27">
            <v>119.94</v>
          </cell>
          <cell r="O27" t="str">
            <v>Unexpended</v>
          </cell>
          <cell r="P27">
            <v>9780</v>
          </cell>
          <cell r="Q27">
            <v>7425</v>
          </cell>
          <cell r="R27">
            <v>565</v>
          </cell>
          <cell r="S27">
            <v>125</v>
          </cell>
          <cell r="T27">
            <v>360</v>
          </cell>
          <cell r="U27">
            <v>0</v>
          </cell>
          <cell r="V27">
            <v>1050</v>
          </cell>
          <cell r="W27">
            <v>585</v>
          </cell>
          <cell r="X27">
            <v>0</v>
          </cell>
          <cell r="Y27">
            <v>0</v>
          </cell>
          <cell r="Z27">
            <v>585</v>
          </cell>
          <cell r="AA27">
            <v>720</v>
          </cell>
          <cell r="AB27">
            <v>0</v>
          </cell>
          <cell r="AC27">
            <v>0</v>
          </cell>
          <cell r="AD27">
            <v>720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1305</v>
          </cell>
        </row>
        <row r="28">
          <cell r="A28" t="str">
            <v>ü</v>
          </cell>
          <cell r="B28" t="str">
            <v>ü</v>
          </cell>
          <cell r="F28" t="str">
            <v>Hendry</v>
          </cell>
          <cell r="G28">
            <v>1920</v>
          </cell>
          <cell r="H28" t="str">
            <v>Q1</v>
          </cell>
          <cell r="I28" t="str">
            <v>Jul-Aug-Sep</v>
          </cell>
          <cell r="J28">
            <v>13350.614739494851</v>
          </cell>
          <cell r="K28">
            <v>2841.0852605051496</v>
          </cell>
          <cell r="L28">
            <v>14460</v>
          </cell>
          <cell r="M28">
            <v>16191.7</v>
          </cell>
          <cell r="N28">
            <v>-1731.7</v>
          </cell>
          <cell r="O28" t="str">
            <v>Insufficient</v>
          </cell>
          <cell r="P28">
            <v>14460</v>
          </cell>
          <cell r="Q28">
            <v>8500</v>
          </cell>
          <cell r="R28">
            <v>2225</v>
          </cell>
          <cell r="S28">
            <v>85</v>
          </cell>
          <cell r="T28">
            <v>100</v>
          </cell>
          <cell r="U28">
            <v>0</v>
          </cell>
          <cell r="V28">
            <v>2410</v>
          </cell>
          <cell r="W28">
            <v>3500</v>
          </cell>
          <cell r="X28">
            <v>0</v>
          </cell>
          <cell r="Y28">
            <v>0</v>
          </cell>
          <cell r="Z28">
            <v>3500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50</v>
          </cell>
          <cell r="AF28">
            <v>0</v>
          </cell>
          <cell r="AG28">
            <v>0</v>
          </cell>
          <cell r="AH28">
            <v>0</v>
          </cell>
          <cell r="AI28">
            <v>50</v>
          </cell>
          <cell r="AJ28">
            <v>0</v>
          </cell>
          <cell r="AK28">
            <v>3550</v>
          </cell>
        </row>
        <row r="29">
          <cell r="A29" t="str">
            <v>ü</v>
          </cell>
          <cell r="B29" t="str">
            <v>ü</v>
          </cell>
          <cell r="F29" t="str">
            <v>Hernando</v>
          </cell>
          <cell r="G29">
            <v>1920</v>
          </cell>
          <cell r="H29" t="str">
            <v>Q1</v>
          </cell>
          <cell r="I29" t="str">
            <v>Jul-Aug-Sep</v>
          </cell>
          <cell r="J29">
            <v>37835.726439150996</v>
          </cell>
          <cell r="K29">
            <v>8051.6535608490012</v>
          </cell>
          <cell r="L29">
            <v>47630</v>
          </cell>
          <cell r="M29">
            <v>45887.38</v>
          </cell>
          <cell r="N29">
            <v>1742.62</v>
          </cell>
          <cell r="O29" t="str">
            <v>Unexpended</v>
          </cell>
          <cell r="P29">
            <v>47630</v>
          </cell>
          <cell r="Q29">
            <v>28100</v>
          </cell>
          <cell r="R29">
            <v>8000</v>
          </cell>
          <cell r="S29">
            <v>730</v>
          </cell>
          <cell r="T29">
            <v>440</v>
          </cell>
          <cell r="U29">
            <v>0</v>
          </cell>
          <cell r="V29">
            <v>9170</v>
          </cell>
          <cell r="W29">
            <v>9420</v>
          </cell>
          <cell r="X29">
            <v>0</v>
          </cell>
          <cell r="Y29">
            <v>0</v>
          </cell>
          <cell r="Z29">
            <v>9420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940</v>
          </cell>
          <cell r="AG29">
            <v>0</v>
          </cell>
          <cell r="AH29">
            <v>0</v>
          </cell>
          <cell r="AI29">
            <v>940</v>
          </cell>
          <cell r="AJ29">
            <v>0</v>
          </cell>
          <cell r="AK29">
            <v>10360</v>
          </cell>
        </row>
        <row r="30">
          <cell r="A30" t="str">
            <v>ü</v>
          </cell>
          <cell r="B30" t="str">
            <v>ü</v>
          </cell>
          <cell r="F30" t="str">
            <v>Highlands</v>
          </cell>
          <cell r="G30">
            <v>1920</v>
          </cell>
          <cell r="H30" t="str">
            <v>Q1</v>
          </cell>
          <cell r="I30" t="str">
            <v>Jul-Aug-Sep</v>
          </cell>
          <cell r="J30">
            <v>17479.660729070409</v>
          </cell>
          <cell r="K30">
            <v>3719.769270929592</v>
          </cell>
          <cell r="L30">
            <v>22400</v>
          </cell>
          <cell r="M30">
            <v>21199.43</v>
          </cell>
          <cell r="N30">
            <v>1200.57</v>
          </cell>
          <cell r="O30" t="str">
            <v>Unexpended</v>
          </cell>
          <cell r="P30">
            <v>22400</v>
          </cell>
          <cell r="Q30">
            <v>15550</v>
          </cell>
          <cell r="R30">
            <v>1500</v>
          </cell>
          <cell r="S30">
            <v>400</v>
          </cell>
          <cell r="T30">
            <v>75</v>
          </cell>
          <cell r="U30">
            <v>225</v>
          </cell>
          <cell r="V30">
            <v>2200</v>
          </cell>
          <cell r="W30">
            <v>3000</v>
          </cell>
          <cell r="X30">
            <v>500</v>
          </cell>
          <cell r="Y30">
            <v>0</v>
          </cell>
          <cell r="Z30">
            <v>3500</v>
          </cell>
          <cell r="AA30">
            <v>650</v>
          </cell>
          <cell r="AB30">
            <v>0</v>
          </cell>
          <cell r="AC30">
            <v>0</v>
          </cell>
          <cell r="AD30">
            <v>650</v>
          </cell>
          <cell r="AE30">
            <v>0</v>
          </cell>
          <cell r="AF30">
            <v>0</v>
          </cell>
          <cell r="AG30">
            <v>0</v>
          </cell>
          <cell r="AH30">
            <v>500</v>
          </cell>
          <cell r="AI30">
            <v>500</v>
          </cell>
          <cell r="AK30">
            <v>4650</v>
          </cell>
        </row>
        <row r="31">
          <cell r="A31" t="str">
            <v>ü</v>
          </cell>
          <cell r="B31" t="str">
            <v>ü</v>
          </cell>
          <cell r="F31" t="str">
            <v>Hillsborough</v>
          </cell>
          <cell r="G31">
            <v>1920</v>
          </cell>
          <cell r="H31" t="str">
            <v>Q1</v>
          </cell>
          <cell r="I31" t="str">
            <v>Jul-Aug-Sep</v>
          </cell>
          <cell r="J31">
            <v>106694.76011108368</v>
          </cell>
          <cell r="K31">
            <v>22705.239888916316</v>
          </cell>
          <cell r="L31">
            <v>129400</v>
          </cell>
          <cell r="M31">
            <v>129400</v>
          </cell>
          <cell r="N31">
            <v>0</v>
          </cell>
          <cell r="O31" t="str">
            <v>Insufficient</v>
          </cell>
          <cell r="P31">
            <v>129400</v>
          </cell>
          <cell r="Q31">
            <v>50000</v>
          </cell>
          <cell r="R31">
            <v>11000</v>
          </cell>
          <cell r="S31">
            <v>5100</v>
          </cell>
          <cell r="T31">
            <v>1900</v>
          </cell>
          <cell r="U31">
            <v>0</v>
          </cell>
          <cell r="V31">
            <v>18000</v>
          </cell>
          <cell r="W31">
            <v>48300</v>
          </cell>
          <cell r="X31">
            <v>8400</v>
          </cell>
          <cell r="Y31">
            <v>0</v>
          </cell>
          <cell r="Z31">
            <v>56700</v>
          </cell>
          <cell r="AA31">
            <v>1500</v>
          </cell>
          <cell r="AB31">
            <v>1800</v>
          </cell>
          <cell r="AC31">
            <v>0</v>
          </cell>
          <cell r="AD31">
            <v>3300</v>
          </cell>
          <cell r="AE31">
            <v>0</v>
          </cell>
          <cell r="AF31">
            <v>1400</v>
          </cell>
          <cell r="AG31">
            <v>0</v>
          </cell>
          <cell r="AH31">
            <v>0</v>
          </cell>
          <cell r="AI31">
            <v>1400</v>
          </cell>
          <cell r="AJ31">
            <v>0</v>
          </cell>
          <cell r="AK31">
            <v>61400</v>
          </cell>
        </row>
        <row r="32">
          <cell r="A32" t="str">
            <v>ü</v>
          </cell>
          <cell r="B32" t="str">
            <v>ü</v>
          </cell>
          <cell r="F32" t="str">
            <v>Holmes</v>
          </cell>
          <cell r="G32">
            <v>1920</v>
          </cell>
          <cell r="H32" t="str">
            <v>Q1</v>
          </cell>
          <cell r="I32" t="str">
            <v>Jul-Aug-Sep</v>
          </cell>
          <cell r="J32">
            <v>4775.4150494386231</v>
          </cell>
          <cell r="K32">
            <v>1016.234950561377</v>
          </cell>
          <cell r="L32">
            <v>5536</v>
          </cell>
          <cell r="M32">
            <v>5791.65</v>
          </cell>
          <cell r="N32">
            <v>-255.65</v>
          </cell>
          <cell r="O32" t="str">
            <v>Insufficient</v>
          </cell>
          <cell r="P32">
            <v>5536</v>
          </cell>
          <cell r="Q32">
            <v>3510</v>
          </cell>
          <cell r="R32">
            <v>188</v>
          </cell>
          <cell r="S32">
            <v>0</v>
          </cell>
          <cell r="T32">
            <v>0</v>
          </cell>
          <cell r="U32">
            <v>0</v>
          </cell>
          <cell r="V32">
            <v>188</v>
          </cell>
          <cell r="W32">
            <v>938</v>
          </cell>
          <cell r="X32">
            <v>0</v>
          </cell>
          <cell r="Y32">
            <v>0</v>
          </cell>
          <cell r="Z32">
            <v>938</v>
          </cell>
          <cell r="AA32">
            <v>900</v>
          </cell>
          <cell r="AB32">
            <v>0</v>
          </cell>
          <cell r="AC32">
            <v>0</v>
          </cell>
          <cell r="AD32">
            <v>900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1838</v>
          </cell>
        </row>
        <row r="33">
          <cell r="A33" t="str">
            <v>ü</v>
          </cell>
          <cell r="B33" t="str">
            <v>ü</v>
          </cell>
          <cell r="F33" t="str">
            <v>Indian River</v>
          </cell>
          <cell r="G33">
            <v>1920</v>
          </cell>
          <cell r="H33" t="str">
            <v>Q1</v>
          </cell>
          <cell r="I33" t="str">
            <v>Jul-Aug-Sep</v>
          </cell>
          <cell r="J33">
            <v>57013.449941544182</v>
          </cell>
          <cell r="K33">
            <v>12132.780058455812</v>
          </cell>
          <cell r="L33">
            <v>44841</v>
          </cell>
          <cell r="M33">
            <v>69146.23</v>
          </cell>
          <cell r="N33">
            <v>-24305.23</v>
          </cell>
          <cell r="O33" t="str">
            <v>Insufficient</v>
          </cell>
          <cell r="P33">
            <v>44841</v>
          </cell>
          <cell r="Q33">
            <v>25059</v>
          </cell>
          <cell r="R33">
            <v>3000</v>
          </cell>
          <cell r="S33">
            <v>2000</v>
          </cell>
          <cell r="T33">
            <v>291</v>
          </cell>
          <cell r="U33">
            <v>591</v>
          </cell>
          <cell r="V33">
            <v>5882</v>
          </cell>
          <cell r="W33">
            <v>10800</v>
          </cell>
          <cell r="X33">
            <v>3000</v>
          </cell>
          <cell r="Y33">
            <v>0</v>
          </cell>
          <cell r="Z33">
            <v>13800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100</v>
          </cell>
          <cell r="AG33">
            <v>0</v>
          </cell>
          <cell r="AH33">
            <v>0</v>
          </cell>
          <cell r="AI33">
            <v>100</v>
          </cell>
          <cell r="AJ33">
            <v>0</v>
          </cell>
          <cell r="AK33">
            <v>13900</v>
          </cell>
        </row>
        <row r="34">
          <cell r="A34" t="str">
            <v>ü</v>
          </cell>
          <cell r="B34" t="str">
            <v>ü</v>
          </cell>
          <cell r="F34" t="str">
            <v>Jackson</v>
          </cell>
          <cell r="G34">
            <v>1920</v>
          </cell>
          <cell r="H34" t="str">
            <v>Q1</v>
          </cell>
          <cell r="I34" t="str">
            <v>Jul-Aug-Sep</v>
          </cell>
          <cell r="J34">
            <v>11353.056311495493</v>
          </cell>
          <cell r="K34">
            <v>2415.9936885045067</v>
          </cell>
          <cell r="L34">
            <v>12160</v>
          </cell>
          <cell r="M34">
            <v>13769.05</v>
          </cell>
          <cell r="N34">
            <v>-1609.05</v>
          </cell>
          <cell r="O34" t="str">
            <v>Insufficient</v>
          </cell>
          <cell r="P34">
            <v>12160</v>
          </cell>
          <cell r="Q34">
            <v>5430</v>
          </cell>
          <cell r="R34">
            <v>700</v>
          </cell>
          <cell r="S34">
            <v>0</v>
          </cell>
          <cell r="T34">
            <v>1200</v>
          </cell>
          <cell r="U34">
            <v>0</v>
          </cell>
          <cell r="V34">
            <v>1900</v>
          </cell>
          <cell r="W34">
            <v>4050</v>
          </cell>
          <cell r="X34">
            <v>450</v>
          </cell>
          <cell r="Y34">
            <v>0</v>
          </cell>
          <cell r="Z34">
            <v>4500</v>
          </cell>
          <cell r="AA34">
            <v>330</v>
          </cell>
          <cell r="AB34">
            <v>0</v>
          </cell>
          <cell r="AC34">
            <v>0</v>
          </cell>
          <cell r="AD34">
            <v>330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4830</v>
          </cell>
        </row>
        <row r="35">
          <cell r="A35" t="str">
            <v>ü</v>
          </cell>
          <cell r="B35" t="str">
            <v>ü</v>
          </cell>
          <cell r="F35" t="str">
            <v>Jefferson</v>
          </cell>
          <cell r="G35">
            <v>1920</v>
          </cell>
          <cell r="H35" t="str">
            <v>Q1</v>
          </cell>
          <cell r="I35" t="str">
            <v>Jul-Aug-Sep</v>
          </cell>
          <cell r="J35">
            <v>9622.877920658595</v>
          </cell>
          <cell r="K35">
            <v>2047.8020793414055</v>
          </cell>
          <cell r="L35">
            <v>12587</v>
          </cell>
          <cell r="M35">
            <v>11670.68</v>
          </cell>
          <cell r="N35">
            <v>916.32</v>
          </cell>
          <cell r="O35" t="str">
            <v>Unexpended</v>
          </cell>
          <cell r="P35">
            <v>12587</v>
          </cell>
          <cell r="Q35">
            <v>6837</v>
          </cell>
          <cell r="R35">
            <v>250</v>
          </cell>
          <cell r="S35">
            <v>0</v>
          </cell>
          <cell r="T35">
            <v>0</v>
          </cell>
          <cell r="U35">
            <v>0</v>
          </cell>
          <cell r="V35">
            <v>250</v>
          </cell>
          <cell r="W35">
            <v>4500</v>
          </cell>
          <cell r="X35">
            <v>0</v>
          </cell>
          <cell r="Y35">
            <v>0</v>
          </cell>
          <cell r="Z35">
            <v>4500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1000</v>
          </cell>
          <cell r="AH35">
            <v>0</v>
          </cell>
          <cell r="AI35">
            <v>1000</v>
          </cell>
          <cell r="AJ35">
            <v>0</v>
          </cell>
          <cell r="AK35">
            <v>5500</v>
          </cell>
        </row>
        <row r="36">
          <cell r="A36" t="str">
            <v>ü</v>
          </cell>
          <cell r="B36" t="str">
            <v>ü</v>
          </cell>
          <cell r="F36" t="str">
            <v>Lafayette</v>
          </cell>
          <cell r="G36">
            <v>1920</v>
          </cell>
          <cell r="H36" t="str">
            <v>Q1</v>
          </cell>
          <cell r="I36" t="str">
            <v>Jul-Aug-Sep</v>
          </cell>
          <cell r="J36">
            <v>0</v>
          </cell>
          <cell r="K36">
            <v>0</v>
          </cell>
          <cell r="L36">
            <v>1503</v>
          </cell>
          <cell r="M36">
            <v>0</v>
          </cell>
          <cell r="N36">
            <v>2134.91</v>
          </cell>
          <cell r="O36" t="str">
            <v>Unexpended</v>
          </cell>
          <cell r="P36">
            <v>1503</v>
          </cell>
          <cell r="Q36">
            <v>1200</v>
          </cell>
          <cell r="R36">
            <v>75</v>
          </cell>
          <cell r="S36">
            <v>39</v>
          </cell>
          <cell r="T36">
            <v>9</v>
          </cell>
          <cell r="U36">
            <v>0</v>
          </cell>
          <cell r="V36">
            <v>123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180</v>
          </cell>
          <cell r="AB36">
            <v>0</v>
          </cell>
          <cell r="AC36">
            <v>0</v>
          </cell>
          <cell r="AD36">
            <v>180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180</v>
          </cell>
        </row>
        <row r="37">
          <cell r="A37" t="str">
            <v>ü</v>
          </cell>
          <cell r="B37" t="str">
            <v>ü</v>
          </cell>
          <cell r="F37" t="str">
            <v>Lake</v>
          </cell>
          <cell r="G37">
            <v>1920</v>
          </cell>
          <cell r="H37" t="str">
            <v>Q1</v>
          </cell>
          <cell r="I37" t="str">
            <v>Jul-Aug-Sep</v>
          </cell>
          <cell r="J37">
            <v>45233.29302116199</v>
          </cell>
          <cell r="K37">
            <v>9625.8969788380145</v>
          </cell>
          <cell r="L37">
            <v>62024</v>
          </cell>
          <cell r="M37">
            <v>54859.19</v>
          </cell>
          <cell r="N37">
            <v>7164.81</v>
          </cell>
          <cell r="O37" t="str">
            <v>Unexpended</v>
          </cell>
          <cell r="P37">
            <v>62024</v>
          </cell>
          <cell r="Q37">
            <v>40929</v>
          </cell>
          <cell r="R37">
            <v>5750</v>
          </cell>
          <cell r="S37">
            <v>0</v>
          </cell>
          <cell r="T37">
            <v>1863</v>
          </cell>
          <cell r="U37">
            <v>357</v>
          </cell>
          <cell r="V37">
            <v>7970</v>
          </cell>
          <cell r="W37">
            <v>0</v>
          </cell>
          <cell r="X37">
            <v>0</v>
          </cell>
          <cell r="Y37">
            <v>12000</v>
          </cell>
          <cell r="Z37">
            <v>12000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1125</v>
          </cell>
          <cell r="AG37">
            <v>0</v>
          </cell>
          <cell r="AH37">
            <v>0</v>
          </cell>
          <cell r="AI37">
            <v>1125</v>
          </cell>
          <cell r="AJ37">
            <v>0</v>
          </cell>
          <cell r="AK37">
            <v>13125</v>
          </cell>
        </row>
        <row r="38">
          <cell r="A38" t="str">
            <v>ü</v>
          </cell>
          <cell r="B38" t="str">
            <v>ü</v>
          </cell>
          <cell r="F38" t="str">
            <v>Lee</v>
          </cell>
          <cell r="G38">
            <v>1920</v>
          </cell>
          <cell r="H38" t="str">
            <v>Q1</v>
          </cell>
          <cell r="I38" t="str">
            <v>Jul-Aug-Sep</v>
          </cell>
          <cell r="J38">
            <v>54504.474009998463</v>
          </cell>
          <cell r="K38">
            <v>11598.855990001535</v>
          </cell>
          <cell r="L38">
            <v>70697</v>
          </cell>
          <cell r="M38">
            <v>66103.33</v>
          </cell>
          <cell r="N38">
            <v>4593.67</v>
          </cell>
          <cell r="O38" t="str">
            <v>Unexpended</v>
          </cell>
          <cell r="P38">
            <v>70697</v>
          </cell>
          <cell r="Q38">
            <v>36182</v>
          </cell>
          <cell r="R38">
            <v>15250</v>
          </cell>
          <cell r="S38">
            <v>9200</v>
          </cell>
          <cell r="T38">
            <v>250</v>
          </cell>
          <cell r="U38">
            <v>0</v>
          </cell>
          <cell r="V38">
            <v>24700</v>
          </cell>
          <cell r="W38">
            <v>4365</v>
          </cell>
          <cell r="X38">
            <v>3360</v>
          </cell>
          <cell r="Y38">
            <v>0</v>
          </cell>
          <cell r="Z38">
            <v>7725</v>
          </cell>
          <cell r="AA38">
            <v>1110</v>
          </cell>
          <cell r="AB38">
            <v>0</v>
          </cell>
          <cell r="AC38">
            <v>0</v>
          </cell>
          <cell r="AD38">
            <v>1110</v>
          </cell>
          <cell r="AE38">
            <v>0</v>
          </cell>
          <cell r="AF38">
            <v>980</v>
          </cell>
          <cell r="AG38">
            <v>0</v>
          </cell>
          <cell r="AH38">
            <v>0</v>
          </cell>
          <cell r="AI38">
            <v>980</v>
          </cell>
          <cell r="AJ38">
            <v>0</v>
          </cell>
          <cell r="AK38">
            <v>9815</v>
          </cell>
        </row>
        <row r="39">
          <cell r="A39" t="str">
            <v>ü</v>
          </cell>
          <cell r="B39" t="str">
            <v>ü</v>
          </cell>
          <cell r="F39" t="str">
            <v>Leon</v>
          </cell>
          <cell r="G39">
            <v>1920</v>
          </cell>
          <cell r="H39" t="str">
            <v>Q1</v>
          </cell>
          <cell r="I39" t="str">
            <v>Jul-Aug-Sep</v>
          </cell>
          <cell r="J39">
            <v>71344.048631849131</v>
          </cell>
          <cell r="K39">
            <v>15182.411368150864</v>
          </cell>
          <cell r="L39">
            <v>63897</v>
          </cell>
          <cell r="M39">
            <v>86526.459999999992</v>
          </cell>
          <cell r="N39">
            <v>-22629.46</v>
          </cell>
          <cell r="O39" t="str">
            <v>Insufficient</v>
          </cell>
          <cell r="P39">
            <v>63897</v>
          </cell>
          <cell r="Q39">
            <v>43667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14850</v>
          </cell>
          <cell r="X39">
            <v>4980</v>
          </cell>
          <cell r="Y39">
            <v>0</v>
          </cell>
          <cell r="Z39">
            <v>19830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400</v>
          </cell>
          <cell r="AG39">
            <v>0</v>
          </cell>
          <cell r="AH39">
            <v>0</v>
          </cell>
          <cell r="AI39">
            <v>400</v>
          </cell>
          <cell r="AJ39">
            <v>0</v>
          </cell>
          <cell r="AK39">
            <v>20230</v>
          </cell>
        </row>
        <row r="40">
          <cell r="A40" t="str">
            <v>ü</v>
          </cell>
          <cell r="B40" t="str">
            <v>ü</v>
          </cell>
          <cell r="F40" t="str">
            <v>Levy</v>
          </cell>
          <cell r="G40">
            <v>1920</v>
          </cell>
          <cell r="H40" t="str">
            <v>Q1</v>
          </cell>
          <cell r="I40" t="str">
            <v>Jul-Aug-Sep</v>
          </cell>
          <cell r="J40">
            <v>19713.200921704942</v>
          </cell>
          <cell r="K40">
            <v>4195.0790782950553</v>
          </cell>
          <cell r="L40">
            <v>17135</v>
          </cell>
          <cell r="M40">
            <v>23908.28</v>
          </cell>
          <cell r="N40">
            <v>-6773.28</v>
          </cell>
          <cell r="O40" t="str">
            <v>Insufficient</v>
          </cell>
          <cell r="P40">
            <v>17135</v>
          </cell>
          <cell r="Q40">
            <v>13000</v>
          </cell>
          <cell r="R40">
            <v>800</v>
          </cell>
          <cell r="S40">
            <v>65</v>
          </cell>
          <cell r="T40">
            <v>150</v>
          </cell>
          <cell r="U40">
            <v>0</v>
          </cell>
          <cell r="V40">
            <v>1015</v>
          </cell>
          <cell r="W40">
            <v>2460</v>
          </cell>
          <cell r="X40">
            <v>360</v>
          </cell>
          <cell r="Y40">
            <v>0</v>
          </cell>
          <cell r="Z40">
            <v>2820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300</v>
          </cell>
          <cell r="AG40">
            <v>0</v>
          </cell>
          <cell r="AH40">
            <v>0</v>
          </cell>
          <cell r="AI40">
            <v>300</v>
          </cell>
          <cell r="AJ40">
            <v>0</v>
          </cell>
          <cell r="AK40">
            <v>3120</v>
          </cell>
        </row>
        <row r="41">
          <cell r="A41" t="str">
            <v>ü</v>
          </cell>
          <cell r="B41" t="str">
            <v>ü</v>
          </cell>
          <cell r="F41" t="str">
            <v>Liberty</v>
          </cell>
          <cell r="G41">
            <v>1920</v>
          </cell>
          <cell r="H41" t="str">
            <v>Q1</v>
          </cell>
          <cell r="I41" t="str">
            <v>Jul-Aug-Sep</v>
          </cell>
          <cell r="J41">
            <v>1595.3587600350183</v>
          </cell>
          <cell r="K41">
            <v>339.50123996498166</v>
          </cell>
          <cell r="L41">
            <v>2958</v>
          </cell>
          <cell r="M41">
            <v>1934.8600000000001</v>
          </cell>
          <cell r="N41">
            <v>1023.14</v>
          </cell>
          <cell r="O41" t="str">
            <v>Unexpended</v>
          </cell>
          <cell r="P41">
            <v>2958</v>
          </cell>
          <cell r="Q41">
            <v>1338</v>
          </cell>
          <cell r="R41">
            <v>350</v>
          </cell>
          <cell r="S41">
            <v>0</v>
          </cell>
          <cell r="T41">
            <v>0</v>
          </cell>
          <cell r="U41">
            <v>0</v>
          </cell>
          <cell r="V41">
            <v>350</v>
          </cell>
          <cell r="W41">
            <v>1230</v>
          </cell>
          <cell r="X41">
            <v>0</v>
          </cell>
          <cell r="Y41">
            <v>0</v>
          </cell>
          <cell r="Z41">
            <v>1230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40</v>
          </cell>
          <cell r="AI41">
            <v>40</v>
          </cell>
          <cell r="AJ41">
            <v>0</v>
          </cell>
          <cell r="AK41">
            <v>1270</v>
          </cell>
        </row>
        <row r="42">
          <cell r="A42" t="str">
            <v>ü</v>
          </cell>
          <cell r="B42" t="str">
            <v>ü</v>
          </cell>
          <cell r="F42" t="str">
            <v>Madison</v>
          </cell>
          <cell r="G42">
            <v>1920</v>
          </cell>
          <cell r="H42" t="str">
            <v>Q1</v>
          </cell>
          <cell r="I42" t="str">
            <v>Jul-Aug-Sep</v>
          </cell>
          <cell r="J42">
            <v>1081.0883672306595</v>
          </cell>
          <cell r="K42">
            <v>230.06163276934018</v>
          </cell>
          <cell r="L42">
            <v>5746</v>
          </cell>
          <cell r="M42">
            <v>1311.1499999999996</v>
          </cell>
          <cell r="N42">
            <v>4434.8500000000004</v>
          </cell>
          <cell r="O42" t="str">
            <v>Unexpended</v>
          </cell>
          <cell r="P42">
            <v>5746</v>
          </cell>
          <cell r="Q42">
            <v>1173</v>
          </cell>
          <cell r="R42">
            <v>370</v>
          </cell>
          <cell r="S42">
            <v>0</v>
          </cell>
          <cell r="T42">
            <v>183</v>
          </cell>
          <cell r="U42">
            <v>0</v>
          </cell>
          <cell r="V42">
            <v>553</v>
          </cell>
          <cell r="W42">
            <v>3705</v>
          </cell>
          <cell r="X42">
            <v>0</v>
          </cell>
          <cell r="Y42">
            <v>0</v>
          </cell>
          <cell r="Z42">
            <v>3705</v>
          </cell>
          <cell r="AA42">
            <v>315</v>
          </cell>
          <cell r="AB42">
            <v>0</v>
          </cell>
          <cell r="AC42">
            <v>0</v>
          </cell>
          <cell r="AD42">
            <v>315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4020</v>
          </cell>
        </row>
        <row r="43">
          <cell r="A43" t="str">
            <v>ü</v>
          </cell>
          <cell r="B43" t="str">
            <v>ü</v>
          </cell>
          <cell r="F43" t="str">
            <v>Manatee</v>
          </cell>
          <cell r="G43">
            <v>1920</v>
          </cell>
          <cell r="H43" t="str">
            <v>Q1</v>
          </cell>
          <cell r="I43" t="str">
            <v>Jul-Aug-Sep</v>
          </cell>
          <cell r="J43">
            <v>35189.0450061667</v>
          </cell>
          <cell r="K43">
            <v>7488.4249938333032</v>
          </cell>
          <cell r="L43">
            <v>35698</v>
          </cell>
          <cell r="M43">
            <v>42677.47</v>
          </cell>
          <cell r="N43">
            <v>-6979.47</v>
          </cell>
          <cell r="O43" t="str">
            <v>Insufficient</v>
          </cell>
          <cell r="P43">
            <v>35698</v>
          </cell>
          <cell r="Q43">
            <v>13592</v>
          </cell>
          <cell r="R43">
            <v>0</v>
          </cell>
          <cell r="S43">
            <v>0</v>
          </cell>
          <cell r="T43">
            <v>132</v>
          </cell>
          <cell r="U43">
            <v>242</v>
          </cell>
          <cell r="V43">
            <v>374</v>
          </cell>
          <cell r="W43">
            <v>17951</v>
          </cell>
          <cell r="X43">
            <v>2414</v>
          </cell>
          <cell r="Y43">
            <v>0</v>
          </cell>
          <cell r="Z43">
            <v>20365</v>
          </cell>
          <cell r="AA43">
            <v>845</v>
          </cell>
          <cell r="AB43">
            <v>0</v>
          </cell>
          <cell r="AC43">
            <v>0</v>
          </cell>
          <cell r="AD43">
            <v>845</v>
          </cell>
          <cell r="AE43">
            <v>0</v>
          </cell>
          <cell r="AF43">
            <v>285</v>
          </cell>
          <cell r="AG43">
            <v>64</v>
          </cell>
          <cell r="AH43">
            <v>173</v>
          </cell>
          <cell r="AI43">
            <v>522</v>
          </cell>
          <cell r="AJ43">
            <v>0</v>
          </cell>
          <cell r="AK43">
            <v>21732</v>
          </cell>
        </row>
        <row r="44">
          <cell r="A44" t="str">
            <v>ü</v>
          </cell>
          <cell r="B44" t="str">
            <v>ü</v>
          </cell>
          <cell r="F44" t="str">
            <v>Marion</v>
          </cell>
          <cell r="G44">
            <v>1920</v>
          </cell>
          <cell r="H44" t="str">
            <v>Q1</v>
          </cell>
          <cell r="I44" t="str">
            <v>Jul-Aug-Sep</v>
          </cell>
          <cell r="J44">
            <v>89920.150559937436</v>
          </cell>
          <cell r="K44">
            <v>19135.509440062564</v>
          </cell>
          <cell r="L44">
            <v>64694</v>
          </cell>
          <cell r="M44">
            <v>109055.66</v>
          </cell>
          <cell r="N44">
            <v>-44361.66</v>
          </cell>
          <cell r="O44" t="str">
            <v>Insufficient</v>
          </cell>
          <cell r="P44">
            <v>64694</v>
          </cell>
          <cell r="Q44">
            <v>20889</v>
          </cell>
          <cell r="R44">
            <v>4371</v>
          </cell>
          <cell r="S44">
            <v>2385</v>
          </cell>
          <cell r="T44">
            <v>0</v>
          </cell>
          <cell r="U44">
            <v>0</v>
          </cell>
          <cell r="V44">
            <v>6756</v>
          </cell>
          <cell r="W44">
            <v>26595</v>
          </cell>
          <cell r="X44">
            <v>5190</v>
          </cell>
          <cell r="Y44">
            <v>0</v>
          </cell>
          <cell r="Z44">
            <v>31785</v>
          </cell>
          <cell r="AA44">
            <v>105</v>
          </cell>
          <cell r="AB44">
            <v>360</v>
          </cell>
          <cell r="AC44">
            <v>0</v>
          </cell>
          <cell r="AD44">
            <v>465</v>
          </cell>
          <cell r="AE44">
            <v>0</v>
          </cell>
          <cell r="AF44">
            <v>4799</v>
          </cell>
          <cell r="AG44">
            <v>0</v>
          </cell>
          <cell r="AH44">
            <v>0</v>
          </cell>
          <cell r="AI44">
            <v>4799</v>
          </cell>
          <cell r="AJ44">
            <v>0</v>
          </cell>
          <cell r="AK44">
            <v>37049</v>
          </cell>
        </row>
        <row r="45">
          <cell r="A45" t="str">
            <v>ü</v>
          </cell>
          <cell r="B45" t="str">
            <v>ü</v>
          </cell>
          <cell r="F45" t="str">
            <v>Martin</v>
          </cell>
          <cell r="G45">
            <v>1920</v>
          </cell>
          <cell r="H45" t="str">
            <v>Q1</v>
          </cell>
          <cell r="I45" t="str">
            <v>Jul-Aug-Sep</v>
          </cell>
          <cell r="J45">
            <v>30440.262420032464</v>
          </cell>
          <cell r="K45">
            <v>6477.8575799675373</v>
          </cell>
          <cell r="L45">
            <v>36756</v>
          </cell>
          <cell r="M45">
            <v>36918.120000000003</v>
          </cell>
          <cell r="N45">
            <v>-162.12</v>
          </cell>
          <cell r="O45" t="str">
            <v>Insufficient</v>
          </cell>
          <cell r="P45">
            <v>36756</v>
          </cell>
          <cell r="Q45">
            <v>20569</v>
          </cell>
          <cell r="R45">
            <v>2499</v>
          </cell>
          <cell r="S45">
            <v>884</v>
          </cell>
          <cell r="T45">
            <v>222</v>
          </cell>
          <cell r="U45">
            <v>37</v>
          </cell>
          <cell r="V45">
            <v>3642</v>
          </cell>
          <cell r="W45">
            <v>8585</v>
          </cell>
          <cell r="X45">
            <v>3550</v>
          </cell>
          <cell r="Y45">
            <v>0</v>
          </cell>
          <cell r="Z45">
            <v>12135</v>
          </cell>
          <cell r="AA45">
            <v>225</v>
          </cell>
          <cell r="AB45">
            <v>0</v>
          </cell>
          <cell r="AC45">
            <v>0</v>
          </cell>
          <cell r="AD45">
            <v>225</v>
          </cell>
          <cell r="AE45">
            <v>0</v>
          </cell>
          <cell r="AF45">
            <v>115</v>
          </cell>
          <cell r="AG45">
            <v>0</v>
          </cell>
          <cell r="AH45">
            <v>70</v>
          </cell>
          <cell r="AI45">
            <v>185</v>
          </cell>
          <cell r="AJ45">
            <v>0</v>
          </cell>
          <cell r="AK45">
            <v>12545</v>
          </cell>
        </row>
        <row r="46">
          <cell r="A46" t="str">
            <v>ü</v>
          </cell>
          <cell r="B46" t="str">
            <v>ü</v>
          </cell>
          <cell r="F46" t="str">
            <v>Miami-Dade</v>
          </cell>
          <cell r="G46">
            <v>1920</v>
          </cell>
          <cell r="H46" t="str">
            <v>Q1</v>
          </cell>
          <cell r="I46" t="str">
            <v>Jul-Aug-Sep</v>
          </cell>
          <cell r="J46">
            <v>231138.85319422022</v>
          </cell>
          <cell r="K46">
            <v>49187.636805779759</v>
          </cell>
          <cell r="L46">
            <v>278463</v>
          </cell>
          <cell r="M46">
            <v>280326.49</v>
          </cell>
          <cell r="N46">
            <v>-1863.49</v>
          </cell>
          <cell r="O46" t="str">
            <v>Insufficient</v>
          </cell>
          <cell r="P46">
            <v>278463</v>
          </cell>
          <cell r="Q46">
            <v>168963</v>
          </cell>
          <cell r="R46">
            <v>26005</v>
          </cell>
          <cell r="S46">
            <v>1400</v>
          </cell>
          <cell r="T46">
            <v>2550</v>
          </cell>
          <cell r="U46">
            <v>2706</v>
          </cell>
          <cell r="V46">
            <v>32661</v>
          </cell>
          <cell r="W46">
            <v>69528</v>
          </cell>
          <cell r="X46">
            <v>0</v>
          </cell>
          <cell r="Y46">
            <v>0</v>
          </cell>
          <cell r="Z46">
            <v>69528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3811</v>
          </cell>
          <cell r="AG46">
            <v>0</v>
          </cell>
          <cell r="AH46">
            <v>0</v>
          </cell>
          <cell r="AI46">
            <v>3811</v>
          </cell>
          <cell r="AJ46">
            <v>3500</v>
          </cell>
          <cell r="AK46">
            <v>76839</v>
          </cell>
        </row>
        <row r="47">
          <cell r="A47" t="str">
            <v>ü</v>
          </cell>
          <cell r="B47" t="str">
            <v>ü</v>
          </cell>
          <cell r="F47" t="str">
            <v>Monroe</v>
          </cell>
          <cell r="G47">
            <v>1920</v>
          </cell>
          <cell r="H47" t="str">
            <v>Q1</v>
          </cell>
          <cell r="I47" t="str">
            <v>Jul-Aug-Sep</v>
          </cell>
          <cell r="J47">
            <v>7360.5944564825395</v>
          </cell>
          <cell r="K47">
            <v>1566.3755435174596</v>
          </cell>
          <cell r="L47">
            <v>12605</v>
          </cell>
          <cell r="M47">
            <v>8926.9699999999993</v>
          </cell>
          <cell r="N47">
            <v>3678.03</v>
          </cell>
          <cell r="O47" t="str">
            <v>Unexpended</v>
          </cell>
          <cell r="P47">
            <v>12605</v>
          </cell>
          <cell r="Q47">
            <v>6027</v>
          </cell>
          <cell r="R47">
            <v>1070</v>
          </cell>
          <cell r="S47">
            <v>1967</v>
          </cell>
          <cell r="T47">
            <v>514</v>
          </cell>
          <cell r="U47">
            <v>204</v>
          </cell>
          <cell r="V47">
            <v>3755</v>
          </cell>
          <cell r="W47">
            <v>2585</v>
          </cell>
          <cell r="X47">
            <v>0</v>
          </cell>
          <cell r="Y47">
            <v>0</v>
          </cell>
          <cell r="Z47">
            <v>2585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238</v>
          </cell>
          <cell r="AF47">
            <v>0</v>
          </cell>
          <cell r="AG47">
            <v>0</v>
          </cell>
          <cell r="AH47">
            <v>0</v>
          </cell>
          <cell r="AI47">
            <v>238</v>
          </cell>
          <cell r="AJ47">
            <v>0</v>
          </cell>
          <cell r="AK47">
            <v>2823</v>
          </cell>
        </row>
        <row r="48">
          <cell r="A48" t="str">
            <v>ü</v>
          </cell>
          <cell r="B48" t="str">
            <v>ü</v>
          </cell>
          <cell r="F48" t="str">
            <v>Nassau</v>
          </cell>
          <cell r="G48">
            <v>1920</v>
          </cell>
          <cell r="H48" t="str">
            <v>Q1</v>
          </cell>
          <cell r="I48" t="str">
            <v>Jul-Aug-Sep</v>
          </cell>
          <cell r="J48">
            <v>26632.323133530019</v>
          </cell>
          <cell r="K48">
            <v>5667.5068664699838</v>
          </cell>
          <cell r="L48">
            <v>21773</v>
          </cell>
          <cell r="M48">
            <v>32299.83</v>
          </cell>
          <cell r="N48">
            <v>-10526.83</v>
          </cell>
          <cell r="O48" t="str">
            <v>Insufficient</v>
          </cell>
          <cell r="P48">
            <v>21773</v>
          </cell>
          <cell r="Q48">
            <v>17331</v>
          </cell>
          <cell r="R48">
            <v>592</v>
          </cell>
          <cell r="S48">
            <v>0</v>
          </cell>
          <cell r="T48">
            <v>100</v>
          </cell>
          <cell r="U48">
            <v>0</v>
          </cell>
          <cell r="V48">
            <v>692</v>
          </cell>
          <cell r="W48">
            <v>2250</v>
          </cell>
          <cell r="X48">
            <v>1050</v>
          </cell>
          <cell r="Y48">
            <v>450</v>
          </cell>
          <cell r="Z48">
            <v>3750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3750</v>
          </cell>
        </row>
        <row r="49">
          <cell r="A49" t="str">
            <v>ü</v>
          </cell>
          <cell r="B49" t="str">
            <v>ü</v>
          </cell>
          <cell r="F49" t="str">
            <v>Okaloosa</v>
          </cell>
          <cell r="G49">
            <v>1920</v>
          </cell>
          <cell r="H49" t="str">
            <v>Q1</v>
          </cell>
          <cell r="I49" t="str">
            <v>Jul-Aug-Sep</v>
          </cell>
          <cell r="J49">
            <v>25651.539384286323</v>
          </cell>
          <cell r="K49">
            <v>5458.7906157136786</v>
          </cell>
          <cell r="L49">
            <v>27707</v>
          </cell>
          <cell r="M49">
            <v>31110.33</v>
          </cell>
          <cell r="N49">
            <v>-3403.33</v>
          </cell>
          <cell r="O49" t="str">
            <v>Insufficient</v>
          </cell>
          <cell r="P49">
            <v>27707</v>
          </cell>
          <cell r="Q49">
            <v>11721</v>
          </cell>
          <cell r="R49">
            <v>5642</v>
          </cell>
          <cell r="S49">
            <v>0</v>
          </cell>
          <cell r="T49">
            <v>107</v>
          </cell>
          <cell r="U49">
            <v>1875</v>
          </cell>
          <cell r="V49">
            <v>7624</v>
          </cell>
          <cell r="W49">
            <v>5220</v>
          </cell>
          <cell r="X49">
            <v>2790</v>
          </cell>
          <cell r="Y49">
            <v>0</v>
          </cell>
          <cell r="Z49">
            <v>8010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352</v>
          </cell>
          <cell r="AG49">
            <v>0</v>
          </cell>
          <cell r="AH49">
            <v>0</v>
          </cell>
          <cell r="AI49">
            <v>352</v>
          </cell>
          <cell r="AJ49">
            <v>0</v>
          </cell>
          <cell r="AK49">
            <v>8362</v>
          </cell>
        </row>
        <row r="50">
          <cell r="A50" t="str">
            <v>ü</v>
          </cell>
          <cell r="B50" t="str">
            <v>ü</v>
          </cell>
          <cell r="F50" t="str">
            <v>Okeechobee</v>
          </cell>
          <cell r="G50">
            <v>1920</v>
          </cell>
          <cell r="H50" t="str">
            <v>Q1</v>
          </cell>
          <cell r="I50" t="str">
            <v>Jul-Aug-Sep</v>
          </cell>
          <cell r="J50">
            <v>38684.526956161455</v>
          </cell>
          <cell r="K50">
            <v>8232.2830438385463</v>
          </cell>
          <cell r="L50">
            <v>21274</v>
          </cell>
          <cell r="M50">
            <v>46916.81</v>
          </cell>
          <cell r="N50">
            <v>-25642.81</v>
          </cell>
          <cell r="O50" t="str">
            <v>Insufficient</v>
          </cell>
          <cell r="P50">
            <v>21274</v>
          </cell>
          <cell r="Q50">
            <v>12859</v>
          </cell>
          <cell r="R50">
            <v>1695</v>
          </cell>
          <cell r="S50">
            <v>0</v>
          </cell>
          <cell r="T50">
            <v>420</v>
          </cell>
          <cell r="U50">
            <v>75</v>
          </cell>
          <cell r="V50">
            <v>2190</v>
          </cell>
          <cell r="W50">
            <v>5475</v>
          </cell>
          <cell r="X50">
            <v>570</v>
          </cell>
          <cell r="Y50">
            <v>0</v>
          </cell>
          <cell r="Z50">
            <v>6045</v>
          </cell>
          <cell r="AA50">
            <v>180</v>
          </cell>
          <cell r="AB50">
            <v>0</v>
          </cell>
          <cell r="AC50">
            <v>0</v>
          </cell>
          <cell r="AD50">
            <v>180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6225</v>
          </cell>
        </row>
        <row r="51">
          <cell r="A51" t="str">
            <v>ü</v>
          </cell>
          <cell r="B51" t="str">
            <v>ü</v>
          </cell>
          <cell r="F51" t="str">
            <v>Orange</v>
          </cell>
          <cell r="G51">
            <v>1920</v>
          </cell>
          <cell r="H51" t="str">
            <v>Q1</v>
          </cell>
          <cell r="I51" t="str">
            <v>Jul-Aug-Sep</v>
          </cell>
          <cell r="J51">
            <v>149360.53525349835</v>
          </cell>
          <cell r="K51">
            <v>31784.754746501654</v>
          </cell>
          <cell r="L51">
            <v>168055</v>
          </cell>
          <cell r="M51">
            <v>181145.29</v>
          </cell>
          <cell r="N51">
            <v>-13090.29</v>
          </cell>
          <cell r="O51" t="str">
            <v>Insufficient</v>
          </cell>
          <cell r="P51">
            <v>168055</v>
          </cell>
          <cell r="Q51">
            <v>54761</v>
          </cell>
          <cell r="R51">
            <v>31189</v>
          </cell>
          <cell r="S51">
            <v>2414</v>
          </cell>
          <cell r="T51">
            <v>300</v>
          </cell>
          <cell r="U51">
            <v>3391</v>
          </cell>
          <cell r="V51">
            <v>37294</v>
          </cell>
          <cell r="W51">
            <v>48000</v>
          </cell>
          <cell r="X51">
            <v>24000</v>
          </cell>
          <cell r="Y51">
            <v>0</v>
          </cell>
          <cell r="Z51">
            <v>72000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3000</v>
          </cell>
          <cell r="AG51">
            <v>1000</v>
          </cell>
          <cell r="AH51">
            <v>0</v>
          </cell>
          <cell r="AI51">
            <v>4000</v>
          </cell>
          <cell r="AJ51">
            <v>0</v>
          </cell>
          <cell r="AK51">
            <v>76000</v>
          </cell>
        </row>
        <row r="52">
          <cell r="A52" t="str">
            <v>ü</v>
          </cell>
          <cell r="B52" t="str">
            <v>ü</v>
          </cell>
          <cell r="F52" t="str">
            <v>Osceola</v>
          </cell>
          <cell r="G52">
            <v>1920</v>
          </cell>
          <cell r="H52" t="str">
            <v>Q1</v>
          </cell>
          <cell r="I52" t="str">
            <v>Jul-Aug-Sep</v>
          </cell>
          <cell r="J52">
            <v>84348.680463382538</v>
          </cell>
          <cell r="K52">
            <v>17949.869536617469</v>
          </cell>
          <cell r="L52">
            <v>79721</v>
          </cell>
          <cell r="M52">
            <v>102298.55</v>
          </cell>
          <cell r="N52">
            <v>-22577.55</v>
          </cell>
          <cell r="O52" t="str">
            <v>Insufficient</v>
          </cell>
          <cell r="P52">
            <v>79721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42416</v>
          </cell>
          <cell r="V52">
            <v>42416</v>
          </cell>
          <cell r="W52">
            <v>35775</v>
          </cell>
          <cell r="X52">
            <v>0</v>
          </cell>
          <cell r="Y52">
            <v>0</v>
          </cell>
          <cell r="Z52">
            <v>35775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1530</v>
          </cell>
          <cell r="AG52">
            <v>0</v>
          </cell>
          <cell r="AH52">
            <v>0</v>
          </cell>
          <cell r="AI52">
            <v>1530</v>
          </cell>
          <cell r="AJ52">
            <v>0</v>
          </cell>
          <cell r="AK52">
            <v>37305</v>
          </cell>
        </row>
        <row r="53">
          <cell r="A53" t="str">
            <v>ü</v>
          </cell>
          <cell r="B53" t="str">
            <v>ü</v>
          </cell>
          <cell r="F53" t="str">
            <v>Palm Beach</v>
          </cell>
          <cell r="G53">
            <v>1920</v>
          </cell>
          <cell r="H53" t="str">
            <v>Q1</v>
          </cell>
          <cell r="I53" t="str">
            <v>Jul-Aug-Sep</v>
          </cell>
          <cell r="J53">
            <v>155410.90321419635</v>
          </cell>
          <cell r="K53">
            <v>33072.306785803637</v>
          </cell>
          <cell r="L53">
            <v>223212</v>
          </cell>
          <cell r="M53">
            <v>188483.21</v>
          </cell>
          <cell r="N53">
            <v>34728.79</v>
          </cell>
          <cell r="O53" t="str">
            <v>Unexpended</v>
          </cell>
          <cell r="P53">
            <v>223212</v>
          </cell>
          <cell r="Q53">
            <v>62903</v>
          </cell>
          <cell r="R53">
            <v>21258</v>
          </cell>
          <cell r="S53">
            <v>7784</v>
          </cell>
          <cell r="T53">
            <v>2607</v>
          </cell>
          <cell r="U53">
            <v>4833</v>
          </cell>
          <cell r="V53">
            <v>36482</v>
          </cell>
          <cell r="W53">
            <v>88575</v>
          </cell>
          <cell r="X53">
            <v>30210</v>
          </cell>
          <cell r="Y53">
            <v>0</v>
          </cell>
          <cell r="Z53">
            <v>118785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4794</v>
          </cell>
          <cell r="AG53">
            <v>248</v>
          </cell>
          <cell r="AI53">
            <v>5042</v>
          </cell>
          <cell r="AJ53">
            <v>0</v>
          </cell>
          <cell r="AK53">
            <v>123827</v>
          </cell>
        </row>
        <row r="54">
          <cell r="A54" t="str">
            <v>ü</v>
          </cell>
          <cell r="B54" t="str">
            <v>ü</v>
          </cell>
          <cell r="F54" t="str">
            <v>Pasco</v>
          </cell>
          <cell r="G54">
            <v>1920</v>
          </cell>
          <cell r="H54" t="str">
            <v>Q1</v>
          </cell>
          <cell r="I54" t="str">
            <v>Jul-Aug-Sep</v>
          </cell>
          <cell r="J54">
            <v>73256.407913308474</v>
          </cell>
          <cell r="K54">
            <v>15589.372086691526</v>
          </cell>
          <cell r="L54">
            <v>65663</v>
          </cell>
          <cell r="M54">
            <v>88845.78</v>
          </cell>
          <cell r="N54">
            <v>-23182.78</v>
          </cell>
          <cell r="O54" t="str">
            <v>Insufficient</v>
          </cell>
          <cell r="P54">
            <v>65663</v>
          </cell>
          <cell r="Q54">
            <v>32055</v>
          </cell>
          <cell r="R54">
            <v>42</v>
          </cell>
          <cell r="S54">
            <v>0</v>
          </cell>
          <cell r="T54">
            <v>915</v>
          </cell>
          <cell r="U54">
            <v>5714</v>
          </cell>
          <cell r="V54">
            <v>6671</v>
          </cell>
          <cell r="W54">
            <v>26850</v>
          </cell>
          <cell r="X54">
            <v>0</v>
          </cell>
          <cell r="Y54">
            <v>0</v>
          </cell>
          <cell r="Z54">
            <v>26850</v>
          </cell>
          <cell r="AA54">
            <v>87</v>
          </cell>
          <cell r="AB54">
            <v>0</v>
          </cell>
          <cell r="AC54">
            <v>0</v>
          </cell>
          <cell r="AD54">
            <v>87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26937</v>
          </cell>
        </row>
        <row r="55">
          <cell r="A55" t="str">
            <v>ü</v>
          </cell>
          <cell r="B55" t="str">
            <v>ü</v>
          </cell>
          <cell r="F55" t="str">
            <v>Pinellas</v>
          </cell>
          <cell r="G55">
            <v>1920</v>
          </cell>
          <cell r="H55" t="str">
            <v>Q1</v>
          </cell>
          <cell r="I55" t="str">
            <v>Jul-Aug-Sep</v>
          </cell>
          <cell r="J55">
            <v>136707.47667361691</v>
          </cell>
          <cell r="K55">
            <v>29092.113326383082</v>
          </cell>
          <cell r="L55">
            <v>160080</v>
          </cell>
          <cell r="M55">
            <v>165799.59</v>
          </cell>
          <cell r="N55">
            <v>-5719.59</v>
          </cell>
          <cell r="O55" t="str">
            <v>Insufficient</v>
          </cell>
          <cell r="P55">
            <v>160080</v>
          </cell>
          <cell r="Q55">
            <v>72625</v>
          </cell>
          <cell r="R55">
            <v>12900</v>
          </cell>
          <cell r="S55">
            <v>200</v>
          </cell>
          <cell r="T55">
            <v>200</v>
          </cell>
          <cell r="U55">
            <v>0</v>
          </cell>
          <cell r="V55">
            <v>13300</v>
          </cell>
          <cell r="W55">
            <v>66000</v>
          </cell>
          <cell r="X55">
            <v>4400</v>
          </cell>
          <cell r="Y55">
            <v>0</v>
          </cell>
          <cell r="Z55">
            <v>70400</v>
          </cell>
          <cell r="AA55">
            <v>700</v>
          </cell>
          <cell r="AB55">
            <v>0</v>
          </cell>
          <cell r="AC55">
            <v>0</v>
          </cell>
          <cell r="AD55">
            <v>700</v>
          </cell>
          <cell r="AE55">
            <v>0</v>
          </cell>
          <cell r="AF55">
            <v>1825</v>
          </cell>
          <cell r="AG55">
            <v>330</v>
          </cell>
          <cell r="AH55">
            <v>900</v>
          </cell>
          <cell r="AI55">
            <v>3055</v>
          </cell>
          <cell r="AJ55">
            <v>0</v>
          </cell>
          <cell r="AK55">
            <v>74155</v>
          </cell>
        </row>
        <row r="56">
          <cell r="A56" t="str">
            <v>ü</v>
          </cell>
          <cell r="B56" t="str">
            <v>ü</v>
          </cell>
          <cell r="F56" t="str">
            <v>Polk</v>
          </cell>
          <cell r="G56">
            <v>1920</v>
          </cell>
          <cell r="H56" t="str">
            <v>Q1</v>
          </cell>
          <cell r="I56" t="str">
            <v>Jul-Aug-Sep</v>
          </cell>
          <cell r="J56">
            <v>70616.347492099216</v>
          </cell>
          <cell r="K56">
            <v>15027.552507900773</v>
          </cell>
          <cell r="L56">
            <v>88000</v>
          </cell>
          <cell r="M56">
            <v>85643.9</v>
          </cell>
          <cell r="N56">
            <v>2356.1</v>
          </cell>
          <cell r="O56" t="str">
            <v>Unexpended</v>
          </cell>
          <cell r="P56">
            <v>88000</v>
          </cell>
          <cell r="Q56">
            <v>24000</v>
          </cell>
          <cell r="R56">
            <v>8000</v>
          </cell>
          <cell r="S56">
            <v>5000</v>
          </cell>
          <cell r="T56">
            <v>1000</v>
          </cell>
          <cell r="U56">
            <v>0</v>
          </cell>
          <cell r="V56">
            <v>14000</v>
          </cell>
          <cell r="W56">
            <v>18500</v>
          </cell>
          <cell r="X56">
            <v>12000</v>
          </cell>
          <cell r="Y56">
            <v>16000</v>
          </cell>
          <cell r="Z56">
            <v>46500</v>
          </cell>
          <cell r="AA56">
            <v>500</v>
          </cell>
          <cell r="AB56">
            <v>1000</v>
          </cell>
          <cell r="AC56">
            <v>0</v>
          </cell>
          <cell r="AD56">
            <v>1500</v>
          </cell>
          <cell r="AE56">
            <v>0</v>
          </cell>
          <cell r="AF56">
            <v>1200</v>
          </cell>
          <cell r="AG56">
            <v>100</v>
          </cell>
          <cell r="AH56">
            <v>700</v>
          </cell>
          <cell r="AI56">
            <v>2000</v>
          </cell>
          <cell r="AJ56">
            <v>0</v>
          </cell>
          <cell r="AK56">
            <v>50000</v>
          </cell>
        </row>
        <row r="57">
          <cell r="A57" t="str">
            <v>ü</v>
          </cell>
          <cell r="B57" t="str">
            <v>ü</v>
          </cell>
          <cell r="F57" t="str">
            <v>Putnam</v>
          </cell>
          <cell r="G57">
            <v>1920</v>
          </cell>
          <cell r="H57" t="str">
            <v>Q1</v>
          </cell>
          <cell r="I57" t="str">
            <v>Jul-Aug-Sep</v>
          </cell>
          <cell r="J57">
            <v>25079.386671854467</v>
          </cell>
          <cell r="K57">
            <v>5337.0333281455332</v>
          </cell>
          <cell r="L57">
            <v>20930</v>
          </cell>
          <cell r="M57">
            <v>30416.42</v>
          </cell>
          <cell r="N57">
            <v>-9486.42</v>
          </cell>
          <cell r="O57" t="str">
            <v>Insufficient</v>
          </cell>
          <cell r="P57">
            <v>20930</v>
          </cell>
          <cell r="Q57">
            <v>15930</v>
          </cell>
          <cell r="R57">
            <v>850</v>
          </cell>
          <cell r="S57">
            <v>260</v>
          </cell>
          <cell r="T57">
            <v>400</v>
          </cell>
          <cell r="U57">
            <v>0</v>
          </cell>
          <cell r="V57">
            <v>1510</v>
          </cell>
          <cell r="W57">
            <v>2430</v>
          </cell>
          <cell r="X57">
            <v>360</v>
          </cell>
          <cell r="Y57">
            <v>0</v>
          </cell>
          <cell r="Z57">
            <v>2790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500</v>
          </cell>
          <cell r="AF57">
            <v>200</v>
          </cell>
          <cell r="AG57">
            <v>0</v>
          </cell>
          <cell r="AH57">
            <v>0</v>
          </cell>
          <cell r="AI57">
            <v>700</v>
          </cell>
          <cell r="AJ57">
            <v>0</v>
          </cell>
          <cell r="AK57">
            <v>3490</v>
          </cell>
        </row>
        <row r="58">
          <cell r="A58" t="str">
            <v>ü</v>
          </cell>
          <cell r="B58" t="str">
            <v>ü</v>
          </cell>
          <cell r="F58" t="str">
            <v>Santa Rosa</v>
          </cell>
          <cell r="G58">
            <v>1920</v>
          </cell>
          <cell r="H58" t="str">
            <v>Q1</v>
          </cell>
          <cell r="I58" t="str">
            <v>Jul-Aug-Sep</v>
          </cell>
          <cell r="J58">
            <v>46834.341069023634</v>
          </cell>
          <cell r="K58">
            <v>9966.6089309763611</v>
          </cell>
          <cell r="L58">
            <v>40005</v>
          </cell>
          <cell r="M58">
            <v>56800.95</v>
          </cell>
          <cell r="N58">
            <v>-16795.95</v>
          </cell>
          <cell r="O58" t="str">
            <v>Insufficient</v>
          </cell>
          <cell r="P58">
            <v>40005</v>
          </cell>
          <cell r="Q58">
            <v>25868</v>
          </cell>
          <cell r="R58">
            <v>1916</v>
          </cell>
          <cell r="S58">
            <v>634</v>
          </cell>
          <cell r="T58">
            <v>4</v>
          </cell>
          <cell r="U58">
            <v>1018</v>
          </cell>
          <cell r="V58">
            <v>3572</v>
          </cell>
          <cell r="W58">
            <v>7815</v>
          </cell>
          <cell r="X58">
            <v>1770</v>
          </cell>
          <cell r="Y58">
            <v>90</v>
          </cell>
          <cell r="Z58">
            <v>9675</v>
          </cell>
          <cell r="AA58">
            <v>225</v>
          </cell>
          <cell r="AB58">
            <v>0</v>
          </cell>
          <cell r="AC58">
            <v>0</v>
          </cell>
          <cell r="AD58">
            <v>225</v>
          </cell>
          <cell r="AE58">
            <v>0</v>
          </cell>
          <cell r="AF58">
            <v>600</v>
          </cell>
          <cell r="AG58">
            <v>35</v>
          </cell>
          <cell r="AH58">
            <v>30</v>
          </cell>
          <cell r="AI58">
            <v>665</v>
          </cell>
          <cell r="AJ58">
            <v>0</v>
          </cell>
          <cell r="AK58">
            <v>10565</v>
          </cell>
        </row>
        <row r="59">
          <cell r="A59" t="str">
            <v>ü</v>
          </cell>
          <cell r="B59" t="str">
            <v>ü</v>
          </cell>
          <cell r="F59" t="str">
            <v>Sarasota</v>
          </cell>
          <cell r="G59">
            <v>1920</v>
          </cell>
          <cell r="H59" t="str">
            <v>Q1</v>
          </cell>
          <cell r="I59" t="str">
            <v>Jul-Aug-Sep</v>
          </cell>
          <cell r="J59">
            <v>88534.652312603139</v>
          </cell>
          <cell r="K59">
            <v>18840.667687396864</v>
          </cell>
          <cell r="L59">
            <v>93579</v>
          </cell>
          <cell r="M59">
            <v>107375.32</v>
          </cell>
          <cell r="N59">
            <v>-13796.32</v>
          </cell>
          <cell r="O59" t="str">
            <v>Insufficient</v>
          </cell>
          <cell r="P59">
            <v>93579</v>
          </cell>
          <cell r="Q59">
            <v>37677</v>
          </cell>
          <cell r="R59">
            <v>13027</v>
          </cell>
          <cell r="S59">
            <v>150</v>
          </cell>
          <cell r="T59">
            <v>242</v>
          </cell>
          <cell r="U59">
            <v>1368</v>
          </cell>
          <cell r="V59">
            <v>14787</v>
          </cell>
          <cell r="W59">
            <v>38303</v>
          </cell>
          <cell r="X59">
            <v>1630</v>
          </cell>
          <cell r="Y59">
            <v>0</v>
          </cell>
          <cell r="Z59">
            <v>39933</v>
          </cell>
          <cell r="AA59">
            <v>815</v>
          </cell>
          <cell r="AB59">
            <v>0</v>
          </cell>
          <cell r="AC59">
            <v>0</v>
          </cell>
          <cell r="AD59">
            <v>815</v>
          </cell>
          <cell r="AE59">
            <v>0</v>
          </cell>
          <cell r="AF59">
            <v>367</v>
          </cell>
          <cell r="AG59">
            <v>0</v>
          </cell>
          <cell r="AH59">
            <v>0</v>
          </cell>
          <cell r="AI59">
            <v>367</v>
          </cell>
          <cell r="AJ59">
            <v>0</v>
          </cell>
          <cell r="AK59">
            <v>41115</v>
          </cell>
        </row>
        <row r="60">
          <cell r="A60" t="str">
            <v>ü</v>
          </cell>
          <cell r="B60" t="str">
            <v>ü</v>
          </cell>
          <cell r="F60" t="str">
            <v>Seminole</v>
          </cell>
          <cell r="G60">
            <v>1920</v>
          </cell>
          <cell r="H60" t="str">
            <v>Q1</v>
          </cell>
          <cell r="I60" t="str">
            <v>Jul-Aug-Sep</v>
          </cell>
          <cell r="J60">
            <v>50940.349565573662</v>
          </cell>
          <cell r="K60">
            <v>10840.390434426336</v>
          </cell>
          <cell r="L60">
            <v>51348</v>
          </cell>
          <cell r="M60">
            <v>61780.74</v>
          </cell>
          <cell r="N60">
            <v>-10432.74</v>
          </cell>
          <cell r="O60" t="str">
            <v>Insufficient</v>
          </cell>
          <cell r="P60">
            <v>51348</v>
          </cell>
          <cell r="Q60">
            <v>27883</v>
          </cell>
          <cell r="R60">
            <v>5817</v>
          </cell>
          <cell r="S60">
            <v>2405</v>
          </cell>
          <cell r="T60">
            <v>167</v>
          </cell>
          <cell r="U60">
            <v>0</v>
          </cell>
          <cell r="V60">
            <v>8389</v>
          </cell>
          <cell r="W60">
            <v>12450</v>
          </cell>
          <cell r="X60">
            <v>2400</v>
          </cell>
          <cell r="Y60">
            <v>0</v>
          </cell>
          <cell r="Z60">
            <v>14850</v>
          </cell>
          <cell r="AA60">
            <v>120</v>
          </cell>
          <cell r="AB60">
            <v>0</v>
          </cell>
          <cell r="AC60">
            <v>0</v>
          </cell>
          <cell r="AD60">
            <v>120</v>
          </cell>
          <cell r="AE60">
            <v>0</v>
          </cell>
          <cell r="AF60">
            <v>106</v>
          </cell>
          <cell r="AG60">
            <v>0</v>
          </cell>
          <cell r="AH60">
            <v>0</v>
          </cell>
          <cell r="AI60">
            <v>106</v>
          </cell>
          <cell r="AJ60">
            <v>0</v>
          </cell>
          <cell r="AK60">
            <v>15076</v>
          </cell>
        </row>
        <row r="61">
          <cell r="A61" t="str">
            <v>ü</v>
          </cell>
          <cell r="B61" t="str">
            <v>ü</v>
          </cell>
          <cell r="F61" t="str">
            <v>St. Johns</v>
          </cell>
          <cell r="G61">
            <v>1920</v>
          </cell>
          <cell r="H61" t="str">
            <v>Q1</v>
          </cell>
          <cell r="I61" t="str">
            <v>Jul-Aug-Sep</v>
          </cell>
          <cell r="J61">
            <v>21779.137993104705</v>
          </cell>
          <cell r="K61">
            <v>4634.7220068952947</v>
          </cell>
          <cell r="L61">
            <v>18150</v>
          </cell>
          <cell r="M61">
            <v>26413.86</v>
          </cell>
          <cell r="N61">
            <v>-8263.86</v>
          </cell>
          <cell r="O61" t="str">
            <v>Insufficient</v>
          </cell>
          <cell r="P61">
            <v>18150</v>
          </cell>
          <cell r="Q61">
            <v>11000</v>
          </cell>
          <cell r="R61">
            <v>800</v>
          </cell>
          <cell r="S61">
            <v>0</v>
          </cell>
          <cell r="T61">
            <v>350</v>
          </cell>
          <cell r="U61">
            <v>0</v>
          </cell>
          <cell r="V61">
            <v>1150</v>
          </cell>
          <cell r="W61">
            <v>4000</v>
          </cell>
          <cell r="X61">
            <v>1500</v>
          </cell>
          <cell r="Y61">
            <v>0</v>
          </cell>
          <cell r="Z61">
            <v>5500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200</v>
          </cell>
          <cell r="AG61">
            <v>0</v>
          </cell>
          <cell r="AH61">
            <v>300</v>
          </cell>
          <cell r="AI61">
            <v>500</v>
          </cell>
          <cell r="AJ61">
            <v>0</v>
          </cell>
          <cell r="AK61">
            <v>6000</v>
          </cell>
        </row>
        <row r="62">
          <cell r="A62" t="str">
            <v>ü</v>
          </cell>
          <cell r="B62" t="str">
            <v>ü</v>
          </cell>
          <cell r="F62" t="str">
            <v>St. Lucie</v>
          </cell>
          <cell r="G62">
            <v>1920</v>
          </cell>
          <cell r="H62" t="str">
            <v>Q1</v>
          </cell>
          <cell r="I62" t="str">
            <v>Jul-Aug-Sep</v>
          </cell>
          <cell r="J62">
            <v>112696.64544508516</v>
          </cell>
          <cell r="K62">
            <v>23982.474554914836</v>
          </cell>
          <cell r="L62">
            <v>78649</v>
          </cell>
          <cell r="M62">
            <v>136679.12</v>
          </cell>
          <cell r="N62">
            <v>-58030.12</v>
          </cell>
          <cell r="O62" t="str">
            <v>Insufficient</v>
          </cell>
          <cell r="P62">
            <v>78649</v>
          </cell>
          <cell r="Q62">
            <v>29611</v>
          </cell>
          <cell r="R62">
            <v>8000</v>
          </cell>
          <cell r="S62">
            <v>8963</v>
          </cell>
          <cell r="T62">
            <v>525</v>
          </cell>
          <cell r="U62">
            <v>300</v>
          </cell>
          <cell r="V62">
            <v>17788</v>
          </cell>
          <cell r="W62">
            <v>25000</v>
          </cell>
          <cell r="X62">
            <v>5000</v>
          </cell>
          <cell r="Y62">
            <v>0</v>
          </cell>
          <cell r="Z62">
            <v>30000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1250</v>
          </cell>
          <cell r="AG62">
            <v>0</v>
          </cell>
          <cell r="AH62">
            <v>0</v>
          </cell>
          <cell r="AI62">
            <v>1250</v>
          </cell>
          <cell r="AJ62">
            <v>0</v>
          </cell>
          <cell r="AK62">
            <v>31250</v>
          </cell>
        </row>
        <row r="63">
          <cell r="A63" t="str">
            <v>ü</v>
          </cell>
          <cell r="B63" t="str">
            <v>ü</v>
          </cell>
          <cell r="F63" t="str">
            <v>Sumter</v>
          </cell>
          <cell r="G63">
            <v>1920</v>
          </cell>
          <cell r="H63" t="str">
            <v>Q1</v>
          </cell>
          <cell r="I63" t="str">
            <v>Jul-Aug-Sep</v>
          </cell>
          <cell r="J63">
            <v>21856.47108082355</v>
          </cell>
          <cell r="K63">
            <v>4651.1789191764501</v>
          </cell>
          <cell r="L63">
            <v>17400</v>
          </cell>
          <cell r="M63">
            <v>26507.65</v>
          </cell>
          <cell r="N63">
            <v>-9107.65</v>
          </cell>
          <cell r="O63" t="str">
            <v>Insufficient</v>
          </cell>
          <cell r="P63">
            <v>17400</v>
          </cell>
          <cell r="Q63">
            <v>13800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3300</v>
          </cell>
          <cell r="AD63">
            <v>3300</v>
          </cell>
          <cell r="AE63">
            <v>0</v>
          </cell>
          <cell r="AF63">
            <v>300</v>
          </cell>
          <cell r="AG63">
            <v>0</v>
          </cell>
          <cell r="AH63">
            <v>0</v>
          </cell>
          <cell r="AI63">
            <v>300</v>
          </cell>
          <cell r="AJ63">
            <v>0</v>
          </cell>
          <cell r="AK63">
            <v>3600</v>
          </cell>
        </row>
        <row r="64">
          <cell r="A64" t="str">
            <v>ü</v>
          </cell>
          <cell r="B64" t="str">
            <v>ü</v>
          </cell>
          <cell r="F64" t="str">
            <v>Suwannee</v>
          </cell>
          <cell r="G64">
            <v>1920</v>
          </cell>
          <cell r="H64" t="str">
            <v>Q1</v>
          </cell>
          <cell r="I64" t="str">
            <v>Jul-Aug-Sep</v>
          </cell>
          <cell r="J64">
            <v>6753.4649919338981</v>
          </cell>
          <cell r="K64">
            <v>1437.1750080661013</v>
          </cell>
          <cell r="L64">
            <v>5920</v>
          </cell>
          <cell r="M64">
            <v>8190.6399999999994</v>
          </cell>
          <cell r="N64">
            <v>-2270.64</v>
          </cell>
          <cell r="O64" t="str">
            <v>Insufficient</v>
          </cell>
          <cell r="P64">
            <v>5920</v>
          </cell>
          <cell r="Q64">
            <v>3635</v>
          </cell>
          <cell r="R64">
            <v>375</v>
          </cell>
          <cell r="S64">
            <v>50</v>
          </cell>
          <cell r="T64">
            <v>60</v>
          </cell>
          <cell r="U64">
            <v>0</v>
          </cell>
          <cell r="V64">
            <v>485</v>
          </cell>
          <cell r="W64">
            <v>1800</v>
          </cell>
          <cell r="X64">
            <v>0</v>
          </cell>
          <cell r="Y64">
            <v>0</v>
          </cell>
          <cell r="Z64">
            <v>1800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1800</v>
          </cell>
        </row>
        <row r="65">
          <cell r="A65" t="str">
            <v>ü</v>
          </cell>
          <cell r="B65" t="str">
            <v>ü</v>
          </cell>
          <cell r="F65" t="str">
            <v>Taylor</v>
          </cell>
          <cell r="G65">
            <v>1920</v>
          </cell>
          <cell r="H65" t="str">
            <v>Q1</v>
          </cell>
          <cell r="I65" t="str">
            <v>Jul-Aug-Sep</v>
          </cell>
          <cell r="J65">
            <v>6116.8831562015785</v>
          </cell>
          <cell r="K65">
            <v>1301.7068437984212</v>
          </cell>
          <cell r="L65">
            <v>3804</v>
          </cell>
          <cell r="M65">
            <v>7418.59</v>
          </cell>
          <cell r="N65">
            <v>-3614.59</v>
          </cell>
          <cell r="O65" t="str">
            <v>Insufficient</v>
          </cell>
          <cell r="P65">
            <v>3804</v>
          </cell>
          <cell r="Q65">
            <v>2004</v>
          </cell>
          <cell r="R65">
            <v>415</v>
          </cell>
          <cell r="S65">
            <v>115</v>
          </cell>
          <cell r="T65">
            <v>0</v>
          </cell>
          <cell r="U65">
            <v>0</v>
          </cell>
          <cell r="V65">
            <v>530</v>
          </cell>
          <cell r="W65">
            <v>1000</v>
          </cell>
          <cell r="X65">
            <v>0</v>
          </cell>
          <cell r="Y65">
            <v>0</v>
          </cell>
          <cell r="Z65">
            <v>1000</v>
          </cell>
          <cell r="AA65">
            <v>270</v>
          </cell>
          <cell r="AB65">
            <v>0</v>
          </cell>
          <cell r="AC65">
            <v>0</v>
          </cell>
          <cell r="AD65">
            <v>270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1270</v>
          </cell>
        </row>
        <row r="66">
          <cell r="A66" t="str">
            <v>ü</v>
          </cell>
          <cell r="B66" t="str">
            <v>ü</v>
          </cell>
          <cell r="F66" t="str">
            <v>Union</v>
          </cell>
          <cell r="G66">
            <v>1920</v>
          </cell>
          <cell r="H66" t="str">
            <v>Q1</v>
          </cell>
          <cell r="I66" t="str">
            <v>Jul-Aug-Sep</v>
          </cell>
          <cell r="J66">
            <v>3769.1037130771615</v>
          </cell>
          <cell r="K66">
            <v>802.08628692283912</v>
          </cell>
          <cell r="L66">
            <v>1502</v>
          </cell>
          <cell r="M66">
            <v>4571.1900000000005</v>
          </cell>
          <cell r="N66">
            <v>-3069.19</v>
          </cell>
          <cell r="O66" t="str">
            <v>Insufficient</v>
          </cell>
          <cell r="P66">
            <v>1502</v>
          </cell>
          <cell r="Q66">
            <v>1102</v>
          </cell>
          <cell r="R66">
            <v>150</v>
          </cell>
          <cell r="S66">
            <v>0</v>
          </cell>
          <cell r="T66">
            <v>30</v>
          </cell>
          <cell r="U66">
            <v>0</v>
          </cell>
          <cell r="V66">
            <v>180</v>
          </cell>
          <cell r="W66">
            <v>150</v>
          </cell>
          <cell r="X66">
            <v>0</v>
          </cell>
          <cell r="Y66">
            <v>0</v>
          </cell>
          <cell r="Z66">
            <v>150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70</v>
          </cell>
          <cell r="AG66">
            <v>0</v>
          </cell>
          <cell r="AH66">
            <v>0</v>
          </cell>
          <cell r="AI66">
            <v>70</v>
          </cell>
          <cell r="AJ66">
            <v>0</v>
          </cell>
          <cell r="AK66">
            <v>220</v>
          </cell>
        </row>
        <row r="67">
          <cell r="A67" t="str">
            <v>ü</v>
          </cell>
          <cell r="B67" t="str">
            <v>ü</v>
          </cell>
          <cell r="F67" t="str">
            <v>Volusia</v>
          </cell>
          <cell r="G67">
            <v>1920</v>
          </cell>
          <cell r="H67" t="str">
            <v>Q1</v>
          </cell>
          <cell r="I67" t="str">
            <v>Jul-Aug-Sep</v>
          </cell>
          <cell r="J67">
            <v>49802.492000246806</v>
          </cell>
          <cell r="K67">
            <v>10598.247999753194</v>
          </cell>
          <cell r="L67">
            <v>65950</v>
          </cell>
          <cell r="M67">
            <v>60400.74</v>
          </cell>
          <cell r="N67">
            <v>5549.26</v>
          </cell>
          <cell r="O67" t="str">
            <v>Unexpended</v>
          </cell>
          <cell r="P67">
            <v>65950</v>
          </cell>
          <cell r="Q67">
            <v>34500</v>
          </cell>
          <cell r="R67">
            <v>0</v>
          </cell>
          <cell r="S67">
            <v>0</v>
          </cell>
          <cell r="T67">
            <v>100</v>
          </cell>
          <cell r="U67">
            <v>200</v>
          </cell>
          <cell r="V67">
            <v>300</v>
          </cell>
          <cell r="W67">
            <v>25650</v>
          </cell>
          <cell r="X67">
            <v>5100</v>
          </cell>
          <cell r="Y67">
            <v>0</v>
          </cell>
          <cell r="Z67">
            <v>30750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400</v>
          </cell>
          <cell r="AG67">
            <v>0</v>
          </cell>
          <cell r="AH67">
            <v>0</v>
          </cell>
          <cell r="AI67">
            <v>400</v>
          </cell>
          <cell r="AJ67">
            <v>0</v>
          </cell>
          <cell r="AK67">
            <v>31150</v>
          </cell>
        </row>
        <row r="68">
          <cell r="A68" t="str">
            <v>ü</v>
          </cell>
          <cell r="B68" t="str">
            <v>ü</v>
          </cell>
          <cell r="F68" t="str">
            <v>Wakulla</v>
          </cell>
          <cell r="G68">
            <v>1920</v>
          </cell>
          <cell r="H68" t="str">
            <v>Q1</v>
          </cell>
          <cell r="I68" t="str">
            <v>Jul-Aug-Sep</v>
          </cell>
          <cell r="J68">
            <v>3747.1875869276041</v>
          </cell>
          <cell r="K68">
            <v>797.42241307239544</v>
          </cell>
          <cell r="L68">
            <v>9119</v>
          </cell>
          <cell r="M68">
            <v>4544.6099999999997</v>
          </cell>
          <cell r="N68">
            <v>4574.3900000000003</v>
          </cell>
          <cell r="O68" t="str">
            <v>Unexpended</v>
          </cell>
          <cell r="P68">
            <v>9119</v>
          </cell>
          <cell r="Q68">
            <v>8834</v>
          </cell>
          <cell r="R68">
            <v>35</v>
          </cell>
          <cell r="S68">
            <v>0</v>
          </cell>
          <cell r="T68">
            <v>100</v>
          </cell>
          <cell r="U68">
            <v>0</v>
          </cell>
          <cell r="V68">
            <v>135</v>
          </cell>
          <cell r="W68">
            <v>120</v>
          </cell>
          <cell r="X68">
            <v>30</v>
          </cell>
          <cell r="Y68">
            <v>0</v>
          </cell>
          <cell r="Z68">
            <v>150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150</v>
          </cell>
        </row>
        <row r="69">
          <cell r="A69" t="str">
            <v>ü</v>
          </cell>
          <cell r="B69" t="str">
            <v>ü</v>
          </cell>
          <cell r="F69" t="str">
            <v>Walton</v>
          </cell>
          <cell r="G69">
            <v>1920</v>
          </cell>
          <cell r="H69" t="str">
            <v>Q1</v>
          </cell>
          <cell r="I69" t="str">
            <v>Jul-Aug-Sep</v>
          </cell>
          <cell r="J69">
            <v>20306.717322193042</v>
          </cell>
          <cell r="K69">
            <v>4321.3826778069542</v>
          </cell>
          <cell r="L69">
            <v>16800</v>
          </cell>
          <cell r="M69">
            <v>24628.1</v>
          </cell>
          <cell r="N69">
            <v>-7828.1</v>
          </cell>
          <cell r="O69" t="str">
            <v>Insufficient</v>
          </cell>
          <cell r="P69">
            <v>16800</v>
          </cell>
          <cell r="Q69">
            <v>12000</v>
          </cell>
          <cell r="R69">
            <v>900</v>
          </cell>
          <cell r="S69">
            <v>0</v>
          </cell>
          <cell r="T69">
            <v>0</v>
          </cell>
          <cell r="U69">
            <v>0</v>
          </cell>
          <cell r="V69">
            <v>900</v>
          </cell>
          <cell r="W69">
            <v>2500</v>
          </cell>
          <cell r="X69">
            <v>0</v>
          </cell>
          <cell r="Y69">
            <v>0</v>
          </cell>
          <cell r="Z69">
            <v>2500</v>
          </cell>
          <cell r="AA69">
            <v>1000</v>
          </cell>
          <cell r="AB69">
            <v>0</v>
          </cell>
          <cell r="AC69">
            <v>0</v>
          </cell>
          <cell r="AD69">
            <v>1000</v>
          </cell>
          <cell r="AE69">
            <v>0</v>
          </cell>
          <cell r="AF69">
            <v>300</v>
          </cell>
          <cell r="AG69">
            <v>0</v>
          </cell>
          <cell r="AH69">
            <v>100</v>
          </cell>
          <cell r="AI69">
            <v>400</v>
          </cell>
          <cell r="AJ69">
            <v>0</v>
          </cell>
          <cell r="AK69">
            <v>3900</v>
          </cell>
        </row>
        <row r="70">
          <cell r="A70" t="str">
            <v>ü</v>
          </cell>
          <cell r="B70" t="str">
            <v>ü</v>
          </cell>
          <cell r="F70" t="str">
            <v>Washington</v>
          </cell>
          <cell r="G70">
            <v>1920</v>
          </cell>
          <cell r="H70" t="str">
            <v>Q1</v>
          </cell>
          <cell r="I70" t="str">
            <v>Jul-Aug-Sep</v>
          </cell>
          <cell r="J70">
            <v>8859.7382894900293</v>
          </cell>
          <cell r="K70">
            <v>1885.4017105099711</v>
          </cell>
          <cell r="L70">
            <v>10700</v>
          </cell>
          <cell r="M70">
            <v>10745.14</v>
          </cell>
          <cell r="N70">
            <v>-45.14</v>
          </cell>
          <cell r="O70" t="str">
            <v>Insufficient</v>
          </cell>
          <cell r="P70">
            <v>10700</v>
          </cell>
          <cell r="Q70">
            <v>7250</v>
          </cell>
          <cell r="R70">
            <v>1000</v>
          </cell>
          <cell r="S70">
            <v>0</v>
          </cell>
          <cell r="T70">
            <v>500</v>
          </cell>
          <cell r="U70">
            <v>0</v>
          </cell>
          <cell r="V70">
            <v>1500</v>
          </cell>
          <cell r="W70">
            <v>1500</v>
          </cell>
          <cell r="X70">
            <v>0</v>
          </cell>
          <cell r="Y70">
            <v>0</v>
          </cell>
          <cell r="Z70">
            <v>1500</v>
          </cell>
          <cell r="AA70">
            <v>450</v>
          </cell>
          <cell r="AB70">
            <v>0</v>
          </cell>
          <cell r="AC70">
            <v>0</v>
          </cell>
          <cell r="AD70">
            <v>450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1950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s w JAC Endorsement"/>
      <sheetName val="Sheet1"/>
      <sheetName val="Adj Endorsement Amts"/>
      <sheetName val="CCOC Format Prorated"/>
      <sheetName val="Cross-Walk_2_for Adjs"/>
      <sheetName val="Cross-Wal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Alachua</v>
          </cell>
          <cell r="B2">
            <v>54200</v>
          </cell>
          <cell r="C2">
            <v>21664.51</v>
          </cell>
          <cell r="D2">
            <v>0</v>
          </cell>
          <cell r="E2">
            <v>75864.509999999995</v>
          </cell>
        </row>
        <row r="3">
          <cell r="A3" t="str">
            <v>Baker</v>
          </cell>
          <cell r="B3">
            <v>4395</v>
          </cell>
          <cell r="C3">
            <v>5762.02</v>
          </cell>
          <cell r="D3">
            <v>0</v>
          </cell>
          <cell r="E3">
            <v>10157.02</v>
          </cell>
        </row>
        <row r="4">
          <cell r="A4" t="str">
            <v>Bay</v>
          </cell>
          <cell r="B4">
            <v>48450</v>
          </cell>
          <cell r="C4">
            <v>1144.1500000000001</v>
          </cell>
          <cell r="D4">
            <v>0</v>
          </cell>
          <cell r="E4">
            <v>49594.15</v>
          </cell>
        </row>
        <row r="5">
          <cell r="A5" t="str">
            <v>Bradford</v>
          </cell>
          <cell r="B5">
            <v>6011</v>
          </cell>
          <cell r="C5">
            <v>0</v>
          </cell>
          <cell r="D5">
            <v>15742.31</v>
          </cell>
          <cell r="E5">
            <v>0</v>
          </cell>
        </row>
        <row r="6">
          <cell r="A6" t="str">
            <v>Brevard</v>
          </cell>
          <cell r="B6">
            <v>111355</v>
          </cell>
          <cell r="C6">
            <v>7510.75</v>
          </cell>
          <cell r="D6">
            <v>0</v>
          </cell>
          <cell r="E6">
            <v>118865.75</v>
          </cell>
        </row>
        <row r="7">
          <cell r="A7" t="str">
            <v>Broward</v>
          </cell>
          <cell r="B7">
            <v>198060</v>
          </cell>
          <cell r="C7">
            <v>26249.35</v>
          </cell>
          <cell r="D7">
            <v>0</v>
          </cell>
          <cell r="E7">
            <v>224309.35</v>
          </cell>
        </row>
        <row r="8">
          <cell r="A8" t="str">
            <v>Calhoun</v>
          </cell>
          <cell r="B8">
            <v>4035</v>
          </cell>
          <cell r="C8">
            <v>477.25</v>
          </cell>
          <cell r="D8">
            <v>0</v>
          </cell>
          <cell r="E8">
            <v>4512.25</v>
          </cell>
        </row>
        <row r="9">
          <cell r="A9" t="str">
            <v>Charlotte</v>
          </cell>
          <cell r="B9">
            <v>38292</v>
          </cell>
          <cell r="C9">
            <v>928.02</v>
          </cell>
          <cell r="D9">
            <v>0</v>
          </cell>
          <cell r="E9">
            <v>39220.019999999997</v>
          </cell>
        </row>
        <row r="10">
          <cell r="A10" t="str">
            <v>Citrus</v>
          </cell>
          <cell r="B10">
            <v>16950</v>
          </cell>
          <cell r="C10">
            <v>6716.07</v>
          </cell>
          <cell r="D10">
            <v>0</v>
          </cell>
          <cell r="E10">
            <v>23666.07</v>
          </cell>
        </row>
        <row r="11">
          <cell r="A11" t="str">
            <v>Clay</v>
          </cell>
          <cell r="B11">
            <v>20422</v>
          </cell>
          <cell r="C11">
            <v>0</v>
          </cell>
          <cell r="D11">
            <v>3991.32</v>
          </cell>
          <cell r="E11">
            <v>16430.68</v>
          </cell>
        </row>
        <row r="12">
          <cell r="A12" t="str">
            <v>Collier</v>
          </cell>
          <cell r="B12">
            <v>61570</v>
          </cell>
          <cell r="C12">
            <v>8129.18</v>
          </cell>
          <cell r="D12">
            <v>0</v>
          </cell>
          <cell r="E12">
            <v>69699.179999999993</v>
          </cell>
        </row>
        <row r="13">
          <cell r="A13" t="str">
            <v>Columbia</v>
          </cell>
          <cell r="B13">
            <v>15352</v>
          </cell>
          <cell r="C13">
            <v>0</v>
          </cell>
          <cell r="D13">
            <v>686.06</v>
          </cell>
          <cell r="E13">
            <v>14665.94</v>
          </cell>
        </row>
        <row r="14">
          <cell r="A14" t="str">
            <v>Dade</v>
          </cell>
          <cell r="B14">
            <v>302112</v>
          </cell>
          <cell r="C14">
            <v>0</v>
          </cell>
          <cell r="D14">
            <v>67227.48</v>
          </cell>
          <cell r="E14">
            <v>234884.52</v>
          </cell>
        </row>
        <row r="15">
          <cell r="A15" t="str">
            <v>Desoto</v>
          </cell>
          <cell r="B15">
            <v>8150</v>
          </cell>
          <cell r="C15">
            <v>1905.75</v>
          </cell>
          <cell r="D15">
            <v>0</v>
          </cell>
          <cell r="E15">
            <v>10055.75</v>
          </cell>
        </row>
        <row r="16">
          <cell r="A16" t="str">
            <v>Dixie</v>
          </cell>
          <cell r="B16">
            <v>2715</v>
          </cell>
          <cell r="C16">
            <v>0</v>
          </cell>
          <cell r="D16">
            <v>7490.42</v>
          </cell>
          <cell r="E16">
            <v>0</v>
          </cell>
        </row>
        <row r="17">
          <cell r="A17" t="str">
            <v>Duval</v>
          </cell>
          <cell r="B17">
            <v>132428</v>
          </cell>
          <cell r="C17">
            <v>15309.21</v>
          </cell>
          <cell r="D17">
            <v>0</v>
          </cell>
          <cell r="E17">
            <v>147737.21</v>
          </cell>
        </row>
        <row r="18">
          <cell r="A18" t="str">
            <v>Escambia</v>
          </cell>
          <cell r="B18">
            <v>69521</v>
          </cell>
          <cell r="C18">
            <v>10426.120000000001</v>
          </cell>
          <cell r="D18">
            <v>0</v>
          </cell>
          <cell r="E18">
            <v>79947.12</v>
          </cell>
        </row>
        <row r="19">
          <cell r="A19" t="str">
            <v>Flagler</v>
          </cell>
          <cell r="B19">
            <v>15700</v>
          </cell>
          <cell r="C19">
            <v>0</v>
          </cell>
          <cell r="D19">
            <v>3513.66</v>
          </cell>
          <cell r="E19">
            <v>12186.34</v>
          </cell>
        </row>
        <row r="20">
          <cell r="A20" t="str">
            <v>Franklin</v>
          </cell>
          <cell r="B20">
            <v>4825</v>
          </cell>
          <cell r="C20">
            <v>0</v>
          </cell>
          <cell r="D20">
            <v>988.8</v>
          </cell>
          <cell r="E20">
            <v>3836.2</v>
          </cell>
        </row>
        <row r="21">
          <cell r="A21" t="str">
            <v>Gadsden</v>
          </cell>
          <cell r="B21">
            <v>13767</v>
          </cell>
          <cell r="C21">
            <v>0</v>
          </cell>
          <cell r="D21">
            <v>1941.33</v>
          </cell>
          <cell r="E21">
            <v>11825.67</v>
          </cell>
        </row>
        <row r="22">
          <cell r="A22" t="str">
            <v>Gilchrist</v>
          </cell>
          <cell r="B22">
            <v>5648</v>
          </cell>
          <cell r="C22">
            <v>0</v>
          </cell>
          <cell r="D22">
            <v>14004.36</v>
          </cell>
          <cell r="E22">
            <v>0</v>
          </cell>
        </row>
        <row r="23">
          <cell r="A23" t="str">
            <v>Glades</v>
          </cell>
          <cell r="B23">
            <v>4875</v>
          </cell>
          <cell r="C23">
            <v>0</v>
          </cell>
          <cell r="D23">
            <v>183.01</v>
          </cell>
          <cell r="E23">
            <v>4691.99</v>
          </cell>
        </row>
        <row r="24">
          <cell r="A24" t="str">
            <v>Gulf</v>
          </cell>
          <cell r="B24">
            <v>6498</v>
          </cell>
          <cell r="C24">
            <v>0</v>
          </cell>
          <cell r="D24">
            <v>273.25</v>
          </cell>
          <cell r="E24">
            <v>6224.75</v>
          </cell>
        </row>
        <row r="25">
          <cell r="A25" t="str">
            <v>Hamilton</v>
          </cell>
          <cell r="B25">
            <v>3668</v>
          </cell>
          <cell r="C25">
            <v>1733.43</v>
          </cell>
          <cell r="D25">
            <v>0</v>
          </cell>
          <cell r="E25">
            <v>5401.43</v>
          </cell>
        </row>
        <row r="26">
          <cell r="A26" t="str">
            <v>Hardee</v>
          </cell>
          <cell r="B26">
            <v>8675</v>
          </cell>
          <cell r="C26">
            <v>6647.7</v>
          </cell>
          <cell r="D26">
            <v>0</v>
          </cell>
          <cell r="E26">
            <v>15322.7</v>
          </cell>
        </row>
        <row r="27">
          <cell r="A27" t="str">
            <v>Hendry</v>
          </cell>
          <cell r="B27">
            <v>16000</v>
          </cell>
          <cell r="C27">
            <v>6530.19</v>
          </cell>
          <cell r="D27">
            <v>0</v>
          </cell>
          <cell r="E27">
            <v>22530.19</v>
          </cell>
        </row>
        <row r="28">
          <cell r="A28" t="str">
            <v>Hernando</v>
          </cell>
          <cell r="B28">
            <v>42350</v>
          </cell>
          <cell r="C28">
            <v>6649.47</v>
          </cell>
          <cell r="D28">
            <v>0</v>
          </cell>
          <cell r="E28">
            <v>48999.47</v>
          </cell>
        </row>
        <row r="29">
          <cell r="A29" t="str">
            <v>Highlands</v>
          </cell>
          <cell r="B29">
            <v>21610</v>
          </cell>
          <cell r="C29">
            <v>0</v>
          </cell>
          <cell r="D29">
            <v>7031.2</v>
          </cell>
          <cell r="E29">
            <v>14578.8</v>
          </cell>
        </row>
        <row r="30">
          <cell r="A30" t="str">
            <v>Hillsborough</v>
          </cell>
          <cell r="B30">
            <v>133105</v>
          </cell>
          <cell r="C30">
            <v>0</v>
          </cell>
          <cell r="D30">
            <v>21953.1</v>
          </cell>
          <cell r="E30">
            <v>111151.9</v>
          </cell>
        </row>
        <row r="31">
          <cell r="A31" t="str">
            <v>Holmes</v>
          </cell>
          <cell r="B31">
            <v>5156</v>
          </cell>
          <cell r="C31">
            <v>0</v>
          </cell>
          <cell r="D31">
            <v>1793.59</v>
          </cell>
          <cell r="E31">
            <v>3362.41</v>
          </cell>
        </row>
        <row r="32">
          <cell r="A32" t="str">
            <v>Indian River</v>
          </cell>
          <cell r="B32">
            <v>32449</v>
          </cell>
          <cell r="C32">
            <v>8723.77</v>
          </cell>
          <cell r="D32">
            <v>0</v>
          </cell>
          <cell r="E32">
            <v>41172.769999999997</v>
          </cell>
        </row>
        <row r="33">
          <cell r="A33" t="str">
            <v>Jackson</v>
          </cell>
          <cell r="B33">
            <v>8300</v>
          </cell>
          <cell r="C33">
            <v>2365.04</v>
          </cell>
          <cell r="D33">
            <v>0</v>
          </cell>
          <cell r="E33">
            <v>10665.04</v>
          </cell>
        </row>
        <row r="34">
          <cell r="A34" t="str">
            <v>Jefferson</v>
          </cell>
          <cell r="B34">
            <v>9531</v>
          </cell>
          <cell r="C34">
            <v>7079.87</v>
          </cell>
          <cell r="D34">
            <v>0</v>
          </cell>
          <cell r="E34">
            <v>16610.87</v>
          </cell>
        </row>
        <row r="35">
          <cell r="A35" t="str">
            <v>Lafayette</v>
          </cell>
          <cell r="B35">
            <v>2650</v>
          </cell>
          <cell r="C35">
            <v>1495.65</v>
          </cell>
          <cell r="D35">
            <v>0</v>
          </cell>
          <cell r="E35">
            <v>4145.6499999999996</v>
          </cell>
        </row>
        <row r="36">
          <cell r="A36" t="str">
            <v>Lake</v>
          </cell>
          <cell r="B36">
            <v>57441</v>
          </cell>
          <cell r="C36">
            <v>0</v>
          </cell>
          <cell r="D36">
            <v>4486.96</v>
          </cell>
          <cell r="E36">
            <v>52954.04</v>
          </cell>
        </row>
        <row r="37">
          <cell r="A37" t="str">
            <v>Lee</v>
          </cell>
          <cell r="B37">
            <v>62112</v>
          </cell>
          <cell r="C37">
            <v>0</v>
          </cell>
          <cell r="D37">
            <v>5152.1400000000003</v>
          </cell>
          <cell r="E37">
            <v>56959.86</v>
          </cell>
        </row>
        <row r="38">
          <cell r="A38" t="str">
            <v>Leon</v>
          </cell>
          <cell r="B38">
            <v>51500</v>
          </cell>
          <cell r="C38">
            <v>32293.38</v>
          </cell>
          <cell r="D38">
            <v>0</v>
          </cell>
          <cell r="E38">
            <v>83793.38</v>
          </cell>
        </row>
        <row r="39">
          <cell r="A39" t="str">
            <v>Levy</v>
          </cell>
          <cell r="B39">
            <v>15287</v>
          </cell>
          <cell r="C39">
            <v>0</v>
          </cell>
          <cell r="D39">
            <v>6708.44</v>
          </cell>
          <cell r="E39">
            <v>8578.56</v>
          </cell>
        </row>
        <row r="40">
          <cell r="A40" t="str">
            <v>Liberty</v>
          </cell>
          <cell r="B40">
            <v>3972</v>
          </cell>
          <cell r="C40">
            <v>1623.14</v>
          </cell>
          <cell r="D40">
            <v>0</v>
          </cell>
          <cell r="E40">
            <v>5595.14</v>
          </cell>
        </row>
        <row r="41">
          <cell r="A41" t="str">
            <v>Madison</v>
          </cell>
          <cell r="B41">
            <v>8510</v>
          </cell>
          <cell r="C41">
            <v>0</v>
          </cell>
          <cell r="D41">
            <v>3329.36</v>
          </cell>
          <cell r="E41">
            <v>5180.6400000000003</v>
          </cell>
        </row>
        <row r="42">
          <cell r="A42" t="str">
            <v>Manatee</v>
          </cell>
          <cell r="B42">
            <v>37088</v>
          </cell>
          <cell r="C42">
            <v>0</v>
          </cell>
          <cell r="D42">
            <v>2581.71</v>
          </cell>
          <cell r="E42">
            <v>34506.29</v>
          </cell>
        </row>
        <row r="43">
          <cell r="A43" t="str">
            <v>Marion</v>
          </cell>
          <cell r="B43">
            <v>54134</v>
          </cell>
          <cell r="C43">
            <v>329.96</v>
          </cell>
          <cell r="D43">
            <v>0</v>
          </cell>
          <cell r="E43">
            <v>54463.96</v>
          </cell>
        </row>
        <row r="44">
          <cell r="A44" t="str">
            <v>Martin</v>
          </cell>
          <cell r="B44">
            <v>34425</v>
          </cell>
          <cell r="C44">
            <v>5264.94</v>
          </cell>
          <cell r="D44">
            <v>0</v>
          </cell>
          <cell r="E44">
            <v>39689.94</v>
          </cell>
        </row>
        <row r="45">
          <cell r="A45" t="str">
            <v>Monroe</v>
          </cell>
          <cell r="B45">
            <v>44933</v>
          </cell>
          <cell r="C45">
            <v>24337.31</v>
          </cell>
          <cell r="D45">
            <v>0</v>
          </cell>
          <cell r="E45">
            <v>69270.31</v>
          </cell>
        </row>
        <row r="46">
          <cell r="A46" t="str">
            <v>Nassau</v>
          </cell>
          <cell r="B46">
            <v>15374</v>
          </cell>
          <cell r="C46">
            <v>1243.07</v>
          </cell>
          <cell r="D46">
            <v>0</v>
          </cell>
          <cell r="E46">
            <v>16617.07</v>
          </cell>
        </row>
        <row r="47">
          <cell r="A47" t="str">
            <v>Okaloosa</v>
          </cell>
          <cell r="B47">
            <v>23163</v>
          </cell>
          <cell r="C47">
            <v>1672.33</v>
          </cell>
          <cell r="D47">
            <v>0</v>
          </cell>
          <cell r="E47">
            <v>24835.33</v>
          </cell>
        </row>
        <row r="48">
          <cell r="A48" t="str">
            <v>Okeechobee</v>
          </cell>
          <cell r="B48">
            <v>15680</v>
          </cell>
          <cell r="C48">
            <v>5439.37</v>
          </cell>
          <cell r="D48">
            <v>0</v>
          </cell>
          <cell r="E48">
            <v>21119.37</v>
          </cell>
        </row>
        <row r="49">
          <cell r="A49" t="str">
            <v>Orange</v>
          </cell>
          <cell r="B49">
            <v>189055</v>
          </cell>
          <cell r="C49">
            <v>16850.16</v>
          </cell>
          <cell r="D49">
            <v>0</v>
          </cell>
          <cell r="E49">
            <v>205905.16</v>
          </cell>
        </row>
        <row r="50">
          <cell r="A50" t="str">
            <v>Osceola</v>
          </cell>
          <cell r="B50">
            <v>67353</v>
          </cell>
          <cell r="C50">
            <v>0</v>
          </cell>
          <cell r="D50">
            <v>979.13</v>
          </cell>
          <cell r="E50">
            <v>66373.87</v>
          </cell>
        </row>
        <row r="51">
          <cell r="A51" t="str">
            <v>Palm Beach</v>
          </cell>
          <cell r="B51">
            <v>204808</v>
          </cell>
          <cell r="C51">
            <v>10933.52</v>
          </cell>
          <cell r="D51">
            <v>0</v>
          </cell>
          <cell r="E51">
            <v>215741.52</v>
          </cell>
        </row>
        <row r="52">
          <cell r="A52" t="str">
            <v>Pasco</v>
          </cell>
          <cell r="B52">
            <v>30747</v>
          </cell>
          <cell r="C52">
            <v>7453.6</v>
          </cell>
          <cell r="D52">
            <v>0</v>
          </cell>
          <cell r="E52">
            <v>38200.6</v>
          </cell>
        </row>
        <row r="53">
          <cell r="A53" t="str">
            <v>Pinellas</v>
          </cell>
          <cell r="B53">
            <v>165710</v>
          </cell>
          <cell r="C53">
            <v>0</v>
          </cell>
          <cell r="D53">
            <v>16703.439999999999</v>
          </cell>
          <cell r="E53">
            <v>149006.56</v>
          </cell>
        </row>
        <row r="54">
          <cell r="A54" t="str">
            <v>Polk</v>
          </cell>
          <cell r="B54">
            <v>85600</v>
          </cell>
          <cell r="C54">
            <v>4585.1499999999996</v>
          </cell>
          <cell r="D54">
            <v>0</v>
          </cell>
          <cell r="E54">
            <v>90185.15</v>
          </cell>
        </row>
        <row r="55">
          <cell r="A55" t="str">
            <v>Putnam</v>
          </cell>
          <cell r="B55">
            <v>27600</v>
          </cell>
          <cell r="C55">
            <v>0</v>
          </cell>
          <cell r="D55">
            <v>12843.84</v>
          </cell>
          <cell r="E55">
            <v>14756.16</v>
          </cell>
        </row>
        <row r="56">
          <cell r="A56" t="str">
            <v>Santa Rosa</v>
          </cell>
          <cell r="B56">
            <v>38830</v>
          </cell>
          <cell r="C56">
            <v>11731.22</v>
          </cell>
          <cell r="D56">
            <v>0</v>
          </cell>
          <cell r="E56">
            <v>50561.22</v>
          </cell>
        </row>
        <row r="57">
          <cell r="A57" t="str">
            <v>Sarasota</v>
          </cell>
          <cell r="B57">
            <v>87928</v>
          </cell>
          <cell r="C57">
            <v>0</v>
          </cell>
          <cell r="D57">
            <v>3669.46</v>
          </cell>
          <cell r="E57">
            <v>84258.54</v>
          </cell>
        </row>
        <row r="58">
          <cell r="A58" t="str">
            <v>Seminole</v>
          </cell>
          <cell r="B58">
            <v>59231</v>
          </cell>
          <cell r="C58">
            <v>32144.26</v>
          </cell>
          <cell r="D58">
            <v>0</v>
          </cell>
          <cell r="E58">
            <v>91375.26</v>
          </cell>
        </row>
        <row r="59">
          <cell r="A59" t="str">
            <v>St. Johns</v>
          </cell>
          <cell r="B59">
            <v>19700</v>
          </cell>
          <cell r="C59">
            <v>4561.53</v>
          </cell>
          <cell r="D59">
            <v>0</v>
          </cell>
          <cell r="E59">
            <v>24261.53</v>
          </cell>
        </row>
        <row r="60">
          <cell r="A60" t="str">
            <v>St. Lucie</v>
          </cell>
          <cell r="B60">
            <v>77975</v>
          </cell>
          <cell r="C60">
            <v>0</v>
          </cell>
          <cell r="D60">
            <v>16783.97</v>
          </cell>
          <cell r="E60">
            <v>61191.03</v>
          </cell>
        </row>
        <row r="61">
          <cell r="A61" t="str">
            <v>Sumter</v>
          </cell>
          <cell r="B61">
            <v>16125</v>
          </cell>
          <cell r="C61">
            <v>0</v>
          </cell>
          <cell r="D61">
            <v>0</v>
          </cell>
          <cell r="E61">
            <v>16125</v>
          </cell>
        </row>
        <row r="62">
          <cell r="A62" t="str">
            <v>Suwannee</v>
          </cell>
          <cell r="B62">
            <v>5262</v>
          </cell>
          <cell r="C62">
            <v>0</v>
          </cell>
          <cell r="D62">
            <v>1575.74</v>
          </cell>
          <cell r="E62">
            <v>3686.26</v>
          </cell>
        </row>
        <row r="63">
          <cell r="A63" t="str">
            <v>Taylor</v>
          </cell>
          <cell r="B63">
            <v>2978</v>
          </cell>
          <cell r="C63">
            <v>470.08</v>
          </cell>
          <cell r="D63">
            <v>0</v>
          </cell>
          <cell r="E63">
            <v>3448.08</v>
          </cell>
        </row>
        <row r="64">
          <cell r="A64" t="str">
            <v>Union</v>
          </cell>
          <cell r="B64">
            <v>3510.6675</v>
          </cell>
          <cell r="C64">
            <v>0</v>
          </cell>
          <cell r="D64">
            <v>0</v>
          </cell>
          <cell r="E64">
            <v>1799.7275</v>
          </cell>
        </row>
        <row r="65">
          <cell r="A65" t="str">
            <v>Volusia</v>
          </cell>
          <cell r="B65">
            <v>85100</v>
          </cell>
          <cell r="C65">
            <v>4536.0200000000004</v>
          </cell>
          <cell r="D65">
            <v>0</v>
          </cell>
          <cell r="E65">
            <v>89636.02</v>
          </cell>
        </row>
        <row r="66">
          <cell r="A66" t="str">
            <v>Wakulla</v>
          </cell>
          <cell r="B66">
            <v>9709</v>
          </cell>
          <cell r="C66">
            <v>731.66</v>
          </cell>
          <cell r="D66">
            <v>0</v>
          </cell>
          <cell r="E66">
            <v>10440.66</v>
          </cell>
        </row>
        <row r="67">
          <cell r="A67" t="str">
            <v>Walton</v>
          </cell>
          <cell r="B67">
            <v>13400</v>
          </cell>
          <cell r="C67">
            <v>0</v>
          </cell>
          <cell r="D67">
            <v>5089.3900000000003</v>
          </cell>
          <cell r="E67">
            <v>8310.61</v>
          </cell>
        </row>
        <row r="68">
          <cell r="A68" t="str">
            <v>Washington</v>
          </cell>
          <cell r="B68">
            <v>10539</v>
          </cell>
          <cell r="C68">
            <v>0</v>
          </cell>
          <cell r="D68">
            <v>2047.29</v>
          </cell>
          <cell r="E68">
            <v>8491.7099999999991</v>
          </cell>
        </row>
      </sheetData>
      <sheetData sheetId="5">
        <row r="5">
          <cell r="A5" t="str">
            <v>Alachua</v>
          </cell>
          <cell r="B5">
            <v>16300</v>
          </cell>
          <cell r="C5">
            <v>20300</v>
          </cell>
          <cell r="D5">
            <v>4000</v>
          </cell>
          <cell r="E5">
            <v>0</v>
          </cell>
          <cell r="F5">
            <v>30000</v>
          </cell>
          <cell r="G5">
            <v>3900</v>
          </cell>
        </row>
        <row r="6">
          <cell r="A6" t="str">
            <v>Baker</v>
          </cell>
          <cell r="B6">
            <v>700</v>
          </cell>
          <cell r="C6">
            <v>900</v>
          </cell>
          <cell r="D6">
            <v>200</v>
          </cell>
          <cell r="E6">
            <v>0</v>
          </cell>
          <cell r="F6">
            <v>3100</v>
          </cell>
          <cell r="G6">
            <v>395</v>
          </cell>
        </row>
        <row r="7">
          <cell r="A7" t="str">
            <v>Bay</v>
          </cell>
          <cell r="B7">
            <v>13500</v>
          </cell>
          <cell r="C7">
            <v>13650</v>
          </cell>
          <cell r="D7">
            <v>150</v>
          </cell>
          <cell r="E7">
            <v>0</v>
          </cell>
          <cell r="F7">
            <v>25000</v>
          </cell>
          <cell r="G7">
            <v>9800</v>
          </cell>
        </row>
        <row r="8">
          <cell r="A8" t="str">
            <v>Bradford</v>
          </cell>
          <cell r="B8">
            <v>2300</v>
          </cell>
          <cell r="C8">
            <v>2800</v>
          </cell>
          <cell r="D8">
            <v>500</v>
          </cell>
          <cell r="E8">
            <v>0</v>
          </cell>
          <cell r="F8">
            <v>2600</v>
          </cell>
          <cell r="G8">
            <v>611</v>
          </cell>
        </row>
        <row r="9">
          <cell r="A9" t="str">
            <v>Brevard</v>
          </cell>
          <cell r="B9">
            <v>57000</v>
          </cell>
          <cell r="C9">
            <v>58700</v>
          </cell>
          <cell r="D9">
            <v>1700</v>
          </cell>
          <cell r="E9">
            <v>0</v>
          </cell>
          <cell r="F9">
            <v>46000</v>
          </cell>
          <cell r="G9">
            <v>6655</v>
          </cell>
        </row>
        <row r="10">
          <cell r="A10" t="str">
            <v>Broward</v>
          </cell>
          <cell r="B10">
            <v>105130</v>
          </cell>
          <cell r="C10">
            <v>111840</v>
          </cell>
          <cell r="D10">
            <v>1120</v>
          </cell>
          <cell r="E10">
            <v>5590</v>
          </cell>
          <cell r="F10">
            <v>61500</v>
          </cell>
          <cell r="G10">
            <v>24720</v>
          </cell>
        </row>
        <row r="11">
          <cell r="A11" t="str">
            <v>Calhoun</v>
          </cell>
          <cell r="B11">
            <v>2400</v>
          </cell>
          <cell r="C11">
            <v>2400</v>
          </cell>
          <cell r="D11">
            <v>0</v>
          </cell>
          <cell r="E11">
            <v>0</v>
          </cell>
          <cell r="F11">
            <v>1410</v>
          </cell>
          <cell r="G11">
            <v>225</v>
          </cell>
        </row>
        <row r="12">
          <cell r="A12" t="str">
            <v>Charlotte</v>
          </cell>
          <cell r="B12">
            <v>11865</v>
          </cell>
          <cell r="C12">
            <v>11965</v>
          </cell>
          <cell r="D12">
            <v>100</v>
          </cell>
          <cell r="E12">
            <v>0</v>
          </cell>
          <cell r="F12">
            <v>20327</v>
          </cell>
          <cell r="G12">
            <v>6000</v>
          </cell>
        </row>
        <row r="13">
          <cell r="A13" t="str">
            <v>Citrus</v>
          </cell>
          <cell r="B13">
            <v>8320</v>
          </cell>
          <cell r="C13">
            <v>8320</v>
          </cell>
          <cell r="D13">
            <v>0</v>
          </cell>
          <cell r="E13">
            <v>0</v>
          </cell>
          <cell r="F13">
            <v>7200</v>
          </cell>
          <cell r="G13">
            <v>1430</v>
          </cell>
        </row>
        <row r="14">
          <cell r="A14" t="str">
            <v>Clay</v>
          </cell>
          <cell r="B14">
            <v>5000</v>
          </cell>
          <cell r="C14">
            <v>5200</v>
          </cell>
          <cell r="D14">
            <v>200</v>
          </cell>
          <cell r="E14">
            <v>0</v>
          </cell>
          <cell r="F14">
            <v>10402</v>
          </cell>
          <cell r="G14">
            <v>4820</v>
          </cell>
        </row>
        <row r="15">
          <cell r="A15" t="str">
            <v>Collier</v>
          </cell>
          <cell r="B15">
            <v>18750</v>
          </cell>
          <cell r="C15">
            <v>20000</v>
          </cell>
          <cell r="D15">
            <v>1250</v>
          </cell>
          <cell r="E15">
            <v>0</v>
          </cell>
          <cell r="F15">
            <v>34931</v>
          </cell>
          <cell r="G15">
            <v>6639</v>
          </cell>
        </row>
        <row r="16">
          <cell r="A16" t="str">
            <v>Columbia</v>
          </cell>
          <cell r="B16">
            <v>3500</v>
          </cell>
          <cell r="C16">
            <v>3600</v>
          </cell>
          <cell r="D16">
            <v>100</v>
          </cell>
          <cell r="E16">
            <v>0</v>
          </cell>
          <cell r="F16">
            <v>10652</v>
          </cell>
          <cell r="G16">
            <v>1100</v>
          </cell>
        </row>
        <row r="17">
          <cell r="A17" t="str">
            <v>Dade</v>
          </cell>
          <cell r="B17">
            <v>68268</v>
          </cell>
          <cell r="C17">
            <v>75851</v>
          </cell>
          <cell r="D17">
            <v>4083</v>
          </cell>
          <cell r="E17">
            <v>3500</v>
          </cell>
          <cell r="F17">
            <v>198661</v>
          </cell>
          <cell r="G17">
            <v>27600</v>
          </cell>
        </row>
        <row r="18">
          <cell r="A18" t="str">
            <v>Desoto</v>
          </cell>
          <cell r="B18">
            <v>2350</v>
          </cell>
          <cell r="C18">
            <v>2500</v>
          </cell>
          <cell r="D18">
            <v>150</v>
          </cell>
          <cell r="E18">
            <v>0</v>
          </cell>
          <cell r="F18">
            <v>4100</v>
          </cell>
          <cell r="G18">
            <v>1550</v>
          </cell>
        </row>
        <row r="19">
          <cell r="A19" t="str">
            <v>Dixie</v>
          </cell>
          <cell r="B19">
            <v>1500</v>
          </cell>
          <cell r="C19">
            <v>1500</v>
          </cell>
          <cell r="D19">
            <v>0</v>
          </cell>
          <cell r="E19">
            <v>0</v>
          </cell>
          <cell r="F19">
            <v>1000</v>
          </cell>
          <cell r="G19">
            <v>215</v>
          </cell>
        </row>
        <row r="20">
          <cell r="A20" t="str">
            <v>Duval</v>
          </cell>
          <cell r="B20">
            <v>57330</v>
          </cell>
          <cell r="C20">
            <v>58680</v>
          </cell>
          <cell r="D20">
            <v>1350</v>
          </cell>
          <cell r="E20">
            <v>0</v>
          </cell>
          <cell r="F20">
            <v>63485</v>
          </cell>
          <cell r="G20">
            <v>10263</v>
          </cell>
        </row>
        <row r="21">
          <cell r="A21" t="str">
            <v>Escambia</v>
          </cell>
          <cell r="B21">
            <v>26730</v>
          </cell>
          <cell r="C21">
            <v>29047</v>
          </cell>
          <cell r="D21">
            <v>2317</v>
          </cell>
          <cell r="E21">
            <v>0</v>
          </cell>
          <cell r="F21">
            <v>30562</v>
          </cell>
          <cell r="G21">
            <v>9912</v>
          </cell>
        </row>
        <row r="22">
          <cell r="A22" t="str">
            <v>Flagler</v>
          </cell>
          <cell r="B22">
            <v>5000</v>
          </cell>
          <cell r="C22">
            <v>5500</v>
          </cell>
          <cell r="D22">
            <v>500</v>
          </cell>
          <cell r="E22">
            <v>0</v>
          </cell>
          <cell r="F22">
            <v>9500</v>
          </cell>
          <cell r="G22">
            <v>700</v>
          </cell>
        </row>
        <row r="23">
          <cell r="A23" t="str">
            <v>Franklin</v>
          </cell>
          <cell r="B23">
            <v>1125</v>
          </cell>
          <cell r="C23">
            <v>1125</v>
          </cell>
          <cell r="D23">
            <v>0</v>
          </cell>
          <cell r="E23">
            <v>0</v>
          </cell>
          <cell r="F23">
            <v>2400</v>
          </cell>
          <cell r="G23">
            <v>1300</v>
          </cell>
        </row>
        <row r="24">
          <cell r="A24" t="str">
            <v>Gadsden</v>
          </cell>
          <cell r="B24">
            <v>3060</v>
          </cell>
          <cell r="C24">
            <v>3100</v>
          </cell>
          <cell r="D24">
            <v>40</v>
          </cell>
          <cell r="E24">
            <v>0</v>
          </cell>
          <cell r="F24">
            <v>8284</v>
          </cell>
          <cell r="G24">
            <v>2383</v>
          </cell>
        </row>
        <row r="25">
          <cell r="A25" t="str">
            <v>Gilchrist</v>
          </cell>
          <cell r="B25">
            <v>3720</v>
          </cell>
          <cell r="C25">
            <v>4568</v>
          </cell>
          <cell r="D25">
            <v>848</v>
          </cell>
          <cell r="E25">
            <v>0</v>
          </cell>
          <cell r="F25">
            <v>600</v>
          </cell>
          <cell r="G25">
            <v>480</v>
          </cell>
        </row>
        <row r="26">
          <cell r="A26" t="str">
            <v>Glades</v>
          </cell>
          <cell r="B26">
            <v>450</v>
          </cell>
          <cell r="C26">
            <v>450</v>
          </cell>
          <cell r="D26">
            <v>0</v>
          </cell>
          <cell r="E26">
            <v>0</v>
          </cell>
          <cell r="F26">
            <v>4000</v>
          </cell>
          <cell r="G26">
            <v>425</v>
          </cell>
        </row>
        <row r="27">
          <cell r="A27" t="str">
            <v>Gulf</v>
          </cell>
          <cell r="B27">
            <v>1035</v>
          </cell>
          <cell r="C27">
            <v>1035</v>
          </cell>
          <cell r="D27">
            <v>0</v>
          </cell>
          <cell r="E27">
            <v>0</v>
          </cell>
          <cell r="F27">
            <v>4463</v>
          </cell>
          <cell r="G27">
            <v>1000</v>
          </cell>
        </row>
        <row r="28">
          <cell r="A28" t="str">
            <v>Hamilton</v>
          </cell>
          <cell r="B28">
            <v>1200</v>
          </cell>
          <cell r="C28">
            <v>1200</v>
          </cell>
          <cell r="D28">
            <v>0</v>
          </cell>
          <cell r="E28">
            <v>0</v>
          </cell>
          <cell r="F28">
            <v>1003</v>
          </cell>
          <cell r="G28">
            <v>1465</v>
          </cell>
        </row>
        <row r="29">
          <cell r="A29" t="str">
            <v>Hardee</v>
          </cell>
          <cell r="B29">
            <v>1365</v>
          </cell>
          <cell r="C29">
            <v>1445</v>
          </cell>
          <cell r="D29">
            <v>80</v>
          </cell>
          <cell r="E29">
            <v>0</v>
          </cell>
          <cell r="F29">
            <v>6500</v>
          </cell>
          <cell r="G29">
            <v>730</v>
          </cell>
        </row>
        <row r="30">
          <cell r="A30" t="str">
            <v>Hendry</v>
          </cell>
          <cell r="B30">
            <v>4875</v>
          </cell>
          <cell r="C30">
            <v>4875</v>
          </cell>
          <cell r="D30">
            <v>0</v>
          </cell>
          <cell r="E30">
            <v>0</v>
          </cell>
          <cell r="F30">
            <v>9000</v>
          </cell>
          <cell r="G30">
            <v>2125</v>
          </cell>
        </row>
        <row r="31">
          <cell r="A31" t="str">
            <v>Hernando</v>
          </cell>
          <cell r="B31">
            <v>8800</v>
          </cell>
          <cell r="C31">
            <v>10400</v>
          </cell>
          <cell r="D31">
            <v>1600</v>
          </cell>
          <cell r="E31">
            <v>0</v>
          </cell>
          <cell r="F31">
            <v>23750</v>
          </cell>
          <cell r="G31">
            <v>8200</v>
          </cell>
        </row>
        <row r="32">
          <cell r="A32" t="str">
            <v>Highlands</v>
          </cell>
          <cell r="B32">
            <v>4800</v>
          </cell>
          <cell r="C32">
            <v>5550</v>
          </cell>
          <cell r="D32">
            <v>750</v>
          </cell>
          <cell r="E32">
            <v>0</v>
          </cell>
          <cell r="F32">
            <v>14000</v>
          </cell>
          <cell r="G32">
            <v>2060</v>
          </cell>
        </row>
        <row r="33">
          <cell r="A33" t="str">
            <v>Hillsborough</v>
          </cell>
          <cell r="B33">
            <v>69690</v>
          </cell>
          <cell r="C33">
            <v>70920</v>
          </cell>
          <cell r="D33">
            <v>0</v>
          </cell>
          <cell r="E33">
            <v>1230</v>
          </cell>
          <cell r="F33">
            <v>45535</v>
          </cell>
          <cell r="G33">
            <v>16650</v>
          </cell>
        </row>
        <row r="34">
          <cell r="A34" t="str">
            <v>Holmes</v>
          </cell>
          <cell r="B34">
            <v>2370</v>
          </cell>
          <cell r="C34">
            <v>2370</v>
          </cell>
          <cell r="D34">
            <v>0</v>
          </cell>
          <cell r="E34">
            <v>0</v>
          </cell>
          <cell r="F34">
            <v>2486</v>
          </cell>
          <cell r="G34">
            <v>300</v>
          </cell>
        </row>
        <row r="35">
          <cell r="A35" t="str">
            <v>Indian River</v>
          </cell>
          <cell r="B35">
            <v>7710</v>
          </cell>
          <cell r="C35">
            <v>7810</v>
          </cell>
          <cell r="D35">
            <v>100</v>
          </cell>
          <cell r="E35">
            <v>0</v>
          </cell>
          <cell r="F35">
            <v>20816</v>
          </cell>
          <cell r="G35">
            <v>3823</v>
          </cell>
        </row>
        <row r="36">
          <cell r="A36" t="str">
            <v>Jackson</v>
          </cell>
          <cell r="B36">
            <v>2700</v>
          </cell>
          <cell r="C36">
            <v>2700</v>
          </cell>
          <cell r="D36">
            <v>0</v>
          </cell>
          <cell r="E36">
            <v>0</v>
          </cell>
          <cell r="F36">
            <v>5100</v>
          </cell>
          <cell r="G36">
            <v>500</v>
          </cell>
        </row>
        <row r="37">
          <cell r="A37" t="str">
            <v>Jefferson</v>
          </cell>
          <cell r="B37">
            <v>1830</v>
          </cell>
          <cell r="C37">
            <v>2030</v>
          </cell>
          <cell r="D37">
            <v>200</v>
          </cell>
          <cell r="E37">
            <v>0</v>
          </cell>
          <cell r="F37">
            <v>7455</v>
          </cell>
          <cell r="G37">
            <v>46</v>
          </cell>
        </row>
        <row r="38">
          <cell r="A38" t="str">
            <v>Lafayette</v>
          </cell>
          <cell r="B38">
            <v>510</v>
          </cell>
          <cell r="C38">
            <v>510</v>
          </cell>
          <cell r="D38">
            <v>0</v>
          </cell>
          <cell r="E38">
            <v>0</v>
          </cell>
          <cell r="F38">
            <v>2000</v>
          </cell>
          <cell r="G38">
            <v>140</v>
          </cell>
        </row>
        <row r="39">
          <cell r="A39" t="str">
            <v>Lake</v>
          </cell>
          <cell r="B39">
            <v>8750</v>
          </cell>
          <cell r="C39">
            <v>9875</v>
          </cell>
          <cell r="D39">
            <v>1125</v>
          </cell>
          <cell r="E39">
            <v>0</v>
          </cell>
          <cell r="F39">
            <v>40097</v>
          </cell>
          <cell r="G39">
            <v>7469</v>
          </cell>
        </row>
        <row r="40">
          <cell r="A40" t="str">
            <v>Lee</v>
          </cell>
          <cell r="B40">
            <v>7020</v>
          </cell>
          <cell r="C40">
            <v>7745</v>
          </cell>
          <cell r="D40">
            <v>725</v>
          </cell>
          <cell r="E40">
            <v>0</v>
          </cell>
          <cell r="F40">
            <v>26667</v>
          </cell>
          <cell r="G40">
            <v>27700</v>
          </cell>
        </row>
        <row r="41">
          <cell r="A41" t="str">
            <v>Leon</v>
          </cell>
          <cell r="B41">
            <v>23000</v>
          </cell>
          <cell r="C41">
            <v>23500</v>
          </cell>
          <cell r="D41">
            <v>500</v>
          </cell>
          <cell r="E41">
            <v>0</v>
          </cell>
          <cell r="F41">
            <v>28000</v>
          </cell>
          <cell r="G41">
            <v>0</v>
          </cell>
        </row>
        <row r="42">
          <cell r="A42" t="str">
            <v>Levy</v>
          </cell>
          <cell r="B42">
            <v>730</v>
          </cell>
          <cell r="C42">
            <v>780</v>
          </cell>
          <cell r="D42">
            <v>50</v>
          </cell>
          <cell r="E42">
            <v>0</v>
          </cell>
          <cell r="F42">
            <v>13920</v>
          </cell>
          <cell r="G42">
            <v>587</v>
          </cell>
        </row>
        <row r="43">
          <cell r="A43" t="str">
            <v>Liberty</v>
          </cell>
          <cell r="B43">
            <v>2115</v>
          </cell>
          <cell r="C43">
            <v>2139</v>
          </cell>
          <cell r="D43">
            <v>24</v>
          </cell>
          <cell r="E43">
            <v>0</v>
          </cell>
          <cell r="F43">
            <v>1218</v>
          </cell>
          <cell r="G43">
            <v>615</v>
          </cell>
        </row>
        <row r="44">
          <cell r="A44" t="str">
            <v>Madison</v>
          </cell>
          <cell r="B44">
            <v>7020</v>
          </cell>
          <cell r="C44">
            <v>7020</v>
          </cell>
          <cell r="D44">
            <v>0</v>
          </cell>
          <cell r="E44">
            <v>0</v>
          </cell>
          <cell r="F44">
            <v>970</v>
          </cell>
          <cell r="G44">
            <v>520</v>
          </cell>
        </row>
        <row r="45">
          <cell r="A45" t="str">
            <v>Manatee</v>
          </cell>
          <cell r="B45">
            <v>22335</v>
          </cell>
          <cell r="C45">
            <v>23012</v>
          </cell>
          <cell r="D45">
            <v>677</v>
          </cell>
          <cell r="E45">
            <v>0</v>
          </cell>
          <cell r="F45">
            <v>13817</v>
          </cell>
          <cell r="G45">
            <v>259</v>
          </cell>
        </row>
        <row r="46">
          <cell r="A46" t="str">
            <v>Marion</v>
          </cell>
          <cell r="B46">
            <v>19845</v>
          </cell>
          <cell r="C46">
            <v>22671</v>
          </cell>
          <cell r="D46">
            <v>2826</v>
          </cell>
          <cell r="E46">
            <v>0</v>
          </cell>
          <cell r="F46">
            <v>25944</v>
          </cell>
          <cell r="G46">
            <v>5519</v>
          </cell>
        </row>
        <row r="47">
          <cell r="A47" t="str">
            <v>Martin</v>
          </cell>
          <cell r="B47">
            <v>8194</v>
          </cell>
          <cell r="C47">
            <v>8439</v>
          </cell>
          <cell r="D47">
            <v>245</v>
          </cell>
          <cell r="E47">
            <v>0</v>
          </cell>
          <cell r="F47">
            <v>22449</v>
          </cell>
          <cell r="G47">
            <v>3537</v>
          </cell>
        </row>
        <row r="48">
          <cell r="A48" t="str">
            <v>Monroe</v>
          </cell>
          <cell r="B48">
            <v>13740</v>
          </cell>
          <cell r="C48">
            <v>14193</v>
          </cell>
          <cell r="D48">
            <v>453</v>
          </cell>
          <cell r="E48">
            <v>0</v>
          </cell>
          <cell r="F48">
            <v>23063</v>
          </cell>
          <cell r="G48">
            <v>7677</v>
          </cell>
        </row>
        <row r="49">
          <cell r="A49" t="str">
            <v>Nassau</v>
          </cell>
          <cell r="B49">
            <v>3750</v>
          </cell>
          <cell r="C49">
            <v>3750</v>
          </cell>
          <cell r="D49">
            <v>0</v>
          </cell>
          <cell r="E49">
            <v>0</v>
          </cell>
          <cell r="F49">
            <v>8899</v>
          </cell>
          <cell r="G49">
            <v>2725</v>
          </cell>
        </row>
        <row r="50">
          <cell r="A50" t="str">
            <v>Okaloosa</v>
          </cell>
          <cell r="B50">
            <v>9105</v>
          </cell>
          <cell r="C50">
            <v>9466</v>
          </cell>
          <cell r="D50">
            <v>361</v>
          </cell>
          <cell r="E50">
            <v>0</v>
          </cell>
          <cell r="F50">
            <v>12640</v>
          </cell>
          <cell r="G50">
            <v>1057</v>
          </cell>
        </row>
        <row r="51">
          <cell r="A51" t="str">
            <v>Okeechobee</v>
          </cell>
          <cell r="B51">
            <v>2805</v>
          </cell>
          <cell r="C51">
            <v>2805</v>
          </cell>
          <cell r="D51">
            <v>0</v>
          </cell>
          <cell r="E51">
            <v>0</v>
          </cell>
          <cell r="F51">
            <v>11108</v>
          </cell>
          <cell r="G51">
            <v>1767</v>
          </cell>
        </row>
        <row r="52">
          <cell r="A52" t="str">
            <v>Orange</v>
          </cell>
          <cell r="B52">
            <v>90000</v>
          </cell>
          <cell r="C52">
            <v>100000</v>
          </cell>
          <cell r="D52">
            <v>10000</v>
          </cell>
          <cell r="E52">
            <v>0</v>
          </cell>
          <cell r="F52">
            <v>54761</v>
          </cell>
          <cell r="G52">
            <v>34294</v>
          </cell>
        </row>
        <row r="53">
          <cell r="A53" t="str">
            <v>Osceola</v>
          </cell>
          <cell r="B53">
            <v>24510</v>
          </cell>
          <cell r="C53">
            <v>24937</v>
          </cell>
          <cell r="D53">
            <v>427</v>
          </cell>
          <cell r="E53">
            <v>0</v>
          </cell>
          <cell r="F53">
            <v>42416</v>
          </cell>
          <cell r="G53">
            <v>0</v>
          </cell>
        </row>
        <row r="54">
          <cell r="A54" t="str">
            <v>Palm Beach</v>
          </cell>
          <cell r="B54">
            <v>109425</v>
          </cell>
          <cell r="C54">
            <v>115450</v>
          </cell>
          <cell r="D54">
            <v>6025</v>
          </cell>
          <cell r="E54">
            <v>0</v>
          </cell>
          <cell r="F54">
            <v>58683</v>
          </cell>
          <cell r="G54">
            <v>30675</v>
          </cell>
        </row>
        <row r="55">
          <cell r="A55" t="str">
            <v>Pasco</v>
          </cell>
          <cell r="B55">
            <v>3795</v>
          </cell>
          <cell r="C55">
            <v>3863</v>
          </cell>
          <cell r="D55">
            <v>68</v>
          </cell>
          <cell r="E55">
            <v>0</v>
          </cell>
          <cell r="F55">
            <v>23559</v>
          </cell>
          <cell r="G55">
            <v>3325</v>
          </cell>
        </row>
        <row r="56">
          <cell r="A56" t="str">
            <v>Pinellas</v>
          </cell>
          <cell r="B56">
            <v>77650</v>
          </cell>
          <cell r="C56">
            <v>80503</v>
          </cell>
          <cell r="D56">
            <v>2853</v>
          </cell>
          <cell r="E56">
            <v>0</v>
          </cell>
          <cell r="F56">
            <v>70722</v>
          </cell>
          <cell r="G56">
            <v>14485</v>
          </cell>
        </row>
        <row r="57">
          <cell r="A57" t="str">
            <v>Polk</v>
          </cell>
          <cell r="B57">
            <v>45000</v>
          </cell>
          <cell r="C57">
            <v>46800</v>
          </cell>
          <cell r="D57">
            <v>1800</v>
          </cell>
          <cell r="E57">
            <v>0</v>
          </cell>
          <cell r="F57">
            <v>22500</v>
          </cell>
          <cell r="G57">
            <v>16300</v>
          </cell>
        </row>
        <row r="58">
          <cell r="A58" t="str">
            <v>Putnam</v>
          </cell>
          <cell r="B58">
            <v>5600</v>
          </cell>
          <cell r="C58">
            <v>7800</v>
          </cell>
          <cell r="D58">
            <v>2200</v>
          </cell>
          <cell r="E58">
            <v>0</v>
          </cell>
          <cell r="F58">
            <v>17000</v>
          </cell>
          <cell r="G58">
            <v>2800</v>
          </cell>
        </row>
        <row r="59">
          <cell r="A59" t="str">
            <v>Santa Rosa</v>
          </cell>
          <cell r="B59">
            <v>10450</v>
          </cell>
          <cell r="C59">
            <v>11760</v>
          </cell>
          <cell r="D59">
            <v>1310</v>
          </cell>
          <cell r="E59">
            <v>0</v>
          </cell>
          <cell r="F59">
            <v>23497</v>
          </cell>
          <cell r="G59">
            <v>3573</v>
          </cell>
        </row>
        <row r="60">
          <cell r="A60" t="str">
            <v>Sarasota</v>
          </cell>
          <cell r="B60">
            <v>36442</v>
          </cell>
          <cell r="C60">
            <v>36656</v>
          </cell>
          <cell r="D60">
            <v>214</v>
          </cell>
          <cell r="E60">
            <v>0</v>
          </cell>
          <cell r="F60">
            <v>37182</v>
          </cell>
          <cell r="G60">
            <v>14090</v>
          </cell>
        </row>
        <row r="61">
          <cell r="A61" t="str">
            <v>Seminole</v>
          </cell>
          <cell r="B61">
            <v>22180</v>
          </cell>
          <cell r="C61">
            <v>22414</v>
          </cell>
          <cell r="D61">
            <v>234</v>
          </cell>
          <cell r="E61">
            <v>0</v>
          </cell>
          <cell r="F61">
            <v>30223</v>
          </cell>
          <cell r="G61">
            <v>6594</v>
          </cell>
        </row>
        <row r="62">
          <cell r="A62" t="str">
            <v>St. Johns</v>
          </cell>
          <cell r="B62">
            <v>4500</v>
          </cell>
          <cell r="C62">
            <v>4950</v>
          </cell>
          <cell r="D62">
            <v>450</v>
          </cell>
          <cell r="E62">
            <v>0</v>
          </cell>
          <cell r="F62">
            <v>14000</v>
          </cell>
          <cell r="G62">
            <v>750</v>
          </cell>
        </row>
        <row r="63">
          <cell r="A63" t="str">
            <v>St. Lucie</v>
          </cell>
          <cell r="B63">
            <v>31250</v>
          </cell>
          <cell r="C63">
            <v>31900</v>
          </cell>
          <cell r="D63">
            <v>650</v>
          </cell>
          <cell r="E63">
            <v>0</v>
          </cell>
          <cell r="F63">
            <v>31800</v>
          </cell>
          <cell r="G63">
            <v>14275</v>
          </cell>
        </row>
        <row r="64">
          <cell r="A64" t="str">
            <v>Sumter</v>
          </cell>
          <cell r="B64">
            <v>3200</v>
          </cell>
          <cell r="C64">
            <v>3725</v>
          </cell>
          <cell r="D64">
            <v>525</v>
          </cell>
          <cell r="E64">
            <v>0</v>
          </cell>
          <cell r="F64">
            <v>12000</v>
          </cell>
          <cell r="G64">
            <v>400</v>
          </cell>
        </row>
        <row r="65">
          <cell r="A65" t="str">
            <v>Suwannee</v>
          </cell>
          <cell r="B65">
            <v>825</v>
          </cell>
          <cell r="C65">
            <v>825</v>
          </cell>
          <cell r="D65">
            <v>0</v>
          </cell>
          <cell r="E65">
            <v>0</v>
          </cell>
          <cell r="F65">
            <v>3882</v>
          </cell>
          <cell r="G65">
            <v>555</v>
          </cell>
        </row>
        <row r="66">
          <cell r="A66" t="str">
            <v>Taylor</v>
          </cell>
          <cell r="B66">
            <v>1050</v>
          </cell>
          <cell r="C66">
            <v>1100</v>
          </cell>
          <cell r="D66">
            <v>50</v>
          </cell>
          <cell r="E66">
            <v>0</v>
          </cell>
          <cell r="F66">
            <v>1290</v>
          </cell>
          <cell r="G66">
            <v>588</v>
          </cell>
        </row>
        <row r="67">
          <cell r="A67" t="str">
            <v>Union</v>
          </cell>
          <cell r="B67">
            <v>739.87</v>
          </cell>
          <cell r="C67">
            <v>0</v>
          </cell>
          <cell r="D67">
            <v>140.91999999999999</v>
          </cell>
          <cell r="E67">
            <v>0</v>
          </cell>
          <cell r="F67">
            <v>786.84</v>
          </cell>
          <cell r="G67">
            <v>132.1</v>
          </cell>
        </row>
        <row r="68">
          <cell r="A68" t="str">
            <v>Volusia</v>
          </cell>
          <cell r="B68">
            <v>35000</v>
          </cell>
          <cell r="C68">
            <v>35450</v>
          </cell>
          <cell r="D68">
            <v>450</v>
          </cell>
          <cell r="E68">
            <v>0</v>
          </cell>
          <cell r="F68">
            <v>49500</v>
          </cell>
          <cell r="G68">
            <v>150</v>
          </cell>
        </row>
        <row r="69">
          <cell r="A69" t="str">
            <v>Wakulla</v>
          </cell>
          <cell r="B69">
            <v>150</v>
          </cell>
          <cell r="C69">
            <v>150</v>
          </cell>
          <cell r="D69">
            <v>0</v>
          </cell>
          <cell r="E69">
            <v>0</v>
          </cell>
          <cell r="F69">
            <v>9427</v>
          </cell>
          <cell r="G69">
            <v>132</v>
          </cell>
        </row>
        <row r="70">
          <cell r="A70" t="str">
            <v>Walton</v>
          </cell>
          <cell r="B70">
            <v>1500</v>
          </cell>
          <cell r="C70">
            <v>1900</v>
          </cell>
          <cell r="D70">
            <v>400</v>
          </cell>
          <cell r="E70">
            <v>0</v>
          </cell>
          <cell r="F70">
            <v>10000</v>
          </cell>
          <cell r="G70">
            <v>1500</v>
          </cell>
        </row>
        <row r="71">
          <cell r="A71" t="str">
            <v>Washington</v>
          </cell>
          <cell r="B71">
            <v>2355</v>
          </cell>
          <cell r="C71">
            <v>2355</v>
          </cell>
          <cell r="D71">
            <v>0</v>
          </cell>
          <cell r="E71">
            <v>0</v>
          </cell>
          <cell r="F71">
            <v>7170</v>
          </cell>
          <cell r="G71">
            <v>1014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ReportInfo"/>
      <sheetName val="LookupData"/>
      <sheetName val="EstimatingTool"/>
    </sheetNames>
    <sheetDataSet>
      <sheetData sheetId="0">
        <row r="52">
          <cell r="F52">
            <v>0</v>
          </cell>
        </row>
        <row r="55">
          <cell r="F55">
            <v>6563.0899999999965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 Revenue Summary"/>
      <sheetName val="Allocation Summary "/>
      <sheetName val="Issue Requests "/>
      <sheetName val="Jury Shortfall Calc. "/>
      <sheetName val="New Judges Formula  "/>
      <sheetName val="New Judges Formula  (2)"/>
      <sheetName val="Requests Data "/>
      <sheetName val="BUDGET CALCULATION "/>
      <sheetName val="FRS Calc.   "/>
      <sheetName val="&quot;Glitch&quot; Fix Alloc.  "/>
      <sheetName val="New Judges Calc. (1 FTE per)  "/>
      <sheetName val="New Judges Calc. (1 FTE per (2)"/>
      <sheetName val="3% S&amp;B Increase"/>
      <sheetName val="Jury Allocation Calc. "/>
      <sheetName val="WWM Applied to $518.8m "/>
      <sheetName val="WWM Applied to $474.4m "/>
      <sheetName val="WWM Applied to $474.4m (by PG)"/>
      <sheetName val="Unspent Budgeted Funds (22-23)"/>
      <sheetName val="Cumulative Excess (22-23) "/>
      <sheetName val="Allocation Options "/>
      <sheetName val="Revenue Projections "/>
      <sheetName val="Peer Group Comparison "/>
      <sheetName val="Reduction Exercise "/>
      <sheetName val="WWM by PG ($8m)"/>
      <sheetName val="BASE BUDGET (print)"/>
    </sheetNames>
    <sheetDataSet>
      <sheetData sheetId="0" refreshError="1"/>
      <sheetData sheetId="1" refreshError="1"/>
      <sheetData sheetId="2">
        <row r="2">
          <cell r="R2">
            <v>68431.665701244201</v>
          </cell>
        </row>
        <row r="3">
          <cell r="R3">
            <v>32760.603173776712</v>
          </cell>
        </row>
        <row r="4">
          <cell r="R4">
            <v>44465.255323878198</v>
          </cell>
        </row>
        <row r="5">
          <cell r="R5">
            <v>84038.873809656769</v>
          </cell>
        </row>
        <row r="6">
          <cell r="R6">
            <v>129352.50950982077</v>
          </cell>
        </row>
        <row r="7">
          <cell r="R7">
            <v>56303.503418732842</v>
          </cell>
        </row>
        <row r="8">
          <cell r="R8">
            <v>35482.889931435624</v>
          </cell>
        </row>
        <row r="9">
          <cell r="R9">
            <v>27471.019311396609</v>
          </cell>
        </row>
        <row r="10">
          <cell r="R10">
            <v>122335.12927033901</v>
          </cell>
        </row>
        <row r="11">
          <cell r="R11">
            <v>60273.537309437808</v>
          </cell>
        </row>
        <row r="12">
          <cell r="R12">
            <v>60018.712473205589</v>
          </cell>
        </row>
        <row r="13">
          <cell r="R13">
            <v>58880.801189398415</v>
          </cell>
        </row>
        <row r="14">
          <cell r="R14">
            <v>57024.826369481205</v>
          </cell>
        </row>
        <row r="15">
          <cell r="R15">
            <v>164086.24351526122</v>
          </cell>
        </row>
        <row r="16">
          <cell r="R16">
            <v>171982.84299552653</v>
          </cell>
        </row>
        <row r="17">
          <cell r="R17">
            <v>69905.535706243478</v>
          </cell>
        </row>
        <row r="18">
          <cell r="R18">
            <v>74564.591655127457</v>
          </cell>
        </row>
        <row r="19">
          <cell r="R19">
            <v>199492.45584156679</v>
          </cell>
        </row>
        <row r="20">
          <cell r="R20">
            <v>109617.71242906622</v>
          </cell>
        </row>
        <row r="21">
          <cell r="R21">
            <v>175040.24312161998</v>
          </cell>
        </row>
        <row r="22">
          <cell r="R22">
            <v>67326.456542467495</v>
          </cell>
        </row>
        <row r="23">
          <cell r="R23">
            <v>216873.48685095515</v>
          </cell>
        </row>
        <row r="24">
          <cell r="R24">
            <v>43860.895354682209</v>
          </cell>
        </row>
        <row r="25">
          <cell r="R25">
            <v>455162.08178940671</v>
          </cell>
        </row>
        <row r="26">
          <cell r="R26">
            <v>167879.23517102137</v>
          </cell>
        </row>
        <row r="27">
          <cell r="R27">
            <v>285359.16296388896</v>
          </cell>
        </row>
        <row r="28">
          <cell r="R28">
            <v>2185924.5461045066</v>
          </cell>
        </row>
        <row r="29">
          <cell r="R29">
            <v>246520.14634371971</v>
          </cell>
        </row>
        <row r="30">
          <cell r="R30">
            <v>643007.13117919187</v>
          </cell>
        </row>
        <row r="31">
          <cell r="R31">
            <v>447052.03406796406</v>
          </cell>
        </row>
        <row r="32">
          <cell r="R32">
            <v>105064.14292295664</v>
          </cell>
        </row>
        <row r="33">
          <cell r="R33">
            <v>317313.48862623854</v>
          </cell>
        </row>
        <row r="34">
          <cell r="R34">
            <v>252197.37119776226</v>
          </cell>
        </row>
        <row r="35">
          <cell r="R35">
            <v>163431.50945437653</v>
          </cell>
        </row>
        <row r="36">
          <cell r="R36">
            <v>518598.21407511417</v>
          </cell>
        </row>
        <row r="37">
          <cell r="R37">
            <v>252405.46713636135</v>
          </cell>
        </row>
        <row r="38">
          <cell r="R38">
            <v>463066.56426182692</v>
          </cell>
        </row>
        <row r="39">
          <cell r="R39">
            <v>301831.55732794112</v>
          </cell>
        </row>
        <row r="40">
          <cell r="R40">
            <v>300310.84408496961</v>
          </cell>
        </row>
        <row r="41">
          <cell r="R41">
            <v>1964646.6336390355</v>
          </cell>
        </row>
        <row r="42">
          <cell r="R42">
            <v>1537773.4089730699</v>
          </cell>
        </row>
        <row r="43">
          <cell r="R43">
            <v>523088.36298549088</v>
          </cell>
        </row>
        <row r="44">
          <cell r="R44">
            <v>1622166.7990298376</v>
          </cell>
        </row>
        <row r="45">
          <cell r="R45">
            <v>541714.17233044992</v>
          </cell>
        </row>
        <row r="46">
          <cell r="R46">
            <v>878232.25988431566</v>
          </cell>
        </row>
        <row r="47">
          <cell r="R47">
            <v>395477.60251734417</v>
          </cell>
        </row>
        <row r="48">
          <cell r="R48">
            <v>279779.69254598516</v>
          </cell>
        </row>
        <row r="49">
          <cell r="R49">
            <v>1337673.7266639657</v>
          </cell>
        </row>
        <row r="50">
          <cell r="R50">
            <v>3309093.4736074004</v>
          </cell>
        </row>
        <row r="51">
          <cell r="R51">
            <v>2163892.2008774863</v>
          </cell>
        </row>
        <row r="52">
          <cell r="R52">
            <v>880545.40421152418</v>
          </cell>
        </row>
        <row r="53">
          <cell r="R53">
            <v>653878.50870223111</v>
          </cell>
        </row>
        <row r="54">
          <cell r="R54">
            <v>817706.59417165699</v>
          </cell>
        </row>
        <row r="55">
          <cell r="R55">
            <v>611864.85608921188</v>
          </cell>
        </row>
        <row r="56">
          <cell r="R56">
            <v>6169533.920553498</v>
          </cell>
        </row>
        <row r="57">
          <cell r="R57">
            <v>825540.1449361461</v>
          </cell>
        </row>
        <row r="58">
          <cell r="R58">
            <v>1123238.1308128424</v>
          </cell>
        </row>
        <row r="59">
          <cell r="R59">
            <v>1119217.4237809798</v>
          </cell>
        </row>
        <row r="60">
          <cell r="R60">
            <v>4863659.7189835571</v>
          </cell>
        </row>
        <row r="61">
          <cell r="R61">
            <v>3254920.8771004034</v>
          </cell>
        </row>
        <row r="62">
          <cell r="R62">
            <v>1255831.3260806783</v>
          </cell>
        </row>
        <row r="63">
          <cell r="R63">
            <v>4422374.6714102365</v>
          </cell>
        </row>
        <row r="64">
          <cell r="R64">
            <v>5538458.503919825</v>
          </cell>
        </row>
        <row r="65">
          <cell r="R65">
            <v>6295638.9172728602</v>
          </cell>
        </row>
        <row r="66">
          <cell r="R66">
            <v>13411511.266760454</v>
          </cell>
        </row>
        <row r="67">
          <cell r="R67">
            <v>11781568.311953619</v>
          </cell>
        </row>
        <row r="68">
          <cell r="R68">
            <v>1964663.5338331796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D389-D4C2-4A35-9B64-B4E72753087D}">
  <sheetPr>
    <pageSetUpPr fitToPage="1"/>
  </sheetPr>
  <dimension ref="A1:C28"/>
  <sheetViews>
    <sheetView tabSelected="1" zoomScaleNormal="100" workbookViewId="0">
      <selection activeCell="A24" sqref="A24"/>
    </sheetView>
  </sheetViews>
  <sheetFormatPr defaultRowHeight="21" x14ac:dyDescent="0.35"/>
  <cols>
    <col min="1" max="1" width="88.28515625" style="1" customWidth="1"/>
    <col min="2" max="2" width="28" style="1" customWidth="1"/>
    <col min="3" max="3" width="3.85546875" style="1" customWidth="1"/>
    <col min="4" max="16384" width="9.140625" style="1"/>
  </cols>
  <sheetData>
    <row r="1" spans="1:3" x14ac:dyDescent="0.35">
      <c r="A1" s="470" t="s">
        <v>235</v>
      </c>
      <c r="B1" s="470"/>
    </row>
    <row r="2" spans="1:3" ht="37.5" customHeight="1" x14ac:dyDescent="0.35"/>
    <row r="3" spans="1:3" x14ac:dyDescent="0.35">
      <c r="A3" s="1" t="s">
        <v>245</v>
      </c>
      <c r="B3" s="323">
        <v>494053196</v>
      </c>
    </row>
    <row r="4" spans="1:3" x14ac:dyDescent="0.35">
      <c r="A4" s="1" t="s">
        <v>236</v>
      </c>
      <c r="B4" s="323">
        <v>14209685</v>
      </c>
    </row>
    <row r="5" spans="1:3" ht="21" customHeight="1" x14ac:dyDescent="0.35">
      <c r="A5" s="1" t="s">
        <v>237</v>
      </c>
      <c r="B5" s="325">
        <v>-1420969</v>
      </c>
    </row>
    <row r="6" spans="1:3" ht="21.75" thickBot="1" x14ac:dyDescent="0.4">
      <c r="A6" s="1" t="s">
        <v>238</v>
      </c>
      <c r="B6" s="323">
        <v>11939829</v>
      </c>
      <c r="C6" s="326"/>
    </row>
    <row r="7" spans="1:3" ht="21.75" thickTop="1" x14ac:dyDescent="0.35">
      <c r="B7" s="327">
        <f>SUM(B3:B6)</f>
        <v>518781741</v>
      </c>
      <c r="C7" s="328"/>
    </row>
    <row r="8" spans="1:3" x14ac:dyDescent="0.35">
      <c r="B8" s="329"/>
      <c r="C8" s="328"/>
    </row>
    <row r="9" spans="1:3" ht="21.75" thickBot="1" x14ac:dyDescent="0.4">
      <c r="A9" s="1" t="s">
        <v>239</v>
      </c>
      <c r="B9" s="330">
        <v>11700000</v>
      </c>
      <c r="C9" s="328"/>
    </row>
    <row r="10" spans="1:3" ht="21.75" thickTop="1" x14ac:dyDescent="0.35">
      <c r="A10" s="331" t="s">
        <v>240</v>
      </c>
      <c r="B10" s="327">
        <f>SUM(B7:B9)</f>
        <v>530481741</v>
      </c>
      <c r="C10" s="328"/>
    </row>
    <row r="11" spans="1:3" x14ac:dyDescent="0.35">
      <c r="B11" s="329"/>
      <c r="C11" s="328"/>
    </row>
    <row r="12" spans="1:3" x14ac:dyDescent="0.35">
      <c r="B12" s="330"/>
      <c r="C12" s="328"/>
    </row>
    <row r="13" spans="1:3" x14ac:dyDescent="0.35">
      <c r="B13" s="330"/>
    </row>
    <row r="14" spans="1:3" x14ac:dyDescent="0.35">
      <c r="A14" s="1" t="s">
        <v>241</v>
      </c>
      <c r="B14" s="323">
        <v>474436049.49055099</v>
      </c>
    </row>
    <row r="15" spans="1:3" ht="12" customHeight="1" x14ac:dyDescent="0.35">
      <c r="B15" s="323"/>
    </row>
    <row r="16" spans="1:3" x14ac:dyDescent="0.35">
      <c r="A16" s="332" t="s">
        <v>242</v>
      </c>
      <c r="B16" s="324">
        <f>B7-B14</f>
        <v>44345691.509449005</v>
      </c>
    </row>
    <row r="17" spans="1:2" x14ac:dyDescent="0.35">
      <c r="B17" s="333">
        <f>B16/B14</f>
        <v>9.3470324519115633E-2</v>
      </c>
    </row>
    <row r="18" spans="1:2" x14ac:dyDescent="0.35">
      <c r="B18" s="333"/>
    </row>
    <row r="19" spans="1:2" x14ac:dyDescent="0.35">
      <c r="B19" s="333"/>
    </row>
    <row r="20" spans="1:2" x14ac:dyDescent="0.35">
      <c r="A20" s="1" t="s">
        <v>243</v>
      </c>
      <c r="B20" s="323">
        <v>486136049</v>
      </c>
    </row>
    <row r="21" spans="1:2" ht="12" customHeight="1" x14ac:dyDescent="0.35">
      <c r="B21" s="323"/>
    </row>
    <row r="22" spans="1:2" x14ac:dyDescent="0.35">
      <c r="A22" s="332" t="s">
        <v>244</v>
      </c>
      <c r="B22" s="324">
        <f>B10-B20</f>
        <v>44345692</v>
      </c>
    </row>
    <row r="23" spans="1:2" x14ac:dyDescent="0.35">
      <c r="B23" s="334">
        <f>B22/B20</f>
        <v>9.1220743845721264E-2</v>
      </c>
    </row>
    <row r="24" spans="1:2" s="332" customFormat="1" x14ac:dyDescent="0.35"/>
    <row r="28" spans="1:2" x14ac:dyDescent="0.35">
      <c r="B28" s="335"/>
    </row>
  </sheetData>
  <mergeCells count="1">
    <mergeCell ref="A1:B1"/>
  </mergeCells>
  <printOptions horizontalCentered="1"/>
  <pageMargins left="0.3" right="0.25" top="1.2" bottom="1" header="0.5" footer="0.5"/>
  <pageSetup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E1DF-9FB7-4121-B0CE-7475BC57076D}">
  <sheetPr>
    <pageSetUpPr fitToPage="1"/>
  </sheetPr>
  <dimension ref="A1:ZY75"/>
  <sheetViews>
    <sheetView zoomScaleNormal="100" zoomScaleSheetLayoutView="100" workbookViewId="0">
      <pane xSplit="1" ySplit="3" topLeftCell="B49" activePane="bottomRight" state="frozen"/>
      <selection pane="topRight" activeCell="B1" sqref="B1"/>
      <selection pane="bottomLeft" activeCell="A5" sqref="A5"/>
      <selection pane="bottomRight" activeCell="E68" sqref="E68"/>
    </sheetView>
  </sheetViews>
  <sheetFormatPr defaultColWidth="9.140625" defaultRowHeight="16.5" x14ac:dyDescent="0.3"/>
  <cols>
    <col min="1" max="1" width="19.140625" style="234" customWidth="1"/>
    <col min="2" max="2" width="22.85546875" style="234" customWidth="1"/>
    <col min="3" max="3" width="22" style="234" customWidth="1"/>
    <col min="4" max="8" width="9.140625" style="234"/>
    <col min="9" max="9" width="18.5703125" style="234" hidden="1" customWidth="1"/>
    <col min="10" max="16384" width="9.140625" style="234"/>
  </cols>
  <sheetData>
    <row r="1" spans="1:701" x14ac:dyDescent="0.3">
      <c r="A1" s="473" t="s">
        <v>261</v>
      </c>
      <c r="B1" s="473"/>
      <c r="C1" s="473"/>
    </row>
    <row r="2" spans="1:701" ht="9" customHeight="1" thickBot="1" x14ac:dyDescent="0.35"/>
    <row r="3" spans="1:701" ht="57" customHeight="1" thickBot="1" x14ac:dyDescent="0.35">
      <c r="A3" s="386" t="s">
        <v>0</v>
      </c>
      <c r="B3" s="387" t="s">
        <v>262</v>
      </c>
      <c r="C3" s="388" t="s">
        <v>263</v>
      </c>
      <c r="I3" s="298" t="s">
        <v>229</v>
      </c>
    </row>
    <row r="4" spans="1:701" x14ac:dyDescent="0.3">
      <c r="A4" s="389" t="s">
        <v>4</v>
      </c>
      <c r="B4" s="390">
        <v>249553.37</v>
      </c>
      <c r="C4" s="391">
        <f t="shared" ref="C4:C67" si="0">(B4/$B$72)*$C$72</f>
        <v>73228.310444341259</v>
      </c>
      <c r="I4" s="298" t="s">
        <v>230</v>
      </c>
    </row>
    <row r="5" spans="1:701" x14ac:dyDescent="0.3">
      <c r="A5" s="392" t="s">
        <v>10</v>
      </c>
      <c r="B5" s="393">
        <v>47549.19</v>
      </c>
      <c r="C5" s="394">
        <f t="shared" si="0"/>
        <v>13952.714189742128</v>
      </c>
      <c r="I5" s="298" t="s">
        <v>231</v>
      </c>
    </row>
    <row r="6" spans="1:701" x14ac:dyDescent="0.3">
      <c r="A6" s="392" t="s">
        <v>12</v>
      </c>
      <c r="B6" s="393">
        <v>206027.77</v>
      </c>
      <c r="C6" s="394">
        <f t="shared" si="0"/>
        <v>60456.268339375019</v>
      </c>
    </row>
    <row r="7" spans="1:701" x14ac:dyDescent="0.3">
      <c r="A7" s="392" t="s">
        <v>14</v>
      </c>
      <c r="B7" s="393">
        <v>48265.06</v>
      </c>
      <c r="C7" s="394">
        <f t="shared" si="0"/>
        <v>14162.777274034641</v>
      </c>
    </row>
    <row r="8" spans="1:701" x14ac:dyDescent="0.3">
      <c r="A8" s="392" t="s">
        <v>16</v>
      </c>
      <c r="B8" s="393">
        <v>548444.15</v>
      </c>
      <c r="C8" s="394">
        <f t="shared" si="0"/>
        <v>160934.06583763173</v>
      </c>
    </row>
    <row r="9" spans="1:701" x14ac:dyDescent="0.3">
      <c r="A9" s="392" t="s">
        <v>18</v>
      </c>
      <c r="B9" s="393">
        <v>1019291.8600000001</v>
      </c>
      <c r="C9" s="394">
        <f t="shared" si="0"/>
        <v>299098.42835410335</v>
      </c>
    </row>
    <row r="10" spans="1:701" x14ac:dyDescent="0.3">
      <c r="A10" s="392" t="s">
        <v>20</v>
      </c>
      <c r="B10" s="393">
        <v>8665.0400000000009</v>
      </c>
      <c r="C10" s="394">
        <f t="shared" si="0"/>
        <v>2542.6474470476392</v>
      </c>
    </row>
    <row r="11" spans="1:701" x14ac:dyDescent="0.3">
      <c r="A11" s="392" t="s">
        <v>22</v>
      </c>
      <c r="B11" s="393">
        <v>157069.90000000002</v>
      </c>
      <c r="C11" s="394">
        <f t="shared" si="0"/>
        <v>46090.194649191239</v>
      </c>
    </row>
    <row r="12" spans="1:701" x14ac:dyDescent="0.3">
      <c r="A12" s="392" t="s">
        <v>24</v>
      </c>
      <c r="B12" s="393">
        <v>112751.54000000001</v>
      </c>
      <c r="C12" s="394">
        <f t="shared" si="0"/>
        <v>33085.527052580226</v>
      </c>
    </row>
    <row r="13" spans="1:701" x14ac:dyDescent="0.3">
      <c r="A13" s="392" t="s">
        <v>26</v>
      </c>
      <c r="B13" s="393">
        <v>89753.309999999983</v>
      </c>
      <c r="C13" s="394">
        <f t="shared" si="0"/>
        <v>26336.984541972721</v>
      </c>
    </row>
    <row r="14" spans="1:701" x14ac:dyDescent="0.3">
      <c r="A14" s="392" t="s">
        <v>28</v>
      </c>
      <c r="B14" s="393">
        <v>232236.05</v>
      </c>
      <c r="C14" s="394">
        <f t="shared" si="0"/>
        <v>68146.75981241031</v>
      </c>
    </row>
    <row r="15" spans="1:701" x14ac:dyDescent="0.3">
      <c r="A15" s="392" t="s">
        <v>30</v>
      </c>
      <c r="B15" s="393">
        <v>45133.98</v>
      </c>
      <c r="C15" s="394">
        <f t="shared" si="0"/>
        <v>13244.001068904381</v>
      </c>
      <c r="ZY15" s="310">
        <v>1</v>
      </c>
    </row>
    <row r="16" spans="1:701" x14ac:dyDescent="0.3">
      <c r="A16" s="392" t="s">
        <v>32</v>
      </c>
      <c r="B16" s="393">
        <v>61884.160000000003</v>
      </c>
      <c r="C16" s="394">
        <f t="shared" si="0"/>
        <v>18159.131572005164</v>
      </c>
    </row>
    <row r="17" spans="1:3" x14ac:dyDescent="0.3">
      <c r="A17" s="392" t="s">
        <v>34</v>
      </c>
      <c r="B17" s="393">
        <v>38754.559999999998</v>
      </c>
      <c r="C17" s="394">
        <f t="shared" si="0"/>
        <v>11372.040180478629</v>
      </c>
    </row>
    <row r="18" spans="1:3" x14ac:dyDescent="0.3">
      <c r="A18" s="392" t="s">
        <v>36</v>
      </c>
      <c r="B18" s="393">
        <v>643141.92999999993</v>
      </c>
      <c r="C18" s="394">
        <f t="shared" si="0"/>
        <v>188721.9431651546</v>
      </c>
    </row>
    <row r="19" spans="1:3" x14ac:dyDescent="0.3">
      <c r="A19" s="392" t="s">
        <v>41</v>
      </c>
      <c r="B19" s="393">
        <v>326585.97000000003</v>
      </c>
      <c r="C19" s="394">
        <f t="shared" si="0"/>
        <v>95832.561980334416</v>
      </c>
    </row>
    <row r="20" spans="1:3" x14ac:dyDescent="0.3">
      <c r="A20" s="392" t="s">
        <v>43</v>
      </c>
      <c r="B20" s="393">
        <v>100571.75</v>
      </c>
      <c r="C20" s="394">
        <f t="shared" si="0"/>
        <v>29511.520244870582</v>
      </c>
    </row>
    <row r="21" spans="1:3" x14ac:dyDescent="0.3">
      <c r="A21" s="392" t="s">
        <v>45</v>
      </c>
      <c r="B21" s="393">
        <v>20245.519999999997</v>
      </c>
      <c r="C21" s="394">
        <f t="shared" si="0"/>
        <v>5940.7942423984086</v>
      </c>
    </row>
    <row r="22" spans="1:3" x14ac:dyDescent="0.3">
      <c r="A22" s="392" t="s">
        <v>47</v>
      </c>
      <c r="B22" s="393">
        <v>51025.15</v>
      </c>
      <c r="C22" s="394">
        <f t="shared" si="0"/>
        <v>14972.691110799586</v>
      </c>
    </row>
    <row r="23" spans="1:3" x14ac:dyDescent="0.3">
      <c r="A23" s="392" t="s">
        <v>49</v>
      </c>
      <c r="B23" s="393">
        <v>9684.19</v>
      </c>
      <c r="C23" s="394">
        <f t="shared" si="0"/>
        <v>2841.7042483617242</v>
      </c>
    </row>
    <row r="24" spans="1:3" x14ac:dyDescent="0.3">
      <c r="A24" s="392" t="s">
        <v>51</v>
      </c>
      <c r="B24" s="393">
        <v>32670.809999999998</v>
      </c>
      <c r="C24" s="394">
        <f t="shared" si="0"/>
        <v>9586.8399498996514</v>
      </c>
    </row>
    <row r="25" spans="1:3" x14ac:dyDescent="0.3">
      <c r="A25" s="392" t="s">
        <v>53</v>
      </c>
      <c r="B25" s="393">
        <v>34953.859999999993</v>
      </c>
      <c r="C25" s="394">
        <f t="shared" si="0"/>
        <v>10256.77237421415</v>
      </c>
    </row>
    <row r="26" spans="1:3" x14ac:dyDescent="0.3">
      <c r="A26" s="392" t="s">
        <v>55</v>
      </c>
      <c r="B26" s="393">
        <v>13857.13</v>
      </c>
      <c r="C26" s="394">
        <f t="shared" si="0"/>
        <v>4066.2012198336356</v>
      </c>
    </row>
    <row r="27" spans="1:3" x14ac:dyDescent="0.3">
      <c r="A27" s="392" t="s">
        <v>57</v>
      </c>
      <c r="B27" s="393">
        <v>45456.37</v>
      </c>
      <c r="C27" s="394">
        <f t="shared" si="0"/>
        <v>13338.602376048222</v>
      </c>
    </row>
    <row r="28" spans="1:3" x14ac:dyDescent="0.3">
      <c r="A28" s="392" t="s">
        <v>59</v>
      </c>
      <c r="B28" s="393">
        <v>55976.459999999992</v>
      </c>
      <c r="C28" s="394">
        <f t="shared" si="0"/>
        <v>16425.59100866981</v>
      </c>
    </row>
    <row r="29" spans="1:3" x14ac:dyDescent="0.3">
      <c r="A29" s="392" t="s">
        <v>61</v>
      </c>
      <c r="B29" s="393">
        <v>163074.69</v>
      </c>
      <c r="C29" s="394">
        <f t="shared" si="0"/>
        <v>47852.225056847412</v>
      </c>
    </row>
    <row r="30" spans="1:3" x14ac:dyDescent="0.3">
      <c r="A30" s="392" t="s">
        <v>63</v>
      </c>
      <c r="B30" s="393">
        <v>108774.3</v>
      </c>
      <c r="C30" s="394">
        <f t="shared" si="0"/>
        <v>31918.455794710007</v>
      </c>
    </row>
    <row r="31" spans="1:3" x14ac:dyDescent="0.3">
      <c r="A31" s="392" t="s">
        <v>65</v>
      </c>
      <c r="B31" s="393">
        <v>573161.66999999993</v>
      </c>
      <c r="C31" s="394">
        <f t="shared" si="0"/>
        <v>168187.11246238463</v>
      </c>
    </row>
    <row r="32" spans="1:3" x14ac:dyDescent="0.3">
      <c r="A32" s="392" t="s">
        <v>67</v>
      </c>
      <c r="B32" s="393">
        <v>22487.75</v>
      </c>
      <c r="C32" s="394">
        <f t="shared" si="0"/>
        <v>6598.7485490367662</v>
      </c>
    </row>
    <row r="33" spans="1:3" x14ac:dyDescent="0.3">
      <c r="A33" s="392" t="s">
        <v>69</v>
      </c>
      <c r="B33" s="393">
        <v>174145.85</v>
      </c>
      <c r="C33" s="394">
        <f t="shared" si="0"/>
        <v>51100.918278096942</v>
      </c>
    </row>
    <row r="34" spans="1:3" x14ac:dyDescent="0.3">
      <c r="A34" s="392" t="s">
        <v>71</v>
      </c>
      <c r="B34" s="393">
        <v>31501.07</v>
      </c>
      <c r="C34" s="394">
        <f t="shared" si="0"/>
        <v>9243.5943994221579</v>
      </c>
    </row>
    <row r="35" spans="1:3" x14ac:dyDescent="0.3">
      <c r="A35" s="392" t="s">
        <v>73</v>
      </c>
      <c r="B35" s="393">
        <v>15856.6</v>
      </c>
      <c r="C35" s="394">
        <f t="shared" si="0"/>
        <v>4652.9206453583129</v>
      </c>
    </row>
    <row r="36" spans="1:3" x14ac:dyDescent="0.3">
      <c r="A36" s="392" t="s">
        <v>75</v>
      </c>
      <c r="B36" s="393">
        <v>6230.35</v>
      </c>
      <c r="C36" s="394">
        <f t="shared" si="0"/>
        <v>1828.2181642223532</v>
      </c>
    </row>
    <row r="37" spans="1:3" x14ac:dyDescent="0.3">
      <c r="A37" s="392" t="s">
        <v>77</v>
      </c>
      <c r="B37" s="393">
        <v>274653.07999999996</v>
      </c>
      <c r="C37" s="394">
        <f t="shared" si="0"/>
        <v>80593.505937164839</v>
      </c>
    </row>
    <row r="38" spans="1:3" x14ac:dyDescent="0.3">
      <c r="A38" s="392" t="s">
        <v>79</v>
      </c>
      <c r="B38" s="393">
        <v>309503.22000000003</v>
      </c>
      <c r="C38" s="394">
        <f t="shared" si="0"/>
        <v>90819.842976607586</v>
      </c>
    </row>
    <row r="39" spans="1:3" x14ac:dyDescent="0.3">
      <c r="A39" s="392" t="s">
        <v>81</v>
      </c>
      <c r="B39" s="393">
        <v>306945.67</v>
      </c>
      <c r="C39" s="394">
        <f t="shared" si="0"/>
        <v>90069.361965764387</v>
      </c>
    </row>
    <row r="40" spans="1:3" x14ac:dyDescent="0.3">
      <c r="A40" s="392" t="s">
        <v>83</v>
      </c>
      <c r="B40" s="393">
        <v>76891.94</v>
      </c>
      <c r="C40" s="394">
        <f t="shared" si="0"/>
        <v>22562.976620943497</v>
      </c>
    </row>
    <row r="41" spans="1:3" x14ac:dyDescent="0.3">
      <c r="A41" s="392" t="s">
        <v>85</v>
      </c>
      <c r="B41" s="393">
        <v>16923.41</v>
      </c>
      <c r="C41" s="394">
        <f t="shared" si="0"/>
        <v>4965.9626766685997</v>
      </c>
    </row>
    <row r="42" spans="1:3" x14ac:dyDescent="0.3">
      <c r="A42" s="392" t="s">
        <v>87</v>
      </c>
      <c r="B42" s="393">
        <v>18787.410000000003</v>
      </c>
      <c r="C42" s="394">
        <f t="shared" si="0"/>
        <v>5512.9301276321048</v>
      </c>
    </row>
    <row r="43" spans="1:3" x14ac:dyDescent="0.3">
      <c r="A43" s="392" t="s">
        <v>89</v>
      </c>
      <c r="B43" s="393">
        <v>162575.19999999998</v>
      </c>
      <c r="C43" s="394">
        <f t="shared" si="0"/>
        <v>47705.65597311256</v>
      </c>
    </row>
    <row r="44" spans="1:3" x14ac:dyDescent="0.3">
      <c r="A44" s="392" t="s">
        <v>91</v>
      </c>
      <c r="B44" s="393">
        <v>261094.69</v>
      </c>
      <c r="C44" s="394">
        <f t="shared" si="0"/>
        <v>76614.966228222227</v>
      </c>
    </row>
    <row r="45" spans="1:3" x14ac:dyDescent="0.3">
      <c r="A45" s="392" t="s">
        <v>93</v>
      </c>
      <c r="B45" s="393">
        <v>209794.37</v>
      </c>
      <c r="C45" s="394">
        <f t="shared" si="0"/>
        <v>61561.529927786571</v>
      </c>
    </row>
    <row r="46" spans="1:3" x14ac:dyDescent="0.3">
      <c r="A46" s="392" t="s">
        <v>95</v>
      </c>
      <c r="B46" s="393">
        <v>2056715.2599999998</v>
      </c>
      <c r="C46" s="394">
        <f t="shared" si="0"/>
        <v>603517.32999996771</v>
      </c>
    </row>
    <row r="47" spans="1:3" x14ac:dyDescent="0.3">
      <c r="A47" s="392" t="s">
        <v>97</v>
      </c>
      <c r="B47" s="393">
        <v>279870.33</v>
      </c>
      <c r="C47" s="394">
        <f t="shared" si="0"/>
        <v>82124.442596788969</v>
      </c>
    </row>
    <row r="48" spans="1:3" x14ac:dyDescent="0.3">
      <c r="A48" s="392" t="s">
        <v>99</v>
      </c>
      <c r="B48" s="393">
        <v>88450.45</v>
      </c>
      <c r="C48" s="394">
        <f t="shared" si="0"/>
        <v>25954.676594997232</v>
      </c>
    </row>
    <row r="49" spans="1:3" x14ac:dyDescent="0.3">
      <c r="A49" s="392" t="s">
        <v>101</v>
      </c>
      <c r="B49" s="393">
        <v>138583.12</v>
      </c>
      <c r="C49" s="394">
        <f t="shared" si="0"/>
        <v>40665.480629275415</v>
      </c>
    </row>
    <row r="50" spans="1:3" x14ac:dyDescent="0.3">
      <c r="A50" s="392" t="s">
        <v>103</v>
      </c>
      <c r="B50" s="393">
        <v>112590.97999999998</v>
      </c>
      <c r="C50" s="394">
        <f t="shared" si="0"/>
        <v>33038.412731804092</v>
      </c>
    </row>
    <row r="51" spans="1:3" x14ac:dyDescent="0.3">
      <c r="A51" s="392" t="s">
        <v>105</v>
      </c>
      <c r="B51" s="393">
        <v>714265.41999999993</v>
      </c>
      <c r="C51" s="394">
        <f t="shared" si="0"/>
        <v>209592.24039097448</v>
      </c>
    </row>
    <row r="52" spans="1:3" x14ac:dyDescent="0.3">
      <c r="A52" s="392" t="s">
        <v>107</v>
      </c>
      <c r="B52" s="393">
        <v>395996.80000000005</v>
      </c>
      <c r="C52" s="394">
        <f t="shared" si="0"/>
        <v>116200.30058245946</v>
      </c>
    </row>
    <row r="53" spans="1:3" x14ac:dyDescent="0.3">
      <c r="A53" s="392" t="s">
        <v>109</v>
      </c>
      <c r="B53" s="393">
        <v>916589.86</v>
      </c>
      <c r="C53" s="394">
        <f t="shared" si="0"/>
        <v>268961.81293089851</v>
      </c>
    </row>
    <row r="54" spans="1:3" x14ac:dyDescent="0.3">
      <c r="A54" s="392" t="s">
        <v>111</v>
      </c>
      <c r="B54" s="393">
        <v>370851.69999999995</v>
      </c>
      <c r="C54" s="394">
        <f t="shared" si="0"/>
        <v>108821.78596270493</v>
      </c>
    </row>
    <row r="55" spans="1:3" x14ac:dyDescent="0.3">
      <c r="A55" s="392" t="s">
        <v>113</v>
      </c>
      <c r="B55" s="393">
        <v>780046.11999999988</v>
      </c>
      <c r="C55" s="394">
        <f t="shared" si="0"/>
        <v>228894.7628167228</v>
      </c>
    </row>
    <row r="56" spans="1:3" x14ac:dyDescent="0.3">
      <c r="A56" s="392" t="s">
        <v>115</v>
      </c>
      <c r="B56" s="393">
        <v>674559.89999999991</v>
      </c>
      <c r="C56" s="394">
        <f t="shared" si="0"/>
        <v>197941.15291051287</v>
      </c>
    </row>
    <row r="57" spans="1:3" x14ac:dyDescent="0.3">
      <c r="A57" s="392" t="s">
        <v>117</v>
      </c>
      <c r="B57" s="393">
        <v>114626.55</v>
      </c>
      <c r="C57" s="394">
        <f t="shared" si="0"/>
        <v>33635.725250129086</v>
      </c>
    </row>
    <row r="58" spans="1:3" x14ac:dyDescent="0.3">
      <c r="A58" s="392" t="s">
        <v>232</v>
      </c>
      <c r="B58" s="393">
        <v>113259.01999999999</v>
      </c>
      <c r="C58" s="394">
        <f>(B58/$B$72)*$C$72</f>
        <v>33234.440701729873</v>
      </c>
    </row>
    <row r="59" spans="1:3" x14ac:dyDescent="0.3">
      <c r="A59" s="392" t="s">
        <v>233</v>
      </c>
      <c r="B59" s="393">
        <v>342792.82</v>
      </c>
      <c r="C59" s="394">
        <f>(B59/$B$72)*$C$72</f>
        <v>100588.25910085364</v>
      </c>
    </row>
    <row r="60" spans="1:3" x14ac:dyDescent="0.3">
      <c r="A60" s="392" t="s">
        <v>123</v>
      </c>
      <c r="B60" s="393">
        <v>246527.44</v>
      </c>
      <c r="C60" s="394">
        <f>(B60/$B$72)*$C$72</f>
        <v>72340.389189569818</v>
      </c>
    </row>
    <row r="61" spans="1:3" x14ac:dyDescent="0.3">
      <c r="A61" s="392" t="s">
        <v>125</v>
      </c>
      <c r="B61" s="393">
        <v>473736.19999999995</v>
      </c>
      <c r="C61" s="394">
        <f>(B61/$B$72)*$C$72</f>
        <v>139011.9537248587</v>
      </c>
    </row>
    <row r="62" spans="1:3" x14ac:dyDescent="0.3">
      <c r="A62" s="392" t="s">
        <v>127</v>
      </c>
      <c r="B62" s="393">
        <v>241862.57000000004</v>
      </c>
      <c r="C62" s="394">
        <f>(B62/$B$72)*$C$72</f>
        <v>70971.54152166417</v>
      </c>
    </row>
    <row r="63" spans="1:3" x14ac:dyDescent="0.3">
      <c r="A63" s="392" t="s">
        <v>129</v>
      </c>
      <c r="B63" s="393">
        <v>135748.96</v>
      </c>
      <c r="C63" s="394">
        <f t="shared" si="0"/>
        <v>39833.831878834026</v>
      </c>
    </row>
    <row r="64" spans="1:3" x14ac:dyDescent="0.3">
      <c r="A64" s="392" t="s">
        <v>131</v>
      </c>
      <c r="B64" s="393">
        <v>38033.479999999996</v>
      </c>
      <c r="C64" s="394">
        <f t="shared" si="0"/>
        <v>11160.448286948176</v>
      </c>
    </row>
    <row r="65" spans="1:9" x14ac:dyDescent="0.3">
      <c r="A65" s="392" t="s">
        <v>133</v>
      </c>
      <c r="B65" s="393">
        <v>14168.98</v>
      </c>
      <c r="C65" s="394">
        <f t="shared" si="0"/>
        <v>4157.7096960047566</v>
      </c>
    </row>
    <row r="66" spans="1:9" x14ac:dyDescent="0.3">
      <c r="A66" s="392" t="s">
        <v>135</v>
      </c>
      <c r="B66" s="393">
        <v>13258.02</v>
      </c>
      <c r="C66" s="394">
        <f t="shared" si="0"/>
        <v>3890.3998949695024</v>
      </c>
    </row>
    <row r="67" spans="1:9" x14ac:dyDescent="0.3">
      <c r="A67" s="392" t="s">
        <v>137</v>
      </c>
      <c r="B67" s="393">
        <v>288559.28999999998</v>
      </c>
      <c r="C67" s="394">
        <f t="shared" si="0"/>
        <v>84674.109068207341</v>
      </c>
    </row>
    <row r="68" spans="1:9" x14ac:dyDescent="0.3">
      <c r="A68" s="392" t="s">
        <v>139</v>
      </c>
      <c r="B68" s="393">
        <v>42250.630000000005</v>
      </c>
      <c r="C68" s="394">
        <f t="shared" ref="C68:C70" si="1">(B68/$B$72)*$C$72</f>
        <v>12397.918129132053</v>
      </c>
    </row>
    <row r="69" spans="1:9" x14ac:dyDescent="0.3">
      <c r="A69" s="392" t="s">
        <v>141</v>
      </c>
      <c r="B69" s="393">
        <v>67204.800000000003</v>
      </c>
      <c r="C69" s="394">
        <f t="shared" si="1"/>
        <v>19720.406732034378</v>
      </c>
    </row>
    <row r="70" spans="1:9" ht="17.25" thickBot="1" x14ac:dyDescent="0.35">
      <c r="A70" s="395" t="s">
        <v>143</v>
      </c>
      <c r="B70" s="396">
        <v>45982.25</v>
      </c>
      <c r="C70" s="397">
        <f t="shared" si="1"/>
        <v>13492.915274713827</v>
      </c>
    </row>
    <row r="71" spans="1:9" ht="17.25" thickBot="1" x14ac:dyDescent="0.35"/>
    <row r="72" spans="1:9" ht="17.25" thickBot="1" x14ac:dyDescent="0.35">
      <c r="A72" s="386" t="s">
        <v>234</v>
      </c>
      <c r="B72" s="398">
        <v>15638481.299999999</v>
      </c>
      <c r="C72" s="399">
        <v>4588916.4450651398</v>
      </c>
      <c r="I72" s="321"/>
    </row>
    <row r="73" spans="1:9" x14ac:dyDescent="0.3">
      <c r="A73" s="373"/>
    </row>
    <row r="75" spans="1:9" x14ac:dyDescent="0.3">
      <c r="C75" s="316"/>
    </row>
  </sheetData>
  <autoFilter ref="A3:C3" xr:uid="{CD3D12B6-8BE6-43FD-99CD-133DF44DA027}"/>
  <mergeCells count="1">
    <mergeCell ref="A1:C1"/>
  </mergeCells>
  <printOptions horizontalCentered="1"/>
  <pageMargins left="0.45" right="0.45" top="0.6" bottom="0.3" header="0.3" footer="0.3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D7A5A-EBE5-4DC9-8269-5F60C1A91382}">
  <sheetPr>
    <tabColor rgb="FF0070C0"/>
    <pageSetUpPr fitToPage="1"/>
  </sheetPr>
  <dimension ref="A1:L79"/>
  <sheetViews>
    <sheetView zoomScaleNormal="100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J82" sqref="J82"/>
    </sheetView>
  </sheetViews>
  <sheetFormatPr defaultColWidth="9.140625" defaultRowHeight="15.75" x14ac:dyDescent="0.25"/>
  <cols>
    <col min="1" max="1" width="14.28515625" style="57" customWidth="1"/>
    <col min="2" max="2" width="22.140625" style="57" customWidth="1"/>
    <col min="3" max="3" width="22.42578125" style="57" bestFit="1" customWidth="1"/>
    <col min="4" max="5" width="20.85546875" style="57" bestFit="1" customWidth="1"/>
    <col min="6" max="6" width="22.42578125" style="57" bestFit="1" customWidth="1"/>
    <col min="7" max="7" width="20.85546875" style="87" bestFit="1" customWidth="1"/>
    <col min="8" max="9" width="22.42578125" style="57" bestFit="1" customWidth="1"/>
    <col min="10" max="10" width="21.7109375" style="57" bestFit="1" customWidth="1"/>
    <col min="11" max="11" width="20.85546875" style="57" bestFit="1" customWidth="1"/>
    <col min="12" max="12" width="14.85546875" style="57" customWidth="1"/>
    <col min="13" max="16384" width="9.140625" style="57"/>
  </cols>
  <sheetData>
    <row r="1" spans="1:12" s="50" customFormat="1" ht="79.5" thickBot="1" x14ac:dyDescent="0.3">
      <c r="A1" s="43" t="s">
        <v>0</v>
      </c>
      <c r="B1" s="44" t="s">
        <v>152</v>
      </c>
      <c r="C1" s="45" t="s">
        <v>153</v>
      </c>
      <c r="D1" s="46" t="s">
        <v>154</v>
      </c>
      <c r="E1" s="46" t="s">
        <v>155</v>
      </c>
      <c r="F1" s="46" t="s">
        <v>156</v>
      </c>
      <c r="G1" s="47" t="s">
        <v>157</v>
      </c>
      <c r="H1" s="47" t="s">
        <v>158</v>
      </c>
      <c r="I1" s="47" t="s">
        <v>159</v>
      </c>
      <c r="J1" s="98" t="s">
        <v>160</v>
      </c>
      <c r="K1" s="48" t="s">
        <v>161</v>
      </c>
      <c r="L1" s="49" t="s">
        <v>162</v>
      </c>
    </row>
    <row r="2" spans="1:12" x14ac:dyDescent="0.25">
      <c r="A2" s="51" t="s">
        <v>4</v>
      </c>
      <c r="B2" s="52">
        <v>5924259</v>
      </c>
      <c r="C2" s="53">
        <v>4571762.3900000006</v>
      </c>
      <c r="D2" s="54">
        <v>1698387.4700000002</v>
      </c>
      <c r="E2" s="53">
        <v>159604</v>
      </c>
      <c r="F2" s="53">
        <f t="shared" ref="F2:F33" si="0">SUM(C2:E2)</f>
        <v>6429753.8600000013</v>
      </c>
      <c r="G2" s="53">
        <v>136982.26</v>
      </c>
      <c r="H2" s="53">
        <v>5810279</v>
      </c>
      <c r="I2" s="53">
        <f t="shared" ref="I2:I65" si="1">SUM(G2:H2)</f>
        <v>5947261.2599999998</v>
      </c>
      <c r="J2" s="53">
        <f t="shared" ref="J2:J65" si="2">H2-B2</f>
        <v>-113980</v>
      </c>
      <c r="K2" s="55">
        <f t="shared" ref="K2:K65" si="3">F2-I2</f>
        <v>482492.60000000149</v>
      </c>
      <c r="L2" s="56" t="str">
        <f t="shared" ref="L2:L65" si="4">_xlfn.IFS(K2&gt;0,"Due To TF",K2&lt;0,"Due From TF")</f>
        <v>Due To TF</v>
      </c>
    </row>
    <row r="3" spans="1:12" x14ac:dyDescent="0.25">
      <c r="A3" s="58" t="s">
        <v>10</v>
      </c>
      <c r="B3" s="59">
        <v>725439</v>
      </c>
      <c r="C3" s="55">
        <v>440234.50999999995</v>
      </c>
      <c r="D3" s="60">
        <v>227142.16999999998</v>
      </c>
      <c r="E3" s="55">
        <v>19544</v>
      </c>
      <c r="F3" s="55">
        <f t="shared" si="0"/>
        <v>686920.67999999993</v>
      </c>
      <c r="G3" s="55">
        <v>0</v>
      </c>
      <c r="H3" s="55">
        <v>646607.09000000008</v>
      </c>
      <c r="I3" s="55">
        <f t="shared" si="1"/>
        <v>646607.09000000008</v>
      </c>
      <c r="J3" s="55">
        <f t="shared" si="2"/>
        <v>-78831.909999999916</v>
      </c>
      <c r="K3" s="55">
        <f t="shared" si="3"/>
        <v>40313.589999999851</v>
      </c>
      <c r="L3" s="61" t="str">
        <f t="shared" si="4"/>
        <v>Due To TF</v>
      </c>
    </row>
    <row r="4" spans="1:12" x14ac:dyDescent="0.25">
      <c r="A4" s="62" t="s">
        <v>12</v>
      </c>
      <c r="B4" s="63">
        <v>3941758</v>
      </c>
      <c r="C4" s="64">
        <v>4722797.66</v>
      </c>
      <c r="D4" s="65">
        <v>0</v>
      </c>
      <c r="E4" s="64">
        <v>106194</v>
      </c>
      <c r="F4" s="64">
        <f t="shared" si="0"/>
        <v>4828991.66</v>
      </c>
      <c r="G4" s="55">
        <v>636978.34</v>
      </c>
      <c r="H4" s="64">
        <v>3941758</v>
      </c>
      <c r="I4" s="64">
        <f t="shared" si="1"/>
        <v>4578736.34</v>
      </c>
      <c r="J4" s="64">
        <f t="shared" si="2"/>
        <v>0</v>
      </c>
      <c r="K4" s="55">
        <f t="shared" si="3"/>
        <v>250255.3200000003</v>
      </c>
      <c r="L4" s="66" t="str">
        <f t="shared" si="4"/>
        <v>Due To TF</v>
      </c>
    </row>
    <row r="5" spans="1:12" x14ac:dyDescent="0.25">
      <c r="A5" s="67" t="s">
        <v>14</v>
      </c>
      <c r="B5" s="59">
        <v>873912</v>
      </c>
      <c r="C5" s="55">
        <v>802255.01</v>
      </c>
      <c r="D5" s="60">
        <v>113600.55000000002</v>
      </c>
      <c r="E5" s="55">
        <v>23544</v>
      </c>
      <c r="F5" s="55">
        <f t="shared" si="0"/>
        <v>939399.56</v>
      </c>
      <c r="G5" s="55">
        <v>11405.039999999999</v>
      </c>
      <c r="H5" s="55">
        <v>759330.12</v>
      </c>
      <c r="I5" s="55">
        <f t="shared" si="1"/>
        <v>770735.16</v>
      </c>
      <c r="J5" s="55">
        <f t="shared" si="2"/>
        <v>-114581.88</v>
      </c>
      <c r="K5" s="55">
        <f t="shared" si="3"/>
        <v>168664.40000000002</v>
      </c>
      <c r="L5" s="61" t="str">
        <f t="shared" si="4"/>
        <v>Due To TF</v>
      </c>
    </row>
    <row r="6" spans="1:12" x14ac:dyDescent="0.25">
      <c r="A6" s="58" t="s">
        <v>16</v>
      </c>
      <c r="B6" s="59">
        <v>11517992</v>
      </c>
      <c r="C6" s="55">
        <v>9401628.1099999994</v>
      </c>
      <c r="D6" s="60">
        <v>2500683.1199999996</v>
      </c>
      <c r="E6" s="55">
        <v>310304</v>
      </c>
      <c r="F6" s="55">
        <f t="shared" si="0"/>
        <v>12212615.229999999</v>
      </c>
      <c r="G6" s="55">
        <v>91894.010000000009</v>
      </c>
      <c r="H6" s="55">
        <v>11517991.999999998</v>
      </c>
      <c r="I6" s="55">
        <f t="shared" si="1"/>
        <v>11609886.009999998</v>
      </c>
      <c r="J6" s="55">
        <f t="shared" si="2"/>
        <v>0</v>
      </c>
      <c r="K6" s="55">
        <f t="shared" si="3"/>
        <v>602729.22000000067</v>
      </c>
      <c r="L6" s="61" t="str">
        <f t="shared" si="4"/>
        <v>Due To TF</v>
      </c>
    </row>
    <row r="7" spans="1:12" x14ac:dyDescent="0.25">
      <c r="A7" s="58" t="s">
        <v>18</v>
      </c>
      <c r="B7" s="59">
        <v>39664380</v>
      </c>
      <c r="C7" s="55">
        <v>38085677.219999999</v>
      </c>
      <c r="D7" s="60">
        <v>137360.25</v>
      </c>
      <c r="E7" s="55">
        <v>1068587</v>
      </c>
      <c r="F7" s="55">
        <f t="shared" si="0"/>
        <v>39291624.469999999</v>
      </c>
      <c r="G7" s="55">
        <v>2853946.77</v>
      </c>
      <c r="H7" s="55">
        <v>37861337.100000001</v>
      </c>
      <c r="I7" s="55">
        <f t="shared" si="1"/>
        <v>40715283.870000005</v>
      </c>
      <c r="J7" s="55">
        <f t="shared" si="2"/>
        <v>-1803042.8999999985</v>
      </c>
      <c r="K7" s="55">
        <f t="shared" si="3"/>
        <v>-1423659.400000006</v>
      </c>
      <c r="L7" s="61" t="str">
        <f t="shared" si="4"/>
        <v>Due From TF</v>
      </c>
    </row>
    <row r="8" spans="1:12" x14ac:dyDescent="0.25">
      <c r="A8" s="58" t="s">
        <v>20</v>
      </c>
      <c r="B8" s="59">
        <v>459015</v>
      </c>
      <c r="C8" s="55">
        <v>301845.87000000011</v>
      </c>
      <c r="D8" s="60">
        <v>251761.8000000001</v>
      </c>
      <c r="E8" s="55">
        <v>12366</v>
      </c>
      <c r="F8" s="55">
        <f t="shared" si="0"/>
        <v>565973.67000000016</v>
      </c>
      <c r="G8" s="55">
        <v>0</v>
      </c>
      <c r="H8" s="55">
        <v>450475.48</v>
      </c>
      <c r="I8" s="55">
        <f t="shared" si="1"/>
        <v>450475.48</v>
      </c>
      <c r="J8" s="55">
        <f t="shared" si="2"/>
        <v>-8539.5200000000186</v>
      </c>
      <c r="K8" s="55">
        <f t="shared" si="3"/>
        <v>115498.19000000018</v>
      </c>
      <c r="L8" s="61" t="str">
        <f t="shared" si="4"/>
        <v>Due To TF</v>
      </c>
    </row>
    <row r="9" spans="1:12" x14ac:dyDescent="0.25">
      <c r="A9" s="58" t="s">
        <v>22</v>
      </c>
      <c r="B9" s="59">
        <v>3607349</v>
      </c>
      <c r="C9" s="55">
        <v>4276368.9099999992</v>
      </c>
      <c r="D9" s="60">
        <v>50971.25</v>
      </c>
      <c r="E9" s="55">
        <v>97184</v>
      </c>
      <c r="F9" s="55">
        <f t="shared" si="0"/>
        <v>4424524.1599999992</v>
      </c>
      <c r="G9" s="55">
        <v>791306.73</v>
      </c>
      <c r="H9" s="55">
        <v>3378778.85</v>
      </c>
      <c r="I9" s="55">
        <f t="shared" si="1"/>
        <v>4170085.58</v>
      </c>
      <c r="J9" s="55">
        <f t="shared" si="2"/>
        <v>-228570.14999999991</v>
      </c>
      <c r="K9" s="55">
        <f t="shared" si="3"/>
        <v>254438.57999999914</v>
      </c>
      <c r="L9" s="61" t="str">
        <f t="shared" si="4"/>
        <v>Due To TF</v>
      </c>
    </row>
    <row r="10" spans="1:12" x14ac:dyDescent="0.25">
      <c r="A10" s="58" t="s">
        <v>24</v>
      </c>
      <c r="B10" s="59">
        <v>3063819</v>
      </c>
      <c r="C10" s="55">
        <v>3363058.6799999997</v>
      </c>
      <c r="D10" s="60">
        <v>117689.72000000002</v>
      </c>
      <c r="E10" s="55">
        <v>82542</v>
      </c>
      <c r="F10" s="55">
        <f t="shared" si="0"/>
        <v>3563290.4</v>
      </c>
      <c r="G10" s="55">
        <v>334716.79999999999</v>
      </c>
      <c r="H10" s="55">
        <v>3063819</v>
      </c>
      <c r="I10" s="55">
        <f t="shared" si="1"/>
        <v>3398535.8</v>
      </c>
      <c r="J10" s="55">
        <f t="shared" si="2"/>
        <v>0</v>
      </c>
      <c r="K10" s="55">
        <f t="shared" si="3"/>
        <v>164754.60000000009</v>
      </c>
      <c r="L10" s="61" t="str">
        <f t="shared" si="4"/>
        <v>Due To TF</v>
      </c>
    </row>
    <row r="11" spans="1:12" x14ac:dyDescent="0.25">
      <c r="A11" s="58" t="s">
        <v>26</v>
      </c>
      <c r="B11" s="59">
        <v>3737553</v>
      </c>
      <c r="C11" s="55">
        <v>4103885.85</v>
      </c>
      <c r="D11" s="60">
        <v>0</v>
      </c>
      <c r="E11" s="55">
        <v>100692</v>
      </c>
      <c r="F11" s="55">
        <f t="shared" si="0"/>
        <v>4204577.8499999996</v>
      </c>
      <c r="G11" s="55">
        <v>425921.02</v>
      </c>
      <c r="H11" s="55">
        <v>3737553</v>
      </c>
      <c r="I11" s="55">
        <f t="shared" si="1"/>
        <v>4163474.02</v>
      </c>
      <c r="J11" s="55">
        <f t="shared" si="2"/>
        <v>0</v>
      </c>
      <c r="K11" s="55">
        <f t="shared" si="3"/>
        <v>41103.829999999609</v>
      </c>
      <c r="L11" s="61" t="str">
        <f t="shared" si="4"/>
        <v>Due To TF</v>
      </c>
    </row>
    <row r="12" spans="1:12" x14ac:dyDescent="0.25">
      <c r="A12" s="58" t="s">
        <v>28</v>
      </c>
      <c r="B12" s="59">
        <v>6549607</v>
      </c>
      <c r="C12" s="55">
        <v>7819056.0099999988</v>
      </c>
      <c r="D12" s="60">
        <v>0</v>
      </c>
      <c r="E12" s="55">
        <v>176450</v>
      </c>
      <c r="F12" s="55">
        <f t="shared" si="0"/>
        <v>7995506.0099999988</v>
      </c>
      <c r="G12" s="55">
        <v>1272287.31</v>
      </c>
      <c r="H12" s="55">
        <v>6548376.1600000001</v>
      </c>
      <c r="I12" s="55">
        <f t="shared" si="1"/>
        <v>7820663.4700000007</v>
      </c>
      <c r="J12" s="55">
        <f t="shared" si="2"/>
        <v>-1230.839999999851</v>
      </c>
      <c r="K12" s="55">
        <f t="shared" si="3"/>
        <v>174842.53999999817</v>
      </c>
      <c r="L12" s="61" t="str">
        <f t="shared" si="4"/>
        <v>Due To TF</v>
      </c>
    </row>
    <row r="13" spans="1:12" x14ac:dyDescent="0.25">
      <c r="A13" s="58" t="s">
        <v>30</v>
      </c>
      <c r="B13" s="59">
        <v>1557902</v>
      </c>
      <c r="C13" s="55">
        <v>1425037.12</v>
      </c>
      <c r="D13" s="60">
        <v>155241.12999999998</v>
      </c>
      <c r="E13" s="55">
        <v>41971</v>
      </c>
      <c r="F13" s="55">
        <f t="shared" si="0"/>
        <v>1622249.25</v>
      </c>
      <c r="G13" s="55">
        <v>159376.91</v>
      </c>
      <c r="H13" s="55">
        <v>1557131.39</v>
      </c>
      <c r="I13" s="55">
        <f t="shared" si="1"/>
        <v>1716508.2999999998</v>
      </c>
      <c r="J13" s="55">
        <f t="shared" si="2"/>
        <v>-770.61000000010245</v>
      </c>
      <c r="K13" s="55">
        <f t="shared" si="3"/>
        <v>-94259.049999999814</v>
      </c>
      <c r="L13" s="61" t="str">
        <f t="shared" si="4"/>
        <v>Due From TF</v>
      </c>
    </row>
    <row r="14" spans="1:12" x14ac:dyDescent="0.25">
      <c r="A14" s="58" t="s">
        <v>32</v>
      </c>
      <c r="B14" s="59">
        <v>823615</v>
      </c>
      <c r="C14" s="55">
        <v>720908.99</v>
      </c>
      <c r="D14" s="60">
        <v>169003.16999999998</v>
      </c>
      <c r="E14" s="55">
        <v>22189</v>
      </c>
      <c r="F14" s="55">
        <f t="shared" si="0"/>
        <v>912101.15999999992</v>
      </c>
      <c r="G14" s="55">
        <v>51143.41</v>
      </c>
      <c r="H14" s="55">
        <v>813352.18</v>
      </c>
      <c r="I14" s="55">
        <f t="shared" si="1"/>
        <v>864495.59000000008</v>
      </c>
      <c r="J14" s="55">
        <f t="shared" si="2"/>
        <v>-10262.819999999949</v>
      </c>
      <c r="K14" s="55">
        <f t="shared" si="3"/>
        <v>47605.569999999832</v>
      </c>
      <c r="L14" s="61" t="str">
        <f t="shared" si="4"/>
        <v>Due To TF</v>
      </c>
    </row>
    <row r="15" spans="1:12" x14ac:dyDescent="0.25">
      <c r="A15" s="58" t="s">
        <v>34</v>
      </c>
      <c r="B15" s="59">
        <v>501450</v>
      </c>
      <c r="C15" s="55">
        <v>306458.89</v>
      </c>
      <c r="D15" s="60">
        <v>273761.21000000008</v>
      </c>
      <c r="E15" s="55">
        <v>13509</v>
      </c>
      <c r="F15" s="55">
        <f t="shared" si="0"/>
        <v>593729.10000000009</v>
      </c>
      <c r="G15" s="55">
        <v>0</v>
      </c>
      <c r="H15" s="59">
        <v>450499.86999999994</v>
      </c>
      <c r="I15" s="55">
        <f t="shared" si="1"/>
        <v>450499.86999999994</v>
      </c>
      <c r="J15" s="55">
        <f t="shared" si="2"/>
        <v>-50950.130000000063</v>
      </c>
      <c r="K15" s="55">
        <f t="shared" si="3"/>
        <v>143229.23000000016</v>
      </c>
      <c r="L15" s="61" t="str">
        <f t="shared" si="4"/>
        <v>Due To TF</v>
      </c>
    </row>
    <row r="16" spans="1:12" x14ac:dyDescent="0.25">
      <c r="A16" s="62" t="s">
        <v>36</v>
      </c>
      <c r="B16" s="63">
        <v>19939648</v>
      </c>
      <c r="C16" s="64">
        <v>20655849.670000002</v>
      </c>
      <c r="D16" s="65">
        <v>698229.53</v>
      </c>
      <c r="E16" s="64">
        <v>537189</v>
      </c>
      <c r="F16" s="64">
        <f t="shared" si="0"/>
        <v>21891268.200000003</v>
      </c>
      <c r="G16" s="64">
        <v>1719958.3699999999</v>
      </c>
      <c r="H16" s="55">
        <v>19939263.223708406</v>
      </c>
      <c r="I16" s="64">
        <f t="shared" si="1"/>
        <v>21659221.593708407</v>
      </c>
      <c r="J16" s="64">
        <f t="shared" si="2"/>
        <v>-384.77629159390926</v>
      </c>
      <c r="K16" s="55">
        <f t="shared" si="3"/>
        <v>232046.60629159585</v>
      </c>
      <c r="L16" s="66" t="str">
        <f t="shared" si="4"/>
        <v>Due To TF</v>
      </c>
    </row>
    <row r="17" spans="1:12" x14ac:dyDescent="0.25">
      <c r="A17" s="58" t="s">
        <v>41</v>
      </c>
      <c r="B17" s="59">
        <v>7108406</v>
      </c>
      <c r="C17" s="55">
        <v>6632522.919999999</v>
      </c>
      <c r="D17" s="60">
        <v>353230.47000000009</v>
      </c>
      <c r="E17" s="55">
        <v>191506</v>
      </c>
      <c r="F17" s="55">
        <f t="shared" si="0"/>
        <v>7177259.3899999987</v>
      </c>
      <c r="G17" s="55">
        <v>187665.29</v>
      </c>
      <c r="H17" s="55">
        <v>5678552.3499999996</v>
      </c>
      <c r="I17" s="55">
        <f t="shared" si="1"/>
        <v>5866217.6399999997</v>
      </c>
      <c r="J17" s="55">
        <f t="shared" si="2"/>
        <v>-1429853.6500000004</v>
      </c>
      <c r="K17" s="55">
        <f>F17-I17</f>
        <v>1311041.7499999991</v>
      </c>
      <c r="L17" s="61" t="str">
        <f t="shared" si="4"/>
        <v>Due To TF</v>
      </c>
    </row>
    <row r="18" spans="1:12" x14ac:dyDescent="0.25">
      <c r="A18" s="58" t="s">
        <v>43</v>
      </c>
      <c r="B18" s="59">
        <v>1857621</v>
      </c>
      <c r="C18" s="55">
        <v>1797754.37</v>
      </c>
      <c r="D18" s="60">
        <v>89334.67</v>
      </c>
      <c r="E18" s="55">
        <v>50045</v>
      </c>
      <c r="F18" s="55">
        <f t="shared" si="0"/>
        <v>1937134.04</v>
      </c>
      <c r="G18" s="55">
        <v>87732.73</v>
      </c>
      <c r="H18" s="55">
        <v>1648292.36</v>
      </c>
      <c r="I18" s="55">
        <f t="shared" si="1"/>
        <v>1736025.09</v>
      </c>
      <c r="J18" s="55">
        <f t="shared" si="2"/>
        <v>-209328.6399999999</v>
      </c>
      <c r="K18" s="55">
        <f t="shared" si="3"/>
        <v>201108.94999999995</v>
      </c>
      <c r="L18" s="61" t="str">
        <f t="shared" si="4"/>
        <v>Due To TF</v>
      </c>
    </row>
    <row r="19" spans="1:12" x14ac:dyDescent="0.25">
      <c r="A19" s="58" t="s">
        <v>45</v>
      </c>
      <c r="B19" s="59">
        <v>674135</v>
      </c>
      <c r="C19" s="55">
        <v>235504.2</v>
      </c>
      <c r="D19" s="60">
        <v>487433.96000000008</v>
      </c>
      <c r="E19" s="55">
        <v>18162</v>
      </c>
      <c r="F19" s="55">
        <f t="shared" si="0"/>
        <v>741100.16000000015</v>
      </c>
      <c r="G19" s="55">
        <v>0</v>
      </c>
      <c r="H19" s="55">
        <v>669539.92000000004</v>
      </c>
      <c r="I19" s="55">
        <f t="shared" si="1"/>
        <v>669539.92000000004</v>
      </c>
      <c r="J19" s="55">
        <f t="shared" si="2"/>
        <v>-4595.0799999999581</v>
      </c>
      <c r="K19" s="55">
        <f t="shared" si="3"/>
        <v>71560.240000000107</v>
      </c>
      <c r="L19" s="61" t="str">
        <f t="shared" si="4"/>
        <v>Due To TF</v>
      </c>
    </row>
    <row r="20" spans="1:12" x14ac:dyDescent="0.25">
      <c r="A20" s="58" t="s">
        <v>47</v>
      </c>
      <c r="B20" s="59">
        <v>1365042</v>
      </c>
      <c r="C20" s="55">
        <v>726355.41</v>
      </c>
      <c r="D20" s="60">
        <v>661530</v>
      </c>
      <c r="E20" s="55">
        <v>36775</v>
      </c>
      <c r="F20" s="55">
        <f t="shared" si="0"/>
        <v>1424660.4100000001</v>
      </c>
      <c r="G20" s="55">
        <v>0</v>
      </c>
      <c r="H20" s="55">
        <v>1365042</v>
      </c>
      <c r="I20" s="55">
        <f t="shared" si="1"/>
        <v>1365042</v>
      </c>
      <c r="J20" s="55">
        <f t="shared" si="2"/>
        <v>0</v>
      </c>
      <c r="K20" s="55">
        <f t="shared" si="3"/>
        <v>59618.410000000149</v>
      </c>
      <c r="L20" s="61" t="str">
        <f t="shared" si="4"/>
        <v>Due To TF</v>
      </c>
    </row>
    <row r="21" spans="1:12" x14ac:dyDescent="0.25">
      <c r="A21" s="58" t="s">
        <v>49</v>
      </c>
      <c r="B21" s="59">
        <v>557818</v>
      </c>
      <c r="C21" s="55">
        <v>275087.74</v>
      </c>
      <c r="D21" s="60">
        <v>280502.88</v>
      </c>
      <c r="E21" s="55">
        <v>15028</v>
      </c>
      <c r="F21" s="55">
        <f t="shared" si="0"/>
        <v>570618.62</v>
      </c>
      <c r="G21" s="55">
        <v>0</v>
      </c>
      <c r="H21" s="55">
        <v>551246.62999999989</v>
      </c>
      <c r="I21" s="55">
        <f t="shared" si="1"/>
        <v>551246.62999999989</v>
      </c>
      <c r="J21" s="55">
        <f t="shared" si="2"/>
        <v>-6571.3700000001118</v>
      </c>
      <c r="K21" s="55">
        <f t="shared" si="3"/>
        <v>19371.990000000107</v>
      </c>
      <c r="L21" s="61" t="str">
        <f t="shared" si="4"/>
        <v>Due To TF</v>
      </c>
    </row>
    <row r="22" spans="1:12" x14ac:dyDescent="0.25">
      <c r="A22" s="58" t="s">
        <v>51</v>
      </c>
      <c r="B22" s="59">
        <v>579028</v>
      </c>
      <c r="C22" s="55">
        <v>448200.42</v>
      </c>
      <c r="D22" s="60">
        <v>144235.79</v>
      </c>
      <c r="E22" s="55">
        <v>15600</v>
      </c>
      <c r="F22" s="55">
        <f t="shared" si="0"/>
        <v>608036.21</v>
      </c>
      <c r="G22" s="55">
        <v>21431.829999999998</v>
      </c>
      <c r="H22" s="55">
        <v>529038.23</v>
      </c>
      <c r="I22" s="55">
        <f t="shared" si="1"/>
        <v>550470.05999999994</v>
      </c>
      <c r="J22" s="55">
        <f t="shared" si="2"/>
        <v>-49989.770000000019</v>
      </c>
      <c r="K22" s="55">
        <f t="shared" si="3"/>
        <v>57566.150000000023</v>
      </c>
      <c r="L22" s="61" t="str">
        <f t="shared" si="4"/>
        <v>Due To TF</v>
      </c>
    </row>
    <row r="23" spans="1:12" x14ac:dyDescent="0.25">
      <c r="A23" s="58" t="s">
        <v>53</v>
      </c>
      <c r="B23" s="59">
        <v>502570</v>
      </c>
      <c r="C23" s="55">
        <v>254300.03000000003</v>
      </c>
      <c r="D23" s="60">
        <v>253747.5500000001</v>
      </c>
      <c r="E23" s="55">
        <v>13540</v>
      </c>
      <c r="F23" s="55">
        <f t="shared" si="0"/>
        <v>521587.58000000013</v>
      </c>
      <c r="G23" s="55">
        <v>0</v>
      </c>
      <c r="H23" s="55">
        <v>453938.92</v>
      </c>
      <c r="I23" s="55">
        <f t="shared" si="1"/>
        <v>453938.92</v>
      </c>
      <c r="J23" s="55">
        <f t="shared" si="2"/>
        <v>-48631.080000000016</v>
      </c>
      <c r="K23" s="55">
        <f t="shared" si="3"/>
        <v>67648.660000000149</v>
      </c>
      <c r="L23" s="61" t="str">
        <f t="shared" si="4"/>
        <v>Due To TF</v>
      </c>
    </row>
    <row r="24" spans="1:12" x14ac:dyDescent="0.25">
      <c r="A24" s="58" t="s">
        <v>55</v>
      </c>
      <c r="B24" s="59">
        <v>609839</v>
      </c>
      <c r="C24" s="55">
        <v>433096.8</v>
      </c>
      <c r="D24" s="60">
        <v>253006.86999999994</v>
      </c>
      <c r="E24" s="55">
        <v>16430</v>
      </c>
      <c r="F24" s="55">
        <f t="shared" si="0"/>
        <v>702533.66999999993</v>
      </c>
      <c r="G24" s="55">
        <v>24091.31</v>
      </c>
      <c r="H24" s="55">
        <v>578274.77</v>
      </c>
      <c r="I24" s="55">
        <f t="shared" si="1"/>
        <v>602366.08000000007</v>
      </c>
      <c r="J24" s="55">
        <f t="shared" si="2"/>
        <v>-31564.229999999981</v>
      </c>
      <c r="K24" s="55">
        <f t="shared" si="3"/>
        <v>100167.58999999985</v>
      </c>
      <c r="L24" s="61" t="str">
        <f t="shared" si="4"/>
        <v>Due To TF</v>
      </c>
    </row>
    <row r="25" spans="1:12" x14ac:dyDescent="0.25">
      <c r="A25" s="58" t="s">
        <v>57</v>
      </c>
      <c r="B25" s="59">
        <v>924370</v>
      </c>
      <c r="C25" s="55">
        <v>612272.41999999993</v>
      </c>
      <c r="D25" s="60">
        <v>329813.14000000007</v>
      </c>
      <c r="E25" s="55">
        <v>24904</v>
      </c>
      <c r="F25" s="55">
        <f t="shared" si="0"/>
        <v>966989.56</v>
      </c>
      <c r="G25" s="55">
        <v>0</v>
      </c>
      <c r="H25" s="55">
        <v>752122.43</v>
      </c>
      <c r="I25" s="55">
        <f t="shared" si="1"/>
        <v>752122.43</v>
      </c>
      <c r="J25" s="55">
        <f t="shared" si="2"/>
        <v>-172247.56999999995</v>
      </c>
      <c r="K25" s="55">
        <f t="shared" si="3"/>
        <v>214867.13</v>
      </c>
      <c r="L25" s="61" t="str">
        <f t="shared" si="4"/>
        <v>Due To TF</v>
      </c>
    </row>
    <row r="26" spans="1:12" x14ac:dyDescent="0.25">
      <c r="A26" s="58" t="s">
        <v>59</v>
      </c>
      <c r="B26" s="59">
        <v>1306755</v>
      </c>
      <c r="C26" s="55">
        <v>1045125.32</v>
      </c>
      <c r="D26" s="60">
        <v>278614.67</v>
      </c>
      <c r="E26" s="55">
        <v>35205</v>
      </c>
      <c r="F26" s="55">
        <f t="shared" si="0"/>
        <v>1358944.99</v>
      </c>
      <c r="G26" s="55">
        <v>33424.65</v>
      </c>
      <c r="H26" s="55">
        <v>1265807.6499999999</v>
      </c>
      <c r="I26" s="55">
        <f t="shared" si="1"/>
        <v>1299232.2999999998</v>
      </c>
      <c r="J26" s="55">
        <f t="shared" si="2"/>
        <v>-40947.350000000093</v>
      </c>
      <c r="K26" s="55">
        <f t="shared" si="3"/>
        <v>59712.690000000177</v>
      </c>
      <c r="L26" s="61" t="str">
        <f t="shared" si="4"/>
        <v>Due To TF</v>
      </c>
    </row>
    <row r="27" spans="1:12" x14ac:dyDescent="0.25">
      <c r="A27" s="58" t="s">
        <v>61</v>
      </c>
      <c r="B27" s="59">
        <v>3487927</v>
      </c>
      <c r="C27" s="55">
        <v>4316178.0600000005</v>
      </c>
      <c r="D27" s="60">
        <v>0</v>
      </c>
      <c r="E27" s="55">
        <v>93967</v>
      </c>
      <c r="F27" s="55">
        <f t="shared" si="0"/>
        <v>4410145.0600000005</v>
      </c>
      <c r="G27" s="55">
        <v>843209.53000000014</v>
      </c>
      <c r="H27" s="55">
        <v>2968130.93</v>
      </c>
      <c r="I27" s="55">
        <f t="shared" si="1"/>
        <v>3811340.4600000004</v>
      </c>
      <c r="J27" s="55">
        <f t="shared" si="2"/>
        <v>-519796.06999999983</v>
      </c>
      <c r="K27" s="55">
        <f t="shared" si="3"/>
        <v>598804.60000000009</v>
      </c>
      <c r="L27" s="61" t="str">
        <f t="shared" si="4"/>
        <v>Due To TF</v>
      </c>
    </row>
    <row r="28" spans="1:12" x14ac:dyDescent="0.25">
      <c r="A28" s="58" t="s">
        <v>63</v>
      </c>
      <c r="B28" s="59">
        <v>2009733</v>
      </c>
      <c r="C28" s="55">
        <v>1810752.7</v>
      </c>
      <c r="D28" s="60">
        <v>154633.83000000002</v>
      </c>
      <c r="E28" s="55">
        <v>54144</v>
      </c>
      <c r="F28" s="55">
        <f t="shared" si="0"/>
        <v>2019530.53</v>
      </c>
      <c r="G28" s="55">
        <v>58059.41</v>
      </c>
      <c r="H28" s="55">
        <v>2009733</v>
      </c>
      <c r="I28" s="55">
        <f t="shared" si="1"/>
        <v>2067792.41</v>
      </c>
      <c r="J28" s="55">
        <f t="shared" si="2"/>
        <v>0</v>
      </c>
      <c r="K28" s="55">
        <f t="shared" si="3"/>
        <v>-48261.879999999888</v>
      </c>
      <c r="L28" s="61" t="str">
        <f t="shared" si="4"/>
        <v>Due From TF</v>
      </c>
    </row>
    <row r="29" spans="1:12" x14ac:dyDescent="0.25">
      <c r="A29" s="58" t="s">
        <v>65</v>
      </c>
      <c r="B29" s="59">
        <v>30825591</v>
      </c>
      <c r="C29" s="55">
        <v>33532507.089999996</v>
      </c>
      <c r="D29" s="60">
        <v>1673458.38</v>
      </c>
      <c r="E29" s="55">
        <v>830463</v>
      </c>
      <c r="F29" s="55">
        <f t="shared" si="0"/>
        <v>36036428.469999999</v>
      </c>
      <c r="G29" s="55">
        <v>4514761.3999999994</v>
      </c>
      <c r="H29" s="55">
        <v>30825591.000000004</v>
      </c>
      <c r="I29" s="55">
        <f t="shared" si="1"/>
        <v>35340352.400000006</v>
      </c>
      <c r="J29" s="55">
        <f t="shared" si="2"/>
        <v>0</v>
      </c>
      <c r="K29" s="55">
        <f t="shared" si="3"/>
        <v>696076.06999999285</v>
      </c>
      <c r="L29" s="61" t="str">
        <f t="shared" si="4"/>
        <v>Due To TF</v>
      </c>
    </row>
    <row r="30" spans="1:12" x14ac:dyDescent="0.25">
      <c r="A30" s="58" t="s">
        <v>67</v>
      </c>
      <c r="B30" s="59">
        <v>604124</v>
      </c>
      <c r="C30" s="55">
        <v>507321.26999999996</v>
      </c>
      <c r="D30" s="60">
        <v>95424.720000000016</v>
      </c>
      <c r="E30" s="55">
        <v>16276</v>
      </c>
      <c r="F30" s="55">
        <f t="shared" si="0"/>
        <v>619021.99</v>
      </c>
      <c r="G30" s="55">
        <v>10035.130000000001</v>
      </c>
      <c r="H30" s="55">
        <v>594087.77</v>
      </c>
      <c r="I30" s="55">
        <f t="shared" si="1"/>
        <v>604122.9</v>
      </c>
      <c r="J30" s="55">
        <f t="shared" si="2"/>
        <v>-10036.229999999981</v>
      </c>
      <c r="K30" s="55">
        <f t="shared" si="3"/>
        <v>14899.089999999967</v>
      </c>
      <c r="L30" s="61" t="str">
        <f t="shared" si="4"/>
        <v>Due To TF</v>
      </c>
    </row>
    <row r="31" spans="1:12" x14ac:dyDescent="0.25">
      <c r="A31" s="58" t="s">
        <v>69</v>
      </c>
      <c r="B31" s="59">
        <v>3029670</v>
      </c>
      <c r="C31" s="55">
        <v>3148076.29</v>
      </c>
      <c r="D31" s="60">
        <v>0</v>
      </c>
      <c r="E31" s="55">
        <v>81621</v>
      </c>
      <c r="F31" s="55">
        <f t="shared" si="0"/>
        <v>3229697.29</v>
      </c>
      <c r="G31" s="55">
        <v>196026.39</v>
      </c>
      <c r="H31" s="55">
        <v>2993272.8899999997</v>
      </c>
      <c r="I31" s="55">
        <f t="shared" si="1"/>
        <v>3189299.28</v>
      </c>
      <c r="J31" s="55">
        <f t="shared" si="2"/>
        <v>-36397.110000000335</v>
      </c>
      <c r="K31" s="55">
        <f t="shared" si="3"/>
        <v>40398.010000000242</v>
      </c>
      <c r="L31" s="61" t="str">
        <f t="shared" si="4"/>
        <v>Due To TF</v>
      </c>
    </row>
    <row r="32" spans="1:12" x14ac:dyDescent="0.25">
      <c r="A32" s="58" t="s">
        <v>71</v>
      </c>
      <c r="B32" s="59">
        <v>1128978</v>
      </c>
      <c r="C32" s="55">
        <v>794492.77</v>
      </c>
      <c r="D32" s="60">
        <v>284103.28999999992</v>
      </c>
      <c r="E32" s="55">
        <v>30415</v>
      </c>
      <c r="F32" s="55">
        <f t="shared" si="0"/>
        <v>1109011.06</v>
      </c>
      <c r="G32" s="55">
        <v>0</v>
      </c>
      <c r="H32" s="55">
        <v>984850.1</v>
      </c>
      <c r="I32" s="55">
        <f t="shared" si="1"/>
        <v>984850.1</v>
      </c>
      <c r="J32" s="55">
        <f t="shared" si="2"/>
        <v>-144127.90000000002</v>
      </c>
      <c r="K32" s="55">
        <f>F32-I32</f>
        <v>124160.96000000008</v>
      </c>
      <c r="L32" s="61" t="str">
        <f t="shared" si="4"/>
        <v>Due To TF</v>
      </c>
    </row>
    <row r="33" spans="1:12" x14ac:dyDescent="0.25">
      <c r="A33" s="58" t="s">
        <v>73</v>
      </c>
      <c r="B33" s="59">
        <v>513902</v>
      </c>
      <c r="C33" s="55">
        <v>343255.80000000005</v>
      </c>
      <c r="D33" s="60">
        <v>166246.87000000002</v>
      </c>
      <c r="E33" s="55">
        <v>13845</v>
      </c>
      <c r="F33" s="55">
        <f t="shared" si="0"/>
        <v>523347.67000000004</v>
      </c>
      <c r="G33" s="55">
        <v>0</v>
      </c>
      <c r="H33" s="55">
        <v>513901.74</v>
      </c>
      <c r="I33" s="55">
        <f t="shared" si="1"/>
        <v>513901.74</v>
      </c>
      <c r="J33" s="55">
        <f t="shared" si="2"/>
        <v>-0.26000000000931323</v>
      </c>
      <c r="K33" s="55">
        <f t="shared" si="3"/>
        <v>9445.9300000000512</v>
      </c>
      <c r="L33" s="61" t="str">
        <f t="shared" si="4"/>
        <v>Due To TF</v>
      </c>
    </row>
    <row r="34" spans="1:12" x14ac:dyDescent="0.25">
      <c r="A34" s="58" t="s">
        <v>75</v>
      </c>
      <c r="B34" s="59">
        <v>315037</v>
      </c>
      <c r="C34" s="55">
        <v>111159.48999999999</v>
      </c>
      <c r="D34" s="60">
        <v>232866.41999999998</v>
      </c>
      <c r="E34" s="55">
        <v>8488</v>
      </c>
      <c r="F34" s="55">
        <f t="shared" ref="F34:F68" si="5">SUM(C34:E34)</f>
        <v>352513.91</v>
      </c>
      <c r="G34" s="55">
        <v>0</v>
      </c>
      <c r="H34" s="55">
        <v>315037</v>
      </c>
      <c r="I34" s="55">
        <f t="shared" si="1"/>
        <v>315037</v>
      </c>
      <c r="J34" s="55">
        <f t="shared" si="2"/>
        <v>0</v>
      </c>
      <c r="K34" s="55">
        <f t="shared" si="3"/>
        <v>37476.909999999974</v>
      </c>
      <c r="L34" s="61" t="str">
        <f t="shared" si="4"/>
        <v>Due To TF</v>
      </c>
    </row>
    <row r="35" spans="1:12" x14ac:dyDescent="0.25">
      <c r="A35" s="58" t="s">
        <v>77</v>
      </c>
      <c r="B35" s="59">
        <v>6312466</v>
      </c>
      <c r="C35" s="55">
        <v>6655992</v>
      </c>
      <c r="D35" s="60">
        <v>0</v>
      </c>
      <c r="E35" s="55">
        <v>170063</v>
      </c>
      <c r="F35" s="55">
        <f t="shared" si="5"/>
        <v>6826055</v>
      </c>
      <c r="G35" s="55">
        <v>467934</v>
      </c>
      <c r="H35" s="55">
        <v>5867052.29</v>
      </c>
      <c r="I35" s="55">
        <f t="shared" si="1"/>
        <v>6334986.29</v>
      </c>
      <c r="J35" s="55">
        <f t="shared" si="2"/>
        <v>-445413.70999999996</v>
      </c>
      <c r="K35" s="55">
        <f t="shared" si="3"/>
        <v>491068.70999999996</v>
      </c>
      <c r="L35" s="61" t="str">
        <f t="shared" si="4"/>
        <v>Due To TF</v>
      </c>
    </row>
    <row r="36" spans="1:12" x14ac:dyDescent="0.25">
      <c r="A36" s="58" t="s">
        <v>79</v>
      </c>
      <c r="B36" s="59">
        <v>11903367</v>
      </c>
      <c r="C36" s="55">
        <v>15365493.060000001</v>
      </c>
      <c r="D36" s="60">
        <v>0</v>
      </c>
      <c r="E36" s="55">
        <v>320686</v>
      </c>
      <c r="F36" s="55">
        <f t="shared" si="5"/>
        <v>15686179.060000001</v>
      </c>
      <c r="G36" s="55">
        <v>2645030.5</v>
      </c>
      <c r="H36" s="55">
        <v>11903367.000000002</v>
      </c>
      <c r="I36" s="55">
        <f t="shared" si="1"/>
        <v>14548397.500000002</v>
      </c>
      <c r="J36" s="55">
        <f t="shared" si="2"/>
        <v>0</v>
      </c>
      <c r="K36" s="55">
        <f t="shared" si="3"/>
        <v>1137781.5599999987</v>
      </c>
      <c r="L36" s="61" t="str">
        <f t="shared" si="4"/>
        <v>Due To TF</v>
      </c>
    </row>
    <row r="37" spans="1:12" x14ac:dyDescent="0.25">
      <c r="A37" s="62" t="s">
        <v>81</v>
      </c>
      <c r="B37" s="63">
        <v>6023069</v>
      </c>
      <c r="C37" s="64">
        <v>4964311.1300000008</v>
      </c>
      <c r="D37" s="65">
        <v>1592238.4499999997</v>
      </c>
      <c r="E37" s="64">
        <v>162266</v>
      </c>
      <c r="F37" s="64">
        <f t="shared" si="5"/>
        <v>6718815.5800000001</v>
      </c>
      <c r="G37" s="64">
        <v>122960.57</v>
      </c>
      <c r="H37" s="64">
        <v>5613012.3700000001</v>
      </c>
      <c r="I37" s="64">
        <f t="shared" si="1"/>
        <v>5735972.9400000004</v>
      </c>
      <c r="J37" s="64">
        <f t="shared" si="2"/>
        <v>-410056.62999999989</v>
      </c>
      <c r="K37" s="55">
        <f t="shared" si="3"/>
        <v>982842.63999999966</v>
      </c>
      <c r="L37" s="66" t="str">
        <f t="shared" si="4"/>
        <v>Due To TF</v>
      </c>
    </row>
    <row r="38" spans="1:12" x14ac:dyDescent="0.25">
      <c r="A38" s="58" t="s">
        <v>83</v>
      </c>
      <c r="B38" s="59">
        <v>1148148</v>
      </c>
      <c r="C38" s="55">
        <v>977812.20000000019</v>
      </c>
      <c r="D38" s="60">
        <v>214136.22000000003</v>
      </c>
      <c r="E38" s="55">
        <v>30932</v>
      </c>
      <c r="F38" s="55">
        <f t="shared" si="5"/>
        <v>1222880.4200000002</v>
      </c>
      <c r="G38" s="55">
        <v>0</v>
      </c>
      <c r="H38" s="55">
        <v>1120232.2000000002</v>
      </c>
      <c r="I38" s="55">
        <f t="shared" si="1"/>
        <v>1120232.2000000002</v>
      </c>
      <c r="J38" s="55">
        <f t="shared" si="2"/>
        <v>-27915.799999999814</v>
      </c>
      <c r="K38" s="55">
        <f t="shared" si="3"/>
        <v>102648.21999999997</v>
      </c>
      <c r="L38" s="61" t="str">
        <f t="shared" si="4"/>
        <v>Due To TF</v>
      </c>
    </row>
    <row r="39" spans="1:12" x14ac:dyDescent="0.25">
      <c r="A39" s="58" t="s">
        <v>85</v>
      </c>
      <c r="B39" s="59">
        <v>322497</v>
      </c>
      <c r="C39" s="55">
        <v>155926.1</v>
      </c>
      <c r="D39" s="60">
        <v>127162.72</v>
      </c>
      <c r="E39" s="55">
        <v>8689</v>
      </c>
      <c r="F39" s="55">
        <f t="shared" si="5"/>
        <v>291777.82</v>
      </c>
      <c r="G39" s="55">
        <v>0</v>
      </c>
      <c r="H39" s="55">
        <v>322497</v>
      </c>
      <c r="I39" s="55">
        <f t="shared" si="1"/>
        <v>322497</v>
      </c>
      <c r="J39" s="55">
        <f t="shared" si="2"/>
        <v>0</v>
      </c>
      <c r="K39" s="55">
        <f t="shared" si="3"/>
        <v>-30719.179999999993</v>
      </c>
      <c r="L39" s="61" t="str">
        <f t="shared" si="4"/>
        <v>Due From TF</v>
      </c>
    </row>
    <row r="40" spans="1:12" x14ac:dyDescent="0.25">
      <c r="A40" s="68" t="s">
        <v>87</v>
      </c>
      <c r="B40" s="59">
        <v>568909</v>
      </c>
      <c r="C40" s="55">
        <v>562383.62</v>
      </c>
      <c r="D40" s="60">
        <v>44181.720000000008</v>
      </c>
      <c r="E40" s="55">
        <v>15327</v>
      </c>
      <c r="F40" s="55">
        <f t="shared" si="5"/>
        <v>621892.34</v>
      </c>
      <c r="G40" s="55">
        <v>26740.510000000002</v>
      </c>
      <c r="H40" s="55">
        <v>551713.03</v>
      </c>
      <c r="I40" s="55">
        <f t="shared" si="1"/>
        <v>578453.54</v>
      </c>
      <c r="J40" s="55">
        <f t="shared" si="2"/>
        <v>-17195.969999999972</v>
      </c>
      <c r="K40" s="55">
        <f t="shared" si="3"/>
        <v>43438.79999999993</v>
      </c>
      <c r="L40" s="61" t="str">
        <f t="shared" si="4"/>
        <v>Due To TF</v>
      </c>
    </row>
    <row r="41" spans="1:12" x14ac:dyDescent="0.25">
      <c r="A41" s="58" t="s">
        <v>89</v>
      </c>
      <c r="B41" s="59">
        <v>6050341</v>
      </c>
      <c r="C41" s="55">
        <v>6851564.370000001</v>
      </c>
      <c r="D41" s="60">
        <v>4079.83</v>
      </c>
      <c r="E41" s="55">
        <v>163000</v>
      </c>
      <c r="F41" s="55">
        <f t="shared" si="5"/>
        <v>7018644.2000000011</v>
      </c>
      <c r="G41" s="55">
        <v>931332.09</v>
      </c>
      <c r="H41" s="55">
        <v>5829099.8399999999</v>
      </c>
      <c r="I41" s="55">
        <f t="shared" si="1"/>
        <v>6760431.9299999997</v>
      </c>
      <c r="J41" s="55">
        <f t="shared" si="2"/>
        <v>-221241.16000000015</v>
      </c>
      <c r="K41" s="55">
        <f t="shared" si="3"/>
        <v>258212.27000000142</v>
      </c>
      <c r="L41" s="61" t="str">
        <f t="shared" si="4"/>
        <v>Due To TF</v>
      </c>
    </row>
    <row r="42" spans="1:12" x14ac:dyDescent="0.25">
      <c r="A42" s="58" t="s">
        <v>91</v>
      </c>
      <c r="B42" s="59">
        <v>6684670</v>
      </c>
      <c r="C42" s="55">
        <v>7332819.3899999997</v>
      </c>
      <c r="D42" s="60">
        <v>119602.53</v>
      </c>
      <c r="E42" s="55">
        <v>180089</v>
      </c>
      <c r="F42" s="55">
        <f t="shared" si="5"/>
        <v>7632510.9199999999</v>
      </c>
      <c r="G42" s="55">
        <v>805657.55</v>
      </c>
      <c r="H42" s="55">
        <v>6139290.4800000004</v>
      </c>
      <c r="I42" s="55">
        <f t="shared" si="1"/>
        <v>6944948.0300000003</v>
      </c>
      <c r="J42" s="55">
        <f t="shared" si="2"/>
        <v>-545379.51999999955</v>
      </c>
      <c r="K42" s="55">
        <f t="shared" si="3"/>
        <v>687562.88999999966</v>
      </c>
      <c r="L42" s="61" t="str">
        <f t="shared" si="4"/>
        <v>Due To TF</v>
      </c>
    </row>
    <row r="43" spans="1:12" x14ac:dyDescent="0.25">
      <c r="A43" s="58" t="s">
        <v>93</v>
      </c>
      <c r="B43" s="59">
        <v>3572365</v>
      </c>
      <c r="C43" s="55">
        <v>3515941.46</v>
      </c>
      <c r="D43" s="60">
        <v>0</v>
      </c>
      <c r="E43" s="55">
        <v>96243</v>
      </c>
      <c r="F43" s="55">
        <f t="shared" si="5"/>
        <v>3612184.46</v>
      </c>
      <c r="G43" s="55">
        <v>179711.93</v>
      </c>
      <c r="H43" s="55">
        <v>3572105.96</v>
      </c>
      <c r="I43" s="55">
        <f t="shared" si="1"/>
        <v>3751817.89</v>
      </c>
      <c r="J43" s="55">
        <f t="shared" si="2"/>
        <v>-259.04000000003725</v>
      </c>
      <c r="K43" s="55">
        <f t="shared" si="3"/>
        <v>-139633.43000000017</v>
      </c>
      <c r="L43" s="61" t="str">
        <f t="shared" si="4"/>
        <v>Due From TF</v>
      </c>
    </row>
    <row r="44" spans="1:12" x14ac:dyDescent="0.25">
      <c r="A44" s="69" t="s">
        <v>95</v>
      </c>
      <c r="B44" s="59">
        <v>71990695</v>
      </c>
      <c r="C44" s="55">
        <v>80385965.610000014</v>
      </c>
      <c r="D44" s="60">
        <v>567221.87000000011</v>
      </c>
      <c r="E44" s="55">
        <v>1939481</v>
      </c>
      <c r="F44" s="55">
        <f t="shared" si="5"/>
        <v>82892668.480000019</v>
      </c>
      <c r="G44" s="55">
        <v>8956738.4500000011</v>
      </c>
      <c r="H44" s="55">
        <v>71855711.810000002</v>
      </c>
      <c r="I44" s="55">
        <f t="shared" si="1"/>
        <v>80812450.260000005</v>
      </c>
      <c r="J44" s="55">
        <f t="shared" si="2"/>
        <v>-134983.18999999762</v>
      </c>
      <c r="K44" s="55">
        <f t="shared" si="3"/>
        <v>2080218.2200000137</v>
      </c>
      <c r="L44" s="61" t="str">
        <f t="shared" si="4"/>
        <v>Due To TF</v>
      </c>
    </row>
    <row r="45" spans="1:12" x14ac:dyDescent="0.25">
      <c r="A45" s="58" t="s">
        <v>97</v>
      </c>
      <c r="B45" s="59">
        <v>3577729</v>
      </c>
      <c r="C45" s="55">
        <v>3040317.8100000005</v>
      </c>
      <c r="D45" s="60">
        <v>1156826.1299999999</v>
      </c>
      <c r="E45" s="55">
        <v>96387</v>
      </c>
      <c r="F45" s="55">
        <f t="shared" si="5"/>
        <v>4293530.9400000004</v>
      </c>
      <c r="G45" s="55">
        <v>87074.98</v>
      </c>
      <c r="H45" s="55">
        <v>3577728.9999999995</v>
      </c>
      <c r="I45" s="55">
        <f t="shared" si="1"/>
        <v>3664803.9799999995</v>
      </c>
      <c r="J45" s="55">
        <f t="shared" si="2"/>
        <v>0</v>
      </c>
      <c r="K45" s="55">
        <f t="shared" si="3"/>
        <v>628726.96000000089</v>
      </c>
      <c r="L45" s="61" t="str">
        <f t="shared" si="4"/>
        <v>Due To TF</v>
      </c>
    </row>
    <row r="46" spans="1:12" x14ac:dyDescent="0.25">
      <c r="A46" s="58" t="s">
        <v>99</v>
      </c>
      <c r="B46" s="59">
        <v>1593029</v>
      </c>
      <c r="C46" s="55">
        <v>1415894.5600000003</v>
      </c>
      <c r="D46" s="60">
        <v>229341.58000000002</v>
      </c>
      <c r="E46" s="55">
        <v>42918</v>
      </c>
      <c r="F46" s="55">
        <f t="shared" si="5"/>
        <v>1688154.1400000004</v>
      </c>
      <c r="G46" s="55">
        <v>46251.49</v>
      </c>
      <c r="H46" s="55">
        <v>1502881.3399999999</v>
      </c>
      <c r="I46" s="55">
        <f t="shared" si="1"/>
        <v>1549132.8299999998</v>
      </c>
      <c r="J46" s="55">
        <f t="shared" si="2"/>
        <v>-90147.660000000149</v>
      </c>
      <c r="K46" s="55">
        <f t="shared" si="3"/>
        <v>139021.31000000052</v>
      </c>
      <c r="L46" s="61" t="str">
        <f t="shared" si="4"/>
        <v>Due To TF</v>
      </c>
    </row>
    <row r="47" spans="1:12" x14ac:dyDescent="0.25">
      <c r="A47" s="58" t="s">
        <v>101</v>
      </c>
      <c r="B47" s="59">
        <v>3716895</v>
      </c>
      <c r="C47" s="55">
        <v>4087127.0699999994</v>
      </c>
      <c r="D47" s="60">
        <v>0</v>
      </c>
      <c r="E47" s="55">
        <v>100136</v>
      </c>
      <c r="F47" s="55">
        <f t="shared" si="5"/>
        <v>4187263.0699999994</v>
      </c>
      <c r="G47" s="55">
        <v>485032.75</v>
      </c>
      <c r="H47" s="55">
        <v>3716895</v>
      </c>
      <c r="I47" s="55">
        <f t="shared" si="1"/>
        <v>4201927.75</v>
      </c>
      <c r="J47" s="55">
        <f t="shared" si="2"/>
        <v>0</v>
      </c>
      <c r="K47" s="55">
        <f t="shared" si="3"/>
        <v>-14664.680000000633</v>
      </c>
      <c r="L47" s="61" t="str">
        <f t="shared" si="4"/>
        <v>Due From TF</v>
      </c>
    </row>
    <row r="48" spans="1:12" x14ac:dyDescent="0.25">
      <c r="A48" s="58" t="s">
        <v>103</v>
      </c>
      <c r="B48" s="59">
        <v>1298780</v>
      </c>
      <c r="C48" s="55">
        <v>1102043.3500000001</v>
      </c>
      <c r="D48" s="60">
        <v>446655.42</v>
      </c>
      <c r="E48" s="55">
        <v>34991</v>
      </c>
      <c r="F48" s="55">
        <f t="shared" si="5"/>
        <v>1583689.77</v>
      </c>
      <c r="G48" s="55">
        <v>31530.420000000002</v>
      </c>
      <c r="H48" s="55">
        <v>1291240.28</v>
      </c>
      <c r="I48" s="55">
        <f t="shared" si="1"/>
        <v>1322770.7</v>
      </c>
      <c r="J48" s="55">
        <f t="shared" si="2"/>
        <v>-7539.7199999999721</v>
      </c>
      <c r="K48" s="55">
        <f t="shared" si="3"/>
        <v>260919.07000000007</v>
      </c>
      <c r="L48" s="61" t="str">
        <f t="shared" si="4"/>
        <v>Due To TF</v>
      </c>
    </row>
    <row r="49" spans="1:12" x14ac:dyDescent="0.25">
      <c r="A49" s="58" t="s">
        <v>105</v>
      </c>
      <c r="B49" s="59">
        <v>29521041</v>
      </c>
      <c r="C49" s="55">
        <v>40236093.120000005</v>
      </c>
      <c r="D49" s="60">
        <v>0</v>
      </c>
      <c r="E49" s="55">
        <v>795312</v>
      </c>
      <c r="F49" s="55">
        <f t="shared" si="5"/>
        <v>41031405.120000005</v>
      </c>
      <c r="G49" s="55">
        <v>11284988.810000001</v>
      </c>
      <c r="H49" s="55">
        <v>29517992.700000003</v>
      </c>
      <c r="I49" s="55">
        <f t="shared" si="1"/>
        <v>40802981.510000005</v>
      </c>
      <c r="J49" s="55">
        <f t="shared" si="2"/>
        <v>-3048.2999999970198</v>
      </c>
      <c r="K49" s="55">
        <f t="shared" si="3"/>
        <v>228423.6099999994</v>
      </c>
      <c r="L49" s="61" t="str">
        <f t="shared" si="4"/>
        <v>Due To TF</v>
      </c>
    </row>
    <row r="50" spans="1:12" x14ac:dyDescent="0.25">
      <c r="A50" s="68" t="s">
        <v>107</v>
      </c>
      <c r="B50" s="59">
        <v>7898791</v>
      </c>
      <c r="C50" s="55">
        <v>9586436.6600000001</v>
      </c>
      <c r="D50" s="60">
        <v>0</v>
      </c>
      <c r="E50" s="55">
        <v>212799</v>
      </c>
      <c r="F50" s="55">
        <f t="shared" si="5"/>
        <v>9799235.6600000001</v>
      </c>
      <c r="G50" s="55">
        <v>1759889.2699999998</v>
      </c>
      <c r="H50" s="55">
        <v>6457146.1200000001</v>
      </c>
      <c r="I50" s="55">
        <f t="shared" si="1"/>
        <v>8217035.3899999997</v>
      </c>
      <c r="J50" s="55">
        <f t="shared" si="2"/>
        <v>-1441644.88</v>
      </c>
      <c r="K50" s="64">
        <f t="shared" si="3"/>
        <v>1582200.2700000005</v>
      </c>
      <c r="L50" s="61" t="str">
        <f t="shared" si="4"/>
        <v>Due To TF</v>
      </c>
    </row>
    <row r="51" spans="1:12" x14ac:dyDescent="0.25">
      <c r="A51" s="62" t="s">
        <v>109</v>
      </c>
      <c r="B51" s="63">
        <v>30780285</v>
      </c>
      <c r="C51" s="64">
        <v>27432564.439999998</v>
      </c>
      <c r="D51" s="65">
        <v>2595405.9600000004</v>
      </c>
      <c r="E51" s="64">
        <v>829243</v>
      </c>
      <c r="F51" s="64">
        <f t="shared" si="5"/>
        <v>30857213.399999999</v>
      </c>
      <c r="G51" s="64">
        <v>836031.21</v>
      </c>
      <c r="H51" s="64">
        <v>28925098.079999998</v>
      </c>
      <c r="I51" s="64">
        <f t="shared" si="1"/>
        <v>29761129.289999999</v>
      </c>
      <c r="J51" s="64">
        <f t="shared" si="2"/>
        <v>-1855186.9200000018</v>
      </c>
      <c r="K51" s="55">
        <f t="shared" si="3"/>
        <v>1096084.1099999994</v>
      </c>
      <c r="L51" s="66" t="str">
        <f t="shared" si="4"/>
        <v>Due To TF</v>
      </c>
    </row>
    <row r="52" spans="1:12" x14ac:dyDescent="0.25">
      <c r="A52" s="58" t="s">
        <v>111</v>
      </c>
      <c r="B52" s="59">
        <v>11837845</v>
      </c>
      <c r="C52" s="55">
        <v>9450444.3800000008</v>
      </c>
      <c r="D52" s="60">
        <v>3428534.5500000007</v>
      </c>
      <c r="E52" s="55">
        <v>318920</v>
      </c>
      <c r="F52" s="55">
        <f t="shared" si="5"/>
        <v>13197898.930000002</v>
      </c>
      <c r="G52" s="55">
        <v>427981.74</v>
      </c>
      <c r="H52" s="55">
        <v>11837845</v>
      </c>
      <c r="I52" s="55">
        <f t="shared" si="1"/>
        <v>12265826.74</v>
      </c>
      <c r="J52" s="55">
        <f t="shared" si="2"/>
        <v>0</v>
      </c>
      <c r="K52" s="55">
        <f t="shared" si="3"/>
        <v>932072.19000000134</v>
      </c>
      <c r="L52" s="61" t="str">
        <f t="shared" si="4"/>
        <v>Due To TF</v>
      </c>
    </row>
    <row r="53" spans="1:12" x14ac:dyDescent="0.25">
      <c r="A53" s="58" t="s">
        <v>113</v>
      </c>
      <c r="B53" s="59">
        <v>23037307</v>
      </c>
      <c r="C53" s="55">
        <v>19159467.920000002</v>
      </c>
      <c r="D53" s="60">
        <v>3161429.25</v>
      </c>
      <c r="E53" s="55">
        <v>620641</v>
      </c>
      <c r="F53" s="55">
        <f t="shared" si="5"/>
        <v>22941538.170000002</v>
      </c>
      <c r="G53" s="55">
        <v>940257.63</v>
      </c>
      <c r="H53" s="55">
        <v>23037307</v>
      </c>
      <c r="I53" s="55">
        <f t="shared" si="1"/>
        <v>23977564.629999999</v>
      </c>
      <c r="J53" s="55">
        <f t="shared" si="2"/>
        <v>0</v>
      </c>
      <c r="K53" s="55">
        <f t="shared" si="3"/>
        <v>-1036026.4599999972</v>
      </c>
      <c r="L53" s="61" t="str">
        <f t="shared" si="4"/>
        <v>Due From TF</v>
      </c>
    </row>
    <row r="54" spans="1:12" x14ac:dyDescent="0.25">
      <c r="A54" s="58" t="s">
        <v>115</v>
      </c>
      <c r="B54" s="59">
        <v>12626653</v>
      </c>
      <c r="C54" s="55">
        <v>15227575.09</v>
      </c>
      <c r="D54" s="60">
        <v>0</v>
      </c>
      <c r="E54" s="55">
        <v>340171</v>
      </c>
      <c r="F54" s="55">
        <f t="shared" si="5"/>
        <v>15567746.09</v>
      </c>
      <c r="G54" s="55">
        <v>2619982.69</v>
      </c>
      <c r="H54" s="55">
        <v>12531172.759999998</v>
      </c>
      <c r="I54" s="55">
        <f t="shared" si="1"/>
        <v>15151155.449999997</v>
      </c>
      <c r="J54" s="55">
        <f t="shared" si="2"/>
        <v>-95480.240000002086</v>
      </c>
      <c r="K54" s="55">
        <f t="shared" si="3"/>
        <v>416590.64000000246</v>
      </c>
      <c r="L54" s="61" t="str">
        <f t="shared" si="4"/>
        <v>Due To TF</v>
      </c>
    </row>
    <row r="55" spans="1:12" x14ac:dyDescent="0.25">
      <c r="A55" s="58" t="s">
        <v>117</v>
      </c>
      <c r="B55" s="59">
        <v>2193536</v>
      </c>
      <c r="C55" s="55">
        <v>1291433.03</v>
      </c>
      <c r="D55" s="60">
        <v>1210637.49</v>
      </c>
      <c r="E55" s="55">
        <v>59096</v>
      </c>
      <c r="F55" s="55">
        <f t="shared" si="5"/>
        <v>2561166.52</v>
      </c>
      <c r="G55" s="55">
        <v>0</v>
      </c>
      <c r="H55" s="55">
        <v>2189452.0699999998</v>
      </c>
      <c r="I55" s="55">
        <f t="shared" si="1"/>
        <v>2189452.0699999998</v>
      </c>
      <c r="J55" s="55">
        <f t="shared" si="2"/>
        <v>-4083.9300000001676</v>
      </c>
      <c r="K55" s="55">
        <f t="shared" si="3"/>
        <v>371714.45000000019</v>
      </c>
      <c r="L55" s="61" t="str">
        <f t="shared" si="4"/>
        <v>Due To TF</v>
      </c>
    </row>
    <row r="56" spans="1:12" x14ac:dyDescent="0.25">
      <c r="A56" s="58" t="s">
        <v>119</v>
      </c>
      <c r="B56" s="59">
        <v>3655585</v>
      </c>
      <c r="C56" s="55">
        <v>5045113.5900000008</v>
      </c>
      <c r="D56" s="60">
        <v>10158.25</v>
      </c>
      <c r="E56" s="55">
        <v>98484</v>
      </c>
      <c r="F56" s="55">
        <f t="shared" si="5"/>
        <v>5153755.8400000008</v>
      </c>
      <c r="G56" s="55">
        <v>1395636.1200000006</v>
      </c>
      <c r="H56" s="55">
        <v>3655585</v>
      </c>
      <c r="I56" s="55">
        <f t="shared" si="1"/>
        <v>5051221.120000001</v>
      </c>
      <c r="J56" s="55">
        <f t="shared" si="2"/>
        <v>0</v>
      </c>
      <c r="K56" s="55">
        <f t="shared" si="3"/>
        <v>102534.71999999974</v>
      </c>
      <c r="L56" s="61" t="str">
        <f t="shared" si="4"/>
        <v>Due To TF</v>
      </c>
    </row>
    <row r="57" spans="1:12" x14ac:dyDescent="0.25">
      <c r="A57" s="58" t="s">
        <v>121</v>
      </c>
      <c r="B57" s="59">
        <v>6804946</v>
      </c>
      <c r="C57" s="55">
        <v>7410546.71</v>
      </c>
      <c r="D57" s="60">
        <v>127501.38</v>
      </c>
      <c r="E57" s="55">
        <v>183331</v>
      </c>
      <c r="F57" s="55">
        <f t="shared" si="5"/>
        <v>7721379.0899999999</v>
      </c>
      <c r="G57" s="55">
        <v>733833.4</v>
      </c>
      <c r="H57" s="55">
        <v>6804946.0000000009</v>
      </c>
      <c r="I57" s="55">
        <f t="shared" si="1"/>
        <v>7538779.4000000013</v>
      </c>
      <c r="J57" s="55">
        <f t="shared" si="2"/>
        <v>0</v>
      </c>
      <c r="K57" s="55">
        <f t="shared" si="3"/>
        <v>182599.68999999855</v>
      </c>
      <c r="L57" s="61" t="str">
        <f t="shared" si="4"/>
        <v>Due To TF</v>
      </c>
    </row>
    <row r="58" spans="1:12" x14ac:dyDescent="0.25">
      <c r="A58" s="58" t="s">
        <v>123</v>
      </c>
      <c r="B58" s="59">
        <v>3243589</v>
      </c>
      <c r="C58" s="55">
        <v>4006976.1700000004</v>
      </c>
      <c r="D58" s="60">
        <v>0</v>
      </c>
      <c r="E58" s="55">
        <v>87385</v>
      </c>
      <c r="F58" s="55">
        <f t="shared" si="5"/>
        <v>4094361.1700000004</v>
      </c>
      <c r="G58" s="55">
        <v>735235.05</v>
      </c>
      <c r="H58" s="55">
        <v>3243588.82</v>
      </c>
      <c r="I58" s="55">
        <f t="shared" si="1"/>
        <v>3978823.87</v>
      </c>
      <c r="J58" s="55">
        <f t="shared" si="2"/>
        <v>-0.18000000016763806</v>
      </c>
      <c r="K58" s="55">
        <f t="shared" si="3"/>
        <v>115537.30000000028</v>
      </c>
      <c r="L58" s="61" t="str">
        <f t="shared" si="4"/>
        <v>Due To TF</v>
      </c>
    </row>
    <row r="59" spans="1:12" x14ac:dyDescent="0.25">
      <c r="A59" s="58" t="s">
        <v>125</v>
      </c>
      <c r="B59" s="59">
        <v>8275601</v>
      </c>
      <c r="C59" s="55">
        <v>8524249.1699999999</v>
      </c>
      <c r="D59" s="60">
        <v>1396938.95</v>
      </c>
      <c r="E59" s="55">
        <v>222950</v>
      </c>
      <c r="F59" s="55">
        <f t="shared" si="5"/>
        <v>10144138.119999999</v>
      </c>
      <c r="G59" s="55">
        <f>707939.3+34887</f>
        <v>742826.3</v>
      </c>
      <c r="H59" s="55">
        <v>7707683.6600000001</v>
      </c>
      <c r="I59" s="55">
        <f t="shared" si="1"/>
        <v>8450509.9600000009</v>
      </c>
      <c r="J59" s="55">
        <f t="shared" si="2"/>
        <v>-567917.33999999985</v>
      </c>
      <c r="K59" s="55">
        <f t="shared" si="3"/>
        <v>1693628.1599999983</v>
      </c>
      <c r="L59" s="61" t="str">
        <f t="shared" si="4"/>
        <v>Due To TF</v>
      </c>
    </row>
    <row r="60" spans="1:12" x14ac:dyDescent="0.25">
      <c r="A60" s="58" t="s">
        <v>127</v>
      </c>
      <c r="B60" s="59">
        <v>9024814</v>
      </c>
      <c r="C60" s="55">
        <v>8580249.9199999999</v>
      </c>
      <c r="D60" s="60">
        <v>0</v>
      </c>
      <c r="E60" s="55">
        <v>243135</v>
      </c>
      <c r="F60" s="55">
        <f t="shared" si="5"/>
        <v>8823384.9199999999</v>
      </c>
      <c r="G60" s="55">
        <v>386077.28</v>
      </c>
      <c r="H60" s="55">
        <v>8823384.9200000018</v>
      </c>
      <c r="I60" s="55">
        <f t="shared" si="1"/>
        <v>9209462.2000000011</v>
      </c>
      <c r="J60" s="55">
        <f t="shared" si="2"/>
        <v>-201429.07999999821</v>
      </c>
      <c r="K60" s="55">
        <f t="shared" si="3"/>
        <v>-386077.28000000119</v>
      </c>
      <c r="L60" s="61" t="str">
        <f t="shared" si="4"/>
        <v>Due From TF</v>
      </c>
    </row>
    <row r="61" spans="1:12" x14ac:dyDescent="0.25">
      <c r="A61" s="58" t="s">
        <v>129</v>
      </c>
      <c r="B61" s="59">
        <v>1941030</v>
      </c>
      <c r="C61" s="55">
        <v>2381924.5</v>
      </c>
      <c r="D61" s="60">
        <v>0</v>
      </c>
      <c r="E61" s="55">
        <v>52293</v>
      </c>
      <c r="F61" s="55">
        <f t="shared" si="5"/>
        <v>2434217.5</v>
      </c>
      <c r="G61" s="55">
        <v>448055.14999999997</v>
      </c>
      <c r="H61" s="55">
        <v>1941030</v>
      </c>
      <c r="I61" s="55">
        <f t="shared" si="1"/>
        <v>2389085.15</v>
      </c>
      <c r="J61" s="55">
        <f t="shared" si="2"/>
        <v>0</v>
      </c>
      <c r="K61" s="55">
        <f t="shared" si="3"/>
        <v>45132.350000000093</v>
      </c>
      <c r="L61" s="61" t="str">
        <f t="shared" si="4"/>
        <v>Due To TF</v>
      </c>
    </row>
    <row r="62" spans="1:12" x14ac:dyDescent="0.25">
      <c r="A62" s="58" t="s">
        <v>131</v>
      </c>
      <c r="B62" s="59">
        <v>1199403</v>
      </c>
      <c r="C62" s="55">
        <v>1137144.98</v>
      </c>
      <c r="D62" s="60">
        <v>274302.33</v>
      </c>
      <c r="E62" s="55">
        <v>32313</v>
      </c>
      <c r="F62" s="55">
        <f t="shared" si="5"/>
        <v>1443760.31</v>
      </c>
      <c r="G62" s="55">
        <v>40588.51</v>
      </c>
      <c r="H62" s="55">
        <v>1199403</v>
      </c>
      <c r="I62" s="55">
        <f t="shared" si="1"/>
        <v>1239991.51</v>
      </c>
      <c r="J62" s="55">
        <f t="shared" si="2"/>
        <v>0</v>
      </c>
      <c r="K62" s="55">
        <f t="shared" si="3"/>
        <v>203768.80000000005</v>
      </c>
      <c r="L62" s="61" t="str">
        <f t="shared" si="4"/>
        <v>Due To TF</v>
      </c>
    </row>
    <row r="63" spans="1:12" x14ac:dyDescent="0.25">
      <c r="A63" s="62" t="s">
        <v>133</v>
      </c>
      <c r="B63" s="63">
        <v>574286</v>
      </c>
      <c r="C63" s="64">
        <v>416191.75</v>
      </c>
      <c r="D63" s="65">
        <v>167132.04000000004</v>
      </c>
      <c r="E63" s="64">
        <v>15472</v>
      </c>
      <c r="F63" s="64">
        <f t="shared" si="5"/>
        <v>598795.79</v>
      </c>
      <c r="G63" s="64">
        <v>0</v>
      </c>
      <c r="H63" s="64">
        <v>574003.06999999995</v>
      </c>
      <c r="I63" s="64">
        <f t="shared" si="1"/>
        <v>574003.06999999995</v>
      </c>
      <c r="J63" s="64">
        <f t="shared" si="2"/>
        <v>-282.93000000005122</v>
      </c>
      <c r="K63" s="55">
        <f t="shared" si="3"/>
        <v>24792.720000000088</v>
      </c>
      <c r="L63" s="66" t="str">
        <f t="shared" si="4"/>
        <v>Due To TF</v>
      </c>
    </row>
    <row r="64" spans="1:12" x14ac:dyDescent="0.25">
      <c r="A64" s="62" t="s">
        <v>135</v>
      </c>
      <c r="B64" s="63">
        <v>498165</v>
      </c>
      <c r="C64" s="64">
        <v>155040.68000000002</v>
      </c>
      <c r="D64" s="65">
        <v>364316.03999999986</v>
      </c>
      <c r="E64" s="64">
        <v>13421</v>
      </c>
      <c r="F64" s="64">
        <f t="shared" si="5"/>
        <v>532777.71999999986</v>
      </c>
      <c r="G64" s="64">
        <v>0</v>
      </c>
      <c r="H64" s="64">
        <v>490171.85</v>
      </c>
      <c r="I64" s="64">
        <f t="shared" si="1"/>
        <v>490171.85</v>
      </c>
      <c r="J64" s="64">
        <f t="shared" si="2"/>
        <v>-7993.1500000000233</v>
      </c>
      <c r="K64" s="55">
        <f t="shared" si="3"/>
        <v>42605.869999999879</v>
      </c>
      <c r="L64" s="66" t="str">
        <f t="shared" si="4"/>
        <v>Due To TF</v>
      </c>
    </row>
    <row r="65" spans="1:12" x14ac:dyDescent="0.25">
      <c r="A65" s="58" t="s">
        <v>137</v>
      </c>
      <c r="B65" s="59">
        <v>11847283</v>
      </c>
      <c r="C65" s="55">
        <v>12000029.82</v>
      </c>
      <c r="D65" s="60">
        <v>871784.96999999986</v>
      </c>
      <c r="E65" s="55">
        <v>319174</v>
      </c>
      <c r="F65" s="55">
        <f t="shared" si="5"/>
        <v>13190988.790000001</v>
      </c>
      <c r="G65" s="55">
        <v>1173421.23</v>
      </c>
      <c r="H65" s="55">
        <v>11099886.32</v>
      </c>
      <c r="I65" s="55">
        <f t="shared" si="1"/>
        <v>12273307.550000001</v>
      </c>
      <c r="J65" s="55">
        <f t="shared" si="2"/>
        <v>-747396.6799999997</v>
      </c>
      <c r="K65" s="55">
        <f t="shared" si="3"/>
        <v>917681.24000000022</v>
      </c>
      <c r="L65" s="61" t="str">
        <f t="shared" si="4"/>
        <v>Due To TF</v>
      </c>
    </row>
    <row r="66" spans="1:12" x14ac:dyDescent="0.25">
      <c r="A66" s="58" t="s">
        <v>139</v>
      </c>
      <c r="B66" s="59">
        <v>704724</v>
      </c>
      <c r="C66" s="55">
        <v>684230.00999999989</v>
      </c>
      <c r="D66" s="60">
        <v>110892.7</v>
      </c>
      <c r="E66" s="55">
        <v>18985</v>
      </c>
      <c r="F66" s="55">
        <f t="shared" si="5"/>
        <v>814107.70999999985</v>
      </c>
      <c r="G66" s="55">
        <v>88109.69</v>
      </c>
      <c r="H66" s="55">
        <v>704723</v>
      </c>
      <c r="I66" s="55">
        <f t="shared" ref="I66:I68" si="6">SUM(G66:H66)</f>
        <v>792832.69</v>
      </c>
      <c r="J66" s="55">
        <f t="shared" ref="J66:J68" si="7">H66-B66</f>
        <v>-1</v>
      </c>
      <c r="K66" s="55">
        <f t="shared" ref="K66:K68" si="8">F66-I66</f>
        <v>21275.019999999902</v>
      </c>
      <c r="L66" s="61" t="str">
        <f t="shared" ref="L66:L68" si="9">_xlfn.IFS(K66&gt;0,"Due To TF",K66&lt;0,"Due From TF")</f>
        <v>Due To TF</v>
      </c>
    </row>
    <row r="67" spans="1:12" x14ac:dyDescent="0.25">
      <c r="A67" s="58" t="s">
        <v>141</v>
      </c>
      <c r="B67" s="59">
        <v>1687871</v>
      </c>
      <c r="C67" s="55">
        <v>1768386.97</v>
      </c>
      <c r="D67" s="60">
        <v>262401</v>
      </c>
      <c r="E67" s="55">
        <v>45472</v>
      </c>
      <c r="F67" s="55">
        <f t="shared" si="5"/>
        <v>2076259.97</v>
      </c>
      <c r="G67" s="55">
        <v>170557.91</v>
      </c>
      <c r="H67" s="55">
        <v>1687871</v>
      </c>
      <c r="I67" s="55">
        <f t="shared" si="6"/>
        <v>1858428.91</v>
      </c>
      <c r="J67" s="55">
        <f t="shared" si="7"/>
        <v>0</v>
      </c>
      <c r="K67" s="55">
        <f t="shared" si="8"/>
        <v>217831.06000000006</v>
      </c>
      <c r="L67" s="61" t="str">
        <f t="shared" si="9"/>
        <v>Due To TF</v>
      </c>
    </row>
    <row r="68" spans="1:12" ht="16.5" thickBot="1" x14ac:dyDescent="0.3">
      <c r="A68" s="70" t="s">
        <v>143</v>
      </c>
      <c r="B68" s="71">
        <v>805838</v>
      </c>
      <c r="C68" s="72">
        <v>472807.80999999994</v>
      </c>
      <c r="D68" s="73">
        <v>234740</v>
      </c>
      <c r="E68" s="72">
        <v>21709</v>
      </c>
      <c r="F68" s="72">
        <f t="shared" si="5"/>
        <v>729256.80999999994</v>
      </c>
      <c r="G68" s="72">
        <v>0</v>
      </c>
      <c r="H68" s="72">
        <v>805837.99999999977</v>
      </c>
      <c r="I68" s="72">
        <f t="shared" si="6"/>
        <v>805837.99999999977</v>
      </c>
      <c r="J68" s="72">
        <f t="shared" si="7"/>
        <v>0</v>
      </c>
      <c r="K68" s="72">
        <f t="shared" si="8"/>
        <v>-76581.189999999828</v>
      </c>
      <c r="L68" s="74" t="str">
        <f t="shared" si="9"/>
        <v>Due From TF</v>
      </c>
    </row>
    <row r="69" spans="1:12" ht="16.5" thickBot="1" x14ac:dyDescent="0.3">
      <c r="A69" s="75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7"/>
    </row>
    <row r="70" spans="1:12" s="84" customFormat="1" ht="16.5" thickBot="1" x14ac:dyDescent="0.3">
      <c r="A70" s="78" t="s">
        <v>163</v>
      </c>
      <c r="B70" s="79">
        <f>SUM(B2:B68)</f>
        <v>453209797</v>
      </c>
      <c r="C70" s="80">
        <f t="shared" ref="C70:K70" si="10">SUM(C2:C68)</f>
        <v>469401286.44000012</v>
      </c>
      <c r="D70" s="45">
        <f>SUM(D2:D68)</f>
        <v>30849636.25999999</v>
      </c>
      <c r="E70" s="45">
        <f t="shared" si="10"/>
        <v>12209797</v>
      </c>
      <c r="F70" s="81">
        <f t="shared" si="10"/>
        <v>512460719.69999999</v>
      </c>
      <c r="G70" s="82">
        <f t="shared" si="10"/>
        <v>53031821.86999999</v>
      </c>
      <c r="H70" s="47">
        <f t="shared" si="10"/>
        <v>441269968.12370837</v>
      </c>
      <c r="I70" s="83">
        <f t="shared" si="10"/>
        <v>494301789.99370831</v>
      </c>
      <c r="J70" s="99">
        <f>SUM(J2:J68)</f>
        <v>-11939828.87629159</v>
      </c>
      <c r="K70" s="79">
        <f t="shared" si="10"/>
        <v>18158929.706291597</v>
      </c>
      <c r="L70" s="57"/>
    </row>
    <row r="71" spans="1:12" x14ac:dyDescent="0.25">
      <c r="C71" s="85"/>
      <c r="E71" s="86">
        <f>12209797-E70</f>
        <v>0</v>
      </c>
      <c r="I71" s="85"/>
      <c r="J71" s="88"/>
    </row>
    <row r="72" spans="1:12" x14ac:dyDescent="0.25">
      <c r="A72" s="84"/>
      <c r="B72" s="84"/>
      <c r="E72" s="89"/>
      <c r="G72" s="90"/>
      <c r="H72" s="91"/>
      <c r="J72" s="100"/>
      <c r="L72" s="92"/>
    </row>
    <row r="73" spans="1:12" ht="15.75" customHeight="1" x14ac:dyDescent="0.25">
      <c r="A73" s="493"/>
      <c r="B73" s="493"/>
      <c r="C73" s="493"/>
      <c r="D73" s="493"/>
      <c r="E73" s="93"/>
      <c r="F73" s="93"/>
      <c r="G73" s="94"/>
      <c r="H73" s="91"/>
      <c r="J73" s="100"/>
      <c r="L73" s="92"/>
    </row>
    <row r="74" spans="1:12" x14ac:dyDescent="0.25">
      <c r="A74" s="93"/>
      <c r="B74" s="93"/>
      <c r="C74" s="93"/>
      <c r="D74" s="93"/>
      <c r="E74" s="93"/>
      <c r="F74" s="93"/>
      <c r="G74" s="95"/>
      <c r="H74" s="85"/>
      <c r="J74" s="85"/>
    </row>
    <row r="75" spans="1:12" x14ac:dyDescent="0.25">
      <c r="C75" s="85"/>
      <c r="G75" s="90"/>
    </row>
    <row r="76" spans="1:12" x14ac:dyDescent="0.25">
      <c r="C76" s="85"/>
      <c r="K76" s="92"/>
    </row>
    <row r="77" spans="1:12" x14ac:dyDescent="0.25">
      <c r="I77" s="96"/>
      <c r="J77" s="85"/>
      <c r="K77" s="92"/>
    </row>
    <row r="78" spans="1:12" x14ac:dyDescent="0.25">
      <c r="K78" s="96"/>
    </row>
    <row r="79" spans="1:12" s="92" customFormat="1" x14ac:dyDescent="0.25">
      <c r="G79" s="97"/>
    </row>
  </sheetData>
  <autoFilter ref="A1:L1" xr:uid="{6E7C197F-08F3-4E3C-89AD-6E6A6466593E}">
    <sortState xmlns:xlrd2="http://schemas.microsoft.com/office/spreadsheetml/2017/richdata2" ref="A2:L68">
      <sortCondition ref="A1"/>
    </sortState>
  </autoFilter>
  <mergeCells count="1">
    <mergeCell ref="A73:D73"/>
  </mergeCells>
  <pageMargins left="0.5" right="0.5" top="0.5" bottom="1" header="0.25" footer="0.25"/>
  <pageSetup paperSize="5" scale="67" fitToHeight="0" orientation="landscape" r:id="rId1"/>
  <headerFooter>
    <oddFooter xml:space="preserve">&amp;R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1916-FBDE-4CBE-8D24-3A067FDE894B}">
  <sheetPr>
    <tabColor rgb="FF0070C0"/>
    <pageSetUpPr fitToPage="1"/>
  </sheetPr>
  <dimension ref="A1:B8"/>
  <sheetViews>
    <sheetView zoomScale="120" zoomScaleNormal="120" workbookViewId="0">
      <selection activeCell="A16" sqref="A16"/>
    </sheetView>
  </sheetViews>
  <sheetFormatPr defaultRowHeight="21" x14ac:dyDescent="0.35"/>
  <cols>
    <col min="1" max="1" width="91.85546875" style="1" customWidth="1"/>
    <col min="2" max="2" width="26.85546875" style="1" customWidth="1"/>
    <col min="3" max="3" width="3.85546875" style="1" customWidth="1"/>
    <col min="4" max="16384" width="9.140625" style="1"/>
  </cols>
  <sheetData>
    <row r="1" spans="1:2" x14ac:dyDescent="0.35">
      <c r="A1" s="494" t="s">
        <v>150</v>
      </c>
      <c r="B1" s="494"/>
    </row>
    <row r="2" spans="1:2" ht="39.75" customHeight="1" x14ac:dyDescent="0.35"/>
    <row r="3" spans="1:2" x14ac:dyDescent="0.35">
      <c r="A3" s="168" t="s">
        <v>185</v>
      </c>
      <c r="B3" s="169">
        <v>440981916</v>
      </c>
    </row>
    <row r="4" spans="1:2" x14ac:dyDescent="0.35">
      <c r="A4" s="168" t="s">
        <v>186</v>
      </c>
      <c r="B4" s="170">
        <v>469401286.44</v>
      </c>
    </row>
    <row r="5" spans="1:2" x14ac:dyDescent="0.35">
      <c r="A5" s="168" t="s">
        <v>147</v>
      </c>
      <c r="B5" s="171">
        <f>B4-B3</f>
        <v>28419370.439999998</v>
      </c>
    </row>
    <row r="6" spans="1:2" x14ac:dyDescent="0.35">
      <c r="A6" s="168" t="s">
        <v>148</v>
      </c>
      <c r="B6" s="169">
        <f>B5/2</f>
        <v>14209685.219999999</v>
      </c>
    </row>
    <row r="7" spans="1:2" x14ac:dyDescent="0.35">
      <c r="A7" s="168" t="s">
        <v>151</v>
      </c>
      <c r="B7" s="40">
        <f>B6*-0.1</f>
        <v>-1420968.5219999999</v>
      </c>
    </row>
    <row r="8" spans="1:2" x14ac:dyDescent="0.35">
      <c r="A8" s="42" t="s">
        <v>149</v>
      </c>
      <c r="B8" s="41">
        <f>B6+B7</f>
        <v>12788716.697999999</v>
      </c>
    </row>
  </sheetData>
  <mergeCells count="1">
    <mergeCell ref="A1:B1"/>
  </mergeCells>
  <printOptions horizontalCentered="1"/>
  <pageMargins left="0.5" right="0.5" top="1" bottom="1" header="0.5" footer="0.5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B32A-C38C-46D0-9A79-51D39959D14F}">
  <sheetPr>
    <pageSetUpPr fitToPage="1"/>
  </sheetPr>
  <dimension ref="A1:D91"/>
  <sheetViews>
    <sheetView topLeftCell="A60" zoomScale="130" zoomScaleNormal="130" workbookViewId="0">
      <selection activeCell="C85" sqref="C85"/>
    </sheetView>
  </sheetViews>
  <sheetFormatPr defaultColWidth="9.140625" defaultRowHeight="13.5" outlineLevelRow="2" x14ac:dyDescent="0.25"/>
  <cols>
    <col min="1" max="1" width="13.140625" style="404" customWidth="1"/>
    <col min="2" max="2" width="7.5703125" style="404" customWidth="1"/>
    <col min="3" max="3" width="17.7109375" style="404" customWidth="1"/>
    <col min="4" max="4" width="13.85546875" style="404" customWidth="1"/>
    <col min="5" max="5" width="6.5703125" style="404" customWidth="1"/>
    <col min="6" max="16384" width="9.140625" style="404"/>
  </cols>
  <sheetData>
    <row r="1" spans="1:4" ht="28.5" customHeight="1" thickBot="1" x14ac:dyDescent="0.3">
      <c r="A1" s="500" t="s">
        <v>268</v>
      </c>
      <c r="B1" s="501"/>
      <c r="C1" s="501"/>
      <c r="D1" s="502"/>
    </row>
    <row r="2" spans="1:4" ht="45.75" customHeight="1" thickBot="1" x14ac:dyDescent="0.3">
      <c r="A2" s="405" t="s">
        <v>0</v>
      </c>
      <c r="B2" s="406" t="s">
        <v>269</v>
      </c>
      <c r="C2" s="407" t="s">
        <v>252</v>
      </c>
      <c r="D2" s="408" t="s">
        <v>270</v>
      </c>
    </row>
    <row r="3" spans="1:4" outlineLevel="2" x14ac:dyDescent="0.25">
      <c r="A3" s="409" t="s">
        <v>53</v>
      </c>
      <c r="B3" s="410">
        <v>1</v>
      </c>
      <c r="C3" s="411">
        <v>558057</v>
      </c>
      <c r="D3" s="412">
        <f>C3/$C$7-1</f>
        <v>0.23523035080389687</v>
      </c>
    </row>
    <row r="4" spans="1:4" outlineLevel="2" x14ac:dyDescent="0.25">
      <c r="A4" s="409" t="s">
        <v>75</v>
      </c>
      <c r="B4" s="410">
        <v>1</v>
      </c>
      <c r="C4" s="411">
        <v>343958</v>
      </c>
      <c r="D4" s="413">
        <f t="shared" ref="D4:D6" si="0">C4/$C$7-1</f>
        <v>-0.23866672938103684</v>
      </c>
    </row>
    <row r="5" spans="1:4" outlineLevel="2" x14ac:dyDescent="0.25">
      <c r="A5" s="409" t="s">
        <v>85</v>
      </c>
      <c r="B5" s="410">
        <v>1</v>
      </c>
      <c r="C5" s="411">
        <v>360605</v>
      </c>
      <c r="D5" s="413">
        <f t="shared" si="0"/>
        <v>-0.20181945455098815</v>
      </c>
    </row>
    <row r="6" spans="1:4" ht="14.25" outlineLevel="2" thickBot="1" x14ac:dyDescent="0.3">
      <c r="A6" s="414" t="s">
        <v>135</v>
      </c>
      <c r="B6" s="415">
        <v>1</v>
      </c>
      <c r="C6" s="416">
        <v>544515</v>
      </c>
      <c r="D6" s="417">
        <f t="shared" si="0"/>
        <v>0.20525583312812823</v>
      </c>
    </row>
    <row r="7" spans="1:4" ht="15" customHeight="1" outlineLevel="1" thickBot="1" x14ac:dyDescent="0.3">
      <c r="A7" s="495" t="s">
        <v>271</v>
      </c>
      <c r="B7" s="496"/>
      <c r="C7" s="418">
        <f>SUBTOTAL(1,C3:C6)</f>
        <v>451783.75</v>
      </c>
      <c r="D7" s="419"/>
    </row>
    <row r="8" spans="1:4" outlineLevel="2" x14ac:dyDescent="0.25">
      <c r="A8" s="420" t="s">
        <v>10</v>
      </c>
      <c r="B8" s="421">
        <v>2</v>
      </c>
      <c r="C8" s="411">
        <v>816730</v>
      </c>
      <c r="D8" s="422">
        <f>C8/$C$20-1</f>
        <v>0.17440982094754598</v>
      </c>
    </row>
    <row r="9" spans="1:4" outlineLevel="2" x14ac:dyDescent="0.25">
      <c r="A9" s="420" t="s">
        <v>20</v>
      </c>
      <c r="B9" s="421">
        <v>2</v>
      </c>
      <c r="C9" s="411">
        <v>509417</v>
      </c>
      <c r="D9" s="423">
        <f t="shared" ref="D9:D19" si="1">C9/$C$20-1</f>
        <v>-0.26748824243307334</v>
      </c>
    </row>
    <row r="10" spans="1:4" outlineLevel="2" x14ac:dyDescent="0.25">
      <c r="A10" s="409" t="s">
        <v>34</v>
      </c>
      <c r="B10" s="410">
        <v>2</v>
      </c>
      <c r="C10" s="411">
        <v>561107</v>
      </c>
      <c r="D10" s="424">
        <f t="shared" si="1"/>
        <v>-0.19316105518051907</v>
      </c>
    </row>
    <row r="11" spans="1:4" outlineLevel="2" x14ac:dyDescent="0.25">
      <c r="A11" s="409" t="s">
        <v>45</v>
      </c>
      <c r="B11" s="410">
        <v>2</v>
      </c>
      <c r="C11" s="411">
        <v>729233</v>
      </c>
      <c r="D11" s="425">
        <f t="shared" si="1"/>
        <v>4.8594268557591525E-2</v>
      </c>
    </row>
    <row r="12" spans="1:4" outlineLevel="2" x14ac:dyDescent="0.25">
      <c r="A12" s="409" t="s">
        <v>49</v>
      </c>
      <c r="B12" s="410">
        <v>2</v>
      </c>
      <c r="C12" s="411">
        <v>614496</v>
      </c>
      <c r="D12" s="424">
        <f t="shared" si="1"/>
        <v>-0.11639080561142223</v>
      </c>
    </row>
    <row r="13" spans="1:4" outlineLevel="2" x14ac:dyDescent="0.25">
      <c r="A13" s="409" t="s">
        <v>51</v>
      </c>
      <c r="B13" s="410">
        <v>2</v>
      </c>
      <c r="C13" s="411">
        <v>638127</v>
      </c>
      <c r="D13" s="424">
        <f t="shared" si="1"/>
        <v>-8.2410814085689732E-2</v>
      </c>
    </row>
    <row r="14" spans="1:4" outlineLevel="2" x14ac:dyDescent="0.25">
      <c r="A14" s="409" t="s">
        <v>55</v>
      </c>
      <c r="B14" s="410">
        <v>2</v>
      </c>
      <c r="C14" s="411">
        <v>669639</v>
      </c>
      <c r="D14" s="424">
        <f t="shared" si="1"/>
        <v>-3.7098406952733809E-2</v>
      </c>
    </row>
    <row r="15" spans="1:4" outlineLevel="2" x14ac:dyDescent="0.25">
      <c r="A15" s="409" t="s">
        <v>57</v>
      </c>
      <c r="B15" s="410">
        <v>2</v>
      </c>
      <c r="C15" s="411">
        <v>1021928</v>
      </c>
      <c r="D15" s="426">
        <f t="shared" si="1"/>
        <v>0.4694725056031781</v>
      </c>
    </row>
    <row r="16" spans="1:4" outlineLevel="2" x14ac:dyDescent="0.25">
      <c r="A16" s="409" t="s">
        <v>67</v>
      </c>
      <c r="B16" s="410">
        <v>2</v>
      </c>
      <c r="C16" s="411">
        <v>670053</v>
      </c>
      <c r="D16" s="424">
        <f t="shared" si="1"/>
        <v>-3.6503099242875869E-2</v>
      </c>
    </row>
    <row r="17" spans="1:4" outlineLevel="2" x14ac:dyDescent="0.25">
      <c r="A17" s="409" t="s">
        <v>73</v>
      </c>
      <c r="B17" s="410">
        <v>2</v>
      </c>
      <c r="C17" s="411">
        <v>565956</v>
      </c>
      <c r="D17" s="424">
        <f t="shared" si="1"/>
        <v>-0.18618847768027469</v>
      </c>
    </row>
    <row r="18" spans="1:4" outlineLevel="2" x14ac:dyDescent="0.25">
      <c r="A18" s="409" t="s">
        <v>133</v>
      </c>
      <c r="B18" s="410">
        <v>2</v>
      </c>
      <c r="C18" s="411">
        <v>648825</v>
      </c>
      <c r="D18" s="424">
        <f t="shared" si="1"/>
        <v>-6.7027717757041527E-2</v>
      </c>
    </row>
    <row r="19" spans="1:4" ht="14.25" outlineLevel="1" thickBot="1" x14ac:dyDescent="0.3">
      <c r="A19" s="414" t="s">
        <v>143</v>
      </c>
      <c r="B19" s="415">
        <v>2</v>
      </c>
      <c r="C19" s="416">
        <v>899753</v>
      </c>
      <c r="D19" s="426">
        <f t="shared" si="1"/>
        <v>0.29379202383531555</v>
      </c>
    </row>
    <row r="20" spans="1:4" ht="14.25" outlineLevel="2" thickBot="1" x14ac:dyDescent="0.3">
      <c r="A20" s="495" t="s">
        <v>272</v>
      </c>
      <c r="B20" s="496" t="s">
        <v>273</v>
      </c>
      <c r="C20" s="418">
        <f>SUBTOTAL(1,C8:C19)</f>
        <v>695438.66666666663</v>
      </c>
      <c r="D20" s="419"/>
    </row>
    <row r="21" spans="1:4" outlineLevel="2" x14ac:dyDescent="0.25">
      <c r="A21" s="420" t="s">
        <v>14</v>
      </c>
      <c r="B21" s="421">
        <v>3</v>
      </c>
      <c r="C21" s="411">
        <v>1000951</v>
      </c>
      <c r="D21" s="413">
        <f>C21/$C$31-1</f>
        <v>-0.14738034907667674</v>
      </c>
    </row>
    <row r="22" spans="1:4" ht="15.75" customHeight="1" outlineLevel="2" x14ac:dyDescent="0.25">
      <c r="A22" s="409" t="s">
        <v>32</v>
      </c>
      <c r="B22" s="410">
        <v>3</v>
      </c>
      <c r="C22" s="411">
        <v>939304</v>
      </c>
      <c r="D22" s="424">
        <f t="shared" ref="D22:D30" si="2">C22/$C$31-1</f>
        <v>-0.19989185425572165</v>
      </c>
    </row>
    <row r="23" spans="1:4" outlineLevel="2" x14ac:dyDescent="0.25">
      <c r="A23" s="409" t="s">
        <v>47</v>
      </c>
      <c r="B23" s="410">
        <v>3</v>
      </c>
      <c r="C23" s="411">
        <v>1526249</v>
      </c>
      <c r="D23" s="427">
        <f t="shared" si="2"/>
        <v>0.30007351968485074</v>
      </c>
    </row>
    <row r="24" spans="1:4" outlineLevel="2" x14ac:dyDescent="0.25">
      <c r="A24" s="409" t="s">
        <v>59</v>
      </c>
      <c r="B24" s="410">
        <v>3</v>
      </c>
      <c r="C24" s="411">
        <v>1438886</v>
      </c>
      <c r="D24" s="427">
        <f t="shared" si="2"/>
        <v>0.2256568793461986</v>
      </c>
    </row>
    <row r="25" spans="1:4" outlineLevel="2" x14ac:dyDescent="0.25">
      <c r="A25" s="409" t="s">
        <v>71</v>
      </c>
      <c r="B25" s="410">
        <v>3</v>
      </c>
      <c r="C25" s="411">
        <v>1255824</v>
      </c>
      <c r="D25" s="424">
        <f t="shared" si="2"/>
        <v>6.9722914009908044E-2</v>
      </c>
    </row>
    <row r="26" spans="1:4" outlineLevel="2" x14ac:dyDescent="0.25">
      <c r="A26" s="409" t="s">
        <v>83</v>
      </c>
      <c r="B26" s="410">
        <v>3</v>
      </c>
      <c r="C26" s="411">
        <v>1307660</v>
      </c>
      <c r="D26" s="427">
        <f t="shared" si="2"/>
        <v>0.1138773153994479</v>
      </c>
    </row>
    <row r="27" spans="1:4" outlineLevel="2" x14ac:dyDescent="0.25">
      <c r="A27" s="409" t="s">
        <v>87</v>
      </c>
      <c r="B27" s="410">
        <v>3</v>
      </c>
      <c r="C27" s="411">
        <v>648064</v>
      </c>
      <c r="D27" s="424">
        <f t="shared" si="2"/>
        <v>-0.44797287633862948</v>
      </c>
    </row>
    <row r="28" spans="1:4" outlineLevel="2" x14ac:dyDescent="0.25">
      <c r="A28" s="409" t="s">
        <v>103</v>
      </c>
      <c r="B28" s="410">
        <v>3</v>
      </c>
      <c r="C28" s="411">
        <v>1472937</v>
      </c>
      <c r="D28" s="427">
        <f t="shared" si="2"/>
        <v>0.25466184735521202</v>
      </c>
    </row>
    <row r="29" spans="1:4" outlineLevel="2" x14ac:dyDescent="0.25">
      <c r="A29" s="409" t="s">
        <v>131</v>
      </c>
      <c r="B29" s="410">
        <v>3</v>
      </c>
      <c r="C29" s="411">
        <v>1344959</v>
      </c>
      <c r="D29" s="427">
        <f t="shared" si="2"/>
        <v>0.14564896092434276</v>
      </c>
    </row>
    <row r="30" spans="1:4" ht="14.25" outlineLevel="2" thickBot="1" x14ac:dyDescent="0.3">
      <c r="A30" s="414" t="s">
        <v>139</v>
      </c>
      <c r="B30" s="415">
        <v>3</v>
      </c>
      <c r="C30" s="416">
        <v>804879</v>
      </c>
      <c r="D30" s="428">
        <f t="shared" si="2"/>
        <v>-0.31439635704893298</v>
      </c>
    </row>
    <row r="31" spans="1:4" ht="15" customHeight="1" outlineLevel="1" thickBot="1" x14ac:dyDescent="0.3">
      <c r="A31" s="495" t="s">
        <v>274</v>
      </c>
      <c r="B31" s="496"/>
      <c r="C31" s="418">
        <f>SUBTOTAL(1,C21:C30)</f>
        <v>1173971.3</v>
      </c>
      <c r="D31" s="419"/>
    </row>
    <row r="32" spans="1:4" outlineLevel="2" x14ac:dyDescent="0.25">
      <c r="A32" s="420" t="s">
        <v>24</v>
      </c>
      <c r="B32" s="421">
        <v>4</v>
      </c>
      <c r="C32" s="411">
        <v>3525784</v>
      </c>
      <c r="D32" s="422">
        <f>C32/$C$42-1</f>
        <v>0.37658603084850428</v>
      </c>
    </row>
    <row r="33" spans="1:4" outlineLevel="2" x14ac:dyDescent="0.25">
      <c r="A33" s="409" t="s">
        <v>30</v>
      </c>
      <c r="B33" s="410">
        <v>4</v>
      </c>
      <c r="C33" s="411">
        <v>1846836</v>
      </c>
      <c r="D33" s="424">
        <f t="shared" ref="D33:D41" si="3">C33/$C$42-1</f>
        <v>-0.27893239096095268</v>
      </c>
    </row>
    <row r="34" spans="1:4" outlineLevel="2" x14ac:dyDescent="0.25">
      <c r="A34" s="409" t="s">
        <v>43</v>
      </c>
      <c r="B34" s="410">
        <v>4</v>
      </c>
      <c r="C34" s="411">
        <v>2140390</v>
      </c>
      <c r="D34" s="424">
        <f t="shared" si="3"/>
        <v>-0.16431892181488417</v>
      </c>
    </row>
    <row r="35" spans="1:4" outlineLevel="2" x14ac:dyDescent="0.25">
      <c r="A35" s="409" t="s">
        <v>63</v>
      </c>
      <c r="B35" s="410">
        <v>4</v>
      </c>
      <c r="C35" s="411">
        <v>2287647</v>
      </c>
      <c r="D35" s="424">
        <f t="shared" si="3"/>
        <v>-0.10682477891087816</v>
      </c>
    </row>
    <row r="36" spans="1:4" outlineLevel="2" x14ac:dyDescent="0.25">
      <c r="A36" s="409" t="s">
        <v>69</v>
      </c>
      <c r="B36" s="410">
        <v>4</v>
      </c>
      <c r="C36" s="411">
        <v>3299276</v>
      </c>
      <c r="D36" s="427">
        <f t="shared" si="3"/>
        <v>0.28814960119897592</v>
      </c>
    </row>
    <row r="37" spans="1:4" outlineLevel="2" x14ac:dyDescent="0.25">
      <c r="A37" s="409" t="s">
        <v>93</v>
      </c>
      <c r="B37" s="410">
        <v>4</v>
      </c>
      <c r="C37" s="411">
        <v>4008040</v>
      </c>
      <c r="D37" s="427">
        <f t="shared" si="3"/>
        <v>0.56487518097593026</v>
      </c>
    </row>
    <row r="38" spans="1:4" outlineLevel="2" x14ac:dyDescent="0.25">
      <c r="A38" s="409" t="s">
        <v>99</v>
      </c>
      <c r="B38" s="410">
        <v>4</v>
      </c>
      <c r="C38" s="411">
        <v>1820759</v>
      </c>
      <c r="D38" s="424">
        <f t="shared" si="3"/>
        <v>-0.28911373897502168</v>
      </c>
    </row>
    <row r="39" spans="1:4" outlineLevel="2" x14ac:dyDescent="0.25">
      <c r="A39" s="409" t="s">
        <v>117</v>
      </c>
      <c r="B39" s="410">
        <v>4</v>
      </c>
      <c r="C39" s="411">
        <v>2469317</v>
      </c>
      <c r="D39" s="424">
        <f t="shared" si="3"/>
        <v>-3.5894629978258319E-2</v>
      </c>
    </row>
    <row r="40" spans="1:4" ht="15.75" customHeight="1" outlineLevel="2" x14ac:dyDescent="0.25">
      <c r="A40" s="409" t="s">
        <v>129</v>
      </c>
      <c r="B40" s="410">
        <v>4</v>
      </c>
      <c r="C40" s="411">
        <v>2255831</v>
      </c>
      <c r="D40" s="424">
        <f t="shared" si="3"/>
        <v>-0.11924682778212947</v>
      </c>
    </row>
    <row r="41" spans="1:4" ht="15" customHeight="1" outlineLevel="1" thickBot="1" x14ac:dyDescent="0.3">
      <c r="A41" s="414" t="s">
        <v>141</v>
      </c>
      <c r="B41" s="415">
        <v>4</v>
      </c>
      <c r="C41" s="416">
        <v>1958642</v>
      </c>
      <c r="D41" s="428">
        <f t="shared" si="3"/>
        <v>-0.23527952460128687</v>
      </c>
    </row>
    <row r="42" spans="1:4" ht="15.75" customHeight="1" outlineLevel="2" thickBot="1" x14ac:dyDescent="0.3">
      <c r="A42" s="495" t="s">
        <v>275</v>
      </c>
      <c r="B42" s="496"/>
      <c r="C42" s="418">
        <f>SUBTOTAL(1,C32:C41)</f>
        <v>2561252.2000000002</v>
      </c>
      <c r="D42" s="419"/>
    </row>
    <row r="43" spans="1:4" outlineLevel="2" x14ac:dyDescent="0.25">
      <c r="A43" s="420" t="s">
        <v>4</v>
      </c>
      <c r="B43" s="421">
        <v>5</v>
      </c>
      <c r="C43" s="411">
        <v>6676129</v>
      </c>
      <c r="D43" s="422">
        <f>C43/$C$57-1</f>
        <v>0.21351573646864352</v>
      </c>
    </row>
    <row r="44" spans="1:4" outlineLevel="2" x14ac:dyDescent="0.25">
      <c r="A44" s="420" t="s">
        <v>12</v>
      </c>
      <c r="B44" s="421">
        <v>5</v>
      </c>
      <c r="C44" s="411">
        <v>4553732</v>
      </c>
      <c r="D44" s="413">
        <f t="shared" ref="D44:D56" si="4">C44/$C$57-1</f>
        <v>-0.17227102087739321</v>
      </c>
    </row>
    <row r="45" spans="1:4" outlineLevel="2" x14ac:dyDescent="0.25">
      <c r="A45" s="409" t="s">
        <v>22</v>
      </c>
      <c r="B45" s="410">
        <v>5</v>
      </c>
      <c r="C45" s="411">
        <v>4115050</v>
      </c>
      <c r="D45" s="424">
        <f t="shared" si="4"/>
        <v>-0.25200996994586355</v>
      </c>
    </row>
    <row r="46" spans="1:4" outlineLevel="2" x14ac:dyDescent="0.25">
      <c r="A46" s="409" t="s">
        <v>26</v>
      </c>
      <c r="B46" s="410">
        <v>5</v>
      </c>
      <c r="C46" s="411">
        <v>4276738</v>
      </c>
      <c r="D46" s="424">
        <f t="shared" si="4"/>
        <v>-0.22262004467657326</v>
      </c>
    </row>
    <row r="47" spans="1:4" outlineLevel="2" x14ac:dyDescent="0.25">
      <c r="A47" s="409" t="s">
        <v>28</v>
      </c>
      <c r="B47" s="410">
        <v>5</v>
      </c>
      <c r="C47" s="411">
        <v>7477231</v>
      </c>
      <c r="D47" s="422">
        <f t="shared" si="4"/>
        <v>0.35913153920650309</v>
      </c>
    </row>
    <row r="48" spans="1:4" outlineLevel="2" x14ac:dyDescent="0.25">
      <c r="A48" s="409" t="s">
        <v>61</v>
      </c>
      <c r="B48" s="410">
        <v>5</v>
      </c>
      <c r="C48" s="411">
        <v>4003407</v>
      </c>
      <c r="D48" s="424">
        <f t="shared" si="4"/>
        <v>-0.27230324728765376</v>
      </c>
    </row>
    <row r="49" spans="1:4" outlineLevel="2" x14ac:dyDescent="0.25">
      <c r="A49" s="409" t="s">
        <v>77</v>
      </c>
      <c r="B49" s="410">
        <v>5</v>
      </c>
      <c r="C49" s="411">
        <v>7214798</v>
      </c>
      <c r="D49" s="422">
        <f t="shared" si="4"/>
        <v>0.31142925914740371</v>
      </c>
    </row>
    <row r="50" spans="1:4" outlineLevel="2" x14ac:dyDescent="0.25">
      <c r="A50" s="409" t="s">
        <v>81</v>
      </c>
      <c r="B50" s="410">
        <v>5</v>
      </c>
      <c r="C50" s="411">
        <v>6810411</v>
      </c>
      <c r="D50" s="422">
        <f t="shared" si="4"/>
        <v>0.23792409049003571</v>
      </c>
    </row>
    <row r="51" spans="1:4" ht="15" customHeight="1" outlineLevel="1" x14ac:dyDescent="0.25">
      <c r="A51" s="409" t="s">
        <v>91</v>
      </c>
      <c r="B51" s="410">
        <v>5</v>
      </c>
      <c r="C51" s="411">
        <v>7612138</v>
      </c>
      <c r="D51" s="422">
        <f t="shared" si="4"/>
        <v>0.38365349908172064</v>
      </c>
    </row>
    <row r="52" spans="1:4" outlineLevel="2" x14ac:dyDescent="0.25">
      <c r="A52" s="409" t="s">
        <v>97</v>
      </c>
      <c r="B52" s="410">
        <v>5</v>
      </c>
      <c r="C52" s="411">
        <v>4130386</v>
      </c>
      <c r="D52" s="424">
        <f t="shared" si="4"/>
        <v>-0.2492223549470397</v>
      </c>
    </row>
    <row r="53" spans="1:4" ht="15.75" customHeight="1" outlineLevel="2" x14ac:dyDescent="0.25">
      <c r="A53" s="409" t="s">
        <v>101</v>
      </c>
      <c r="B53" s="410">
        <v>5</v>
      </c>
      <c r="C53" s="411">
        <v>4274112</v>
      </c>
      <c r="D53" s="424">
        <f t="shared" si="4"/>
        <v>-0.22309737103200566</v>
      </c>
    </row>
    <row r="54" spans="1:4" outlineLevel="2" x14ac:dyDescent="0.25">
      <c r="A54" s="409" t="s">
        <v>119</v>
      </c>
      <c r="B54" s="410">
        <v>5</v>
      </c>
      <c r="C54" s="411">
        <v>4249289</v>
      </c>
      <c r="D54" s="424">
        <f t="shared" si="4"/>
        <v>-0.22760943200721462</v>
      </c>
    </row>
    <row r="55" spans="1:4" outlineLevel="2" x14ac:dyDescent="0.25">
      <c r="A55" s="409" t="s">
        <v>121</v>
      </c>
      <c r="B55" s="410">
        <v>5</v>
      </c>
      <c r="C55" s="411">
        <v>7712313</v>
      </c>
      <c r="D55" s="422">
        <f t="shared" si="4"/>
        <v>0.40186224533284087</v>
      </c>
    </row>
    <row r="56" spans="1:4" ht="14.25" outlineLevel="2" thickBot="1" x14ac:dyDescent="0.3">
      <c r="A56" s="414" t="s">
        <v>123</v>
      </c>
      <c r="B56" s="415">
        <v>5</v>
      </c>
      <c r="C56" s="416">
        <v>3914945</v>
      </c>
      <c r="D56" s="428">
        <f t="shared" si="4"/>
        <v>-0.28838292895340489</v>
      </c>
    </row>
    <row r="57" spans="1:4" ht="15.75" customHeight="1" outlineLevel="2" thickBot="1" x14ac:dyDescent="0.3">
      <c r="A57" s="495" t="s">
        <v>276</v>
      </c>
      <c r="B57" s="496"/>
      <c r="C57" s="418">
        <f>SUBTOTAL(1,C43:C56)</f>
        <v>5501477.0714285718</v>
      </c>
      <c r="D57" s="419"/>
    </row>
    <row r="58" spans="1:4" outlineLevel="2" x14ac:dyDescent="0.25">
      <c r="A58" s="409" t="s">
        <v>16</v>
      </c>
      <c r="B58" s="410">
        <v>6</v>
      </c>
      <c r="C58" s="411">
        <v>13042941</v>
      </c>
      <c r="D58" s="427">
        <f>C58/$C$65-1</f>
        <v>0.3070025266501184</v>
      </c>
    </row>
    <row r="59" spans="1:4" outlineLevel="2" x14ac:dyDescent="0.25">
      <c r="A59" s="409" t="s">
        <v>41</v>
      </c>
      <c r="B59" s="410">
        <v>6</v>
      </c>
      <c r="C59" s="411">
        <v>8012705</v>
      </c>
      <c r="D59" s="424">
        <f t="shared" ref="D59:D64" si="5">C59/$C$65-1</f>
        <v>-0.19706562497660329</v>
      </c>
    </row>
    <row r="60" spans="1:4" outlineLevel="2" x14ac:dyDescent="0.25">
      <c r="A60" s="409" t="s">
        <v>89</v>
      </c>
      <c r="B60" s="410">
        <v>6</v>
      </c>
      <c r="C60" s="411">
        <v>6884221</v>
      </c>
      <c r="D60" s="424">
        <f t="shared" si="5"/>
        <v>-0.31014835986624445</v>
      </c>
    </row>
    <row r="61" spans="1:4" outlineLevel="2" x14ac:dyDescent="0.25">
      <c r="A61" s="409" t="s">
        <v>107</v>
      </c>
      <c r="B61" s="410">
        <v>6</v>
      </c>
      <c r="C61" s="411">
        <v>8991338</v>
      </c>
      <c r="D61" s="424">
        <f t="shared" si="5"/>
        <v>-9.8999107335897452E-2</v>
      </c>
    </row>
    <row r="62" spans="1:4" outlineLevel="2" x14ac:dyDescent="0.25">
      <c r="A62" s="409" t="s">
        <v>111</v>
      </c>
      <c r="B62" s="410">
        <v>6</v>
      </c>
      <c r="C62" s="411">
        <v>13281406</v>
      </c>
      <c r="D62" s="427">
        <f t="shared" si="5"/>
        <v>0.33089854500346538</v>
      </c>
    </row>
    <row r="63" spans="1:4" outlineLevel="2" x14ac:dyDescent="0.25">
      <c r="A63" s="409" t="s">
        <v>125</v>
      </c>
      <c r="B63" s="410">
        <v>6</v>
      </c>
      <c r="C63" s="411">
        <v>9443102</v>
      </c>
      <c r="D63" s="425">
        <f t="shared" si="5"/>
        <v>-5.3728896464778408E-2</v>
      </c>
    </row>
    <row r="64" spans="1:4" ht="14.25" outlineLevel="2" thickBot="1" x14ac:dyDescent="0.3">
      <c r="A64" s="414" t="s">
        <v>127</v>
      </c>
      <c r="B64" s="415">
        <v>6</v>
      </c>
      <c r="C64" s="416">
        <v>10199230</v>
      </c>
      <c r="D64" s="429">
        <f t="shared" si="5"/>
        <v>2.2040916989940262E-2</v>
      </c>
    </row>
    <row r="65" spans="1:4" ht="15" customHeight="1" outlineLevel="1" thickBot="1" x14ac:dyDescent="0.3">
      <c r="A65" s="495" t="s">
        <v>277</v>
      </c>
      <c r="B65" s="496"/>
      <c r="C65" s="418">
        <f>SUBTOTAL(1,C58:C64)</f>
        <v>9979277.5714285709</v>
      </c>
      <c r="D65" s="419"/>
    </row>
    <row r="66" spans="1:4" ht="15.75" customHeight="1" outlineLevel="2" x14ac:dyDescent="0.25">
      <c r="A66" s="409" t="s">
        <v>79</v>
      </c>
      <c r="B66" s="410">
        <v>7</v>
      </c>
      <c r="C66" s="411">
        <v>13826859</v>
      </c>
      <c r="D66" s="424">
        <f>C66/$C$70-1</f>
        <v>-0.18835934475329896</v>
      </c>
    </row>
    <row r="67" spans="1:4" outlineLevel="2" x14ac:dyDescent="0.25">
      <c r="A67" s="409" t="s">
        <v>113</v>
      </c>
      <c r="B67" s="410">
        <v>7</v>
      </c>
      <c r="C67" s="411">
        <v>25966935</v>
      </c>
      <c r="D67" s="427">
        <f t="shared" ref="D67:D69" si="6">C67/$C$70-1</f>
        <v>0.52426665652325632</v>
      </c>
    </row>
    <row r="68" spans="1:4" outlineLevel="2" x14ac:dyDescent="0.25">
      <c r="A68" s="409" t="s">
        <v>115</v>
      </c>
      <c r="B68" s="410">
        <v>7</v>
      </c>
      <c r="C68" s="411">
        <v>14703061</v>
      </c>
      <c r="D68" s="424">
        <f t="shared" si="6"/>
        <v>-0.13692603185060215</v>
      </c>
    </row>
    <row r="69" spans="1:4" ht="14.25" outlineLevel="2" thickBot="1" x14ac:dyDescent="0.3">
      <c r="A69" s="414" t="s">
        <v>137</v>
      </c>
      <c r="B69" s="415">
        <v>7</v>
      </c>
      <c r="C69" s="416">
        <v>13645907</v>
      </c>
      <c r="D69" s="428">
        <f t="shared" si="6"/>
        <v>-0.19898127991935521</v>
      </c>
    </row>
    <row r="70" spans="1:4" ht="15.75" customHeight="1" outlineLevel="2" thickBot="1" x14ac:dyDescent="0.3">
      <c r="A70" s="495" t="s">
        <v>278</v>
      </c>
      <c r="B70" s="496"/>
      <c r="C70" s="418">
        <f>SUBTOTAL(1,C66:C69)</f>
        <v>17035690.5</v>
      </c>
      <c r="D70" s="419"/>
    </row>
    <row r="71" spans="1:4" ht="15" customHeight="1" outlineLevel="1" x14ac:dyDescent="0.25">
      <c r="A71" s="420" t="s">
        <v>18</v>
      </c>
      <c r="B71" s="421">
        <v>8</v>
      </c>
      <c r="C71" s="411">
        <v>45017522</v>
      </c>
      <c r="D71" s="413">
        <f>C71/$C$77-1</f>
        <v>5.4032927495701433E-2</v>
      </c>
    </row>
    <row r="72" spans="1:4" ht="15.75" customHeight="1" outlineLevel="2" x14ac:dyDescent="0.25">
      <c r="A72" s="420" t="s">
        <v>36</v>
      </c>
      <c r="B72" s="421">
        <v>8</v>
      </c>
      <c r="C72" s="411">
        <v>23144597</v>
      </c>
      <c r="D72" s="423">
        <f t="shared" ref="D72:D76" si="7">C72/$C$77-1</f>
        <v>-0.4580961757153531</v>
      </c>
    </row>
    <row r="73" spans="1:4" outlineLevel="2" x14ac:dyDescent="0.25">
      <c r="A73" s="409" t="s">
        <v>65</v>
      </c>
      <c r="B73" s="410">
        <v>8</v>
      </c>
      <c r="C73" s="411">
        <v>35834370</v>
      </c>
      <c r="D73" s="424">
        <f t="shared" si="7"/>
        <v>-0.16097989764820608</v>
      </c>
    </row>
    <row r="74" spans="1:4" outlineLevel="2" x14ac:dyDescent="0.25">
      <c r="A74" s="409" t="s">
        <v>95</v>
      </c>
      <c r="B74" s="410">
        <v>8</v>
      </c>
      <c r="C74" s="411">
        <v>83295613</v>
      </c>
      <c r="D74" s="427">
        <f t="shared" si="7"/>
        <v>0.95026991529962479</v>
      </c>
    </row>
    <row r="75" spans="1:4" outlineLevel="2" x14ac:dyDescent="0.25">
      <c r="A75" s="409" t="s">
        <v>105</v>
      </c>
      <c r="B75" s="410">
        <v>8</v>
      </c>
      <c r="C75" s="411">
        <v>34409249</v>
      </c>
      <c r="D75" s="424">
        <f t="shared" si="7"/>
        <v>-0.19434744861348574</v>
      </c>
    </row>
    <row r="76" spans="1:4" ht="14.25" outlineLevel="2" thickBot="1" x14ac:dyDescent="0.3">
      <c r="A76" s="430" t="s">
        <v>109</v>
      </c>
      <c r="B76" s="431">
        <v>8</v>
      </c>
      <c r="C76" s="432">
        <v>34557372</v>
      </c>
      <c r="D76" s="433">
        <f t="shared" si="7"/>
        <v>-0.19087932081828096</v>
      </c>
    </row>
    <row r="77" spans="1:4" ht="15" customHeight="1" outlineLevel="1" thickBot="1" x14ac:dyDescent="0.3">
      <c r="A77" s="495" t="s">
        <v>279</v>
      </c>
      <c r="B77" s="496"/>
      <c r="C77" s="418">
        <f>SUBTOTAL(1,C71:C76)</f>
        <v>42709787.166666664</v>
      </c>
      <c r="D77" s="434"/>
    </row>
    <row r="78" spans="1:4" ht="14.25" thickBot="1" x14ac:dyDescent="0.3">
      <c r="B78" s="435"/>
      <c r="C78" s="436"/>
      <c r="D78" s="437"/>
    </row>
    <row r="79" spans="1:4" ht="14.25" thickBot="1" x14ac:dyDescent="0.3">
      <c r="B79" s="438" t="s">
        <v>280</v>
      </c>
      <c r="C79" s="439">
        <f>SUBTOTAL(9,C3:C76)</f>
        <v>518781741</v>
      </c>
      <c r="D79" s="440">
        <f>COUNTIF(D3:D76,"&gt;.10")</f>
        <v>23</v>
      </c>
    </row>
    <row r="80" spans="1:4" ht="14.25" thickBot="1" x14ac:dyDescent="0.3">
      <c r="D80" s="441"/>
    </row>
    <row r="81" spans="1:4" s="119" customFormat="1" ht="65.25" customHeight="1" thickBot="1" x14ac:dyDescent="0.3">
      <c r="A81" s="497" t="s">
        <v>281</v>
      </c>
      <c r="B81" s="498"/>
      <c r="C81" s="498"/>
      <c r="D81" s="499"/>
    </row>
    <row r="82" spans="1:4" s="119" customFormat="1" x14ac:dyDescent="0.25">
      <c r="D82" s="442"/>
    </row>
    <row r="83" spans="1:4" s="119" customFormat="1" x14ac:dyDescent="0.25"/>
    <row r="84" spans="1:4" s="119" customFormat="1" x14ac:dyDescent="0.25"/>
    <row r="85" spans="1:4" s="119" customFormat="1" x14ac:dyDescent="0.25"/>
    <row r="86" spans="1:4" s="119" customFormat="1" x14ac:dyDescent="0.25"/>
    <row r="87" spans="1:4" s="119" customFormat="1" x14ac:dyDescent="0.25"/>
    <row r="88" spans="1:4" s="119" customFormat="1" x14ac:dyDescent="0.25"/>
    <row r="89" spans="1:4" s="119" customFormat="1" x14ac:dyDescent="0.25"/>
    <row r="90" spans="1:4" s="119" customFormat="1" x14ac:dyDescent="0.25"/>
    <row r="91" spans="1:4" s="119" customFormat="1" x14ac:dyDescent="0.25"/>
  </sheetData>
  <mergeCells count="10">
    <mergeCell ref="A65:B65"/>
    <mergeCell ref="A70:B70"/>
    <mergeCell ref="A77:B77"/>
    <mergeCell ref="A81:D81"/>
    <mergeCell ref="A1:D1"/>
    <mergeCell ref="A7:B7"/>
    <mergeCell ref="A20:B20"/>
    <mergeCell ref="A31:B31"/>
    <mergeCell ref="A42:B42"/>
    <mergeCell ref="A57:B57"/>
  </mergeCells>
  <pageMargins left="0.7" right="0.7" top="0.75" bottom="0.75" header="0.3" footer="0.3"/>
  <pageSetup fitToHeight="0" orientation="portrait" horizontalDpi="1200" verticalDpi="1200" r:id="rId1"/>
  <rowBreaks count="1" manualBreakCount="1">
    <brk id="4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8862E-72A0-4CE4-9A20-4355C16D8E37}">
  <sheetPr>
    <pageSetUpPr fitToPage="1"/>
  </sheetPr>
  <dimension ref="A1:F78"/>
  <sheetViews>
    <sheetView zoomScale="140" zoomScaleNormal="140" zoomScalePageLayoutView="55" workbookViewId="0">
      <pane ySplit="2" topLeftCell="A64" activePane="bottomLeft" state="frozen"/>
      <selection pane="bottomLeft" activeCell="A76" sqref="A76:F76"/>
    </sheetView>
  </sheetViews>
  <sheetFormatPr defaultColWidth="2.28515625" defaultRowHeight="13.5" x14ac:dyDescent="0.25"/>
  <cols>
    <col min="1" max="1" width="14" style="119" customWidth="1"/>
    <col min="2" max="2" width="6.28515625" style="119" customWidth="1"/>
    <col min="3" max="3" width="17.42578125" style="119" customWidth="1"/>
    <col min="4" max="4" width="17" style="138" customWidth="1"/>
    <col min="5" max="5" width="19.42578125" style="119" customWidth="1"/>
    <col min="6" max="6" width="10" style="144" customWidth="1"/>
    <col min="7" max="16384" width="2.28515625" style="119"/>
  </cols>
  <sheetData>
    <row r="1" spans="1:6" ht="14.25" hidden="1" thickBot="1" x14ac:dyDescent="0.3">
      <c r="A1" s="443" t="s">
        <v>187</v>
      </c>
      <c r="D1" s="444">
        <f>ROUND((C71*0.1),0)</f>
        <v>47443605</v>
      </c>
      <c r="E1" s="445">
        <v>0.1</v>
      </c>
    </row>
    <row r="2" spans="1:6" s="108" customFormat="1" ht="54.75" thickBot="1" x14ac:dyDescent="0.3">
      <c r="A2" s="336" t="s">
        <v>0</v>
      </c>
      <c r="B2" s="337" t="s">
        <v>164</v>
      </c>
      <c r="C2" s="177" t="s">
        <v>180</v>
      </c>
      <c r="D2" s="446" t="s">
        <v>282</v>
      </c>
      <c r="E2" s="447" t="s">
        <v>283</v>
      </c>
      <c r="F2" s="448" t="s">
        <v>284</v>
      </c>
    </row>
    <row r="3" spans="1:6" s="110" customFormat="1" x14ac:dyDescent="0.25">
      <c r="A3" s="449" t="s">
        <v>20</v>
      </c>
      <c r="B3" s="450">
        <v>1</v>
      </c>
      <c r="C3" s="451">
        <v>477087.04396473733</v>
      </c>
      <c r="D3" s="452">
        <f t="shared" ref="D3:D65" si="0">-(C3*E$1)</f>
        <v>-47708.704396473739</v>
      </c>
      <c r="E3" s="453">
        <f>C3+D3</f>
        <v>429378.33956826362</v>
      </c>
      <c r="F3" s="454">
        <f>E3/C3-1</f>
        <v>-9.9999999999999978E-2</v>
      </c>
    </row>
    <row r="4" spans="1:6" customFormat="1" ht="13.5" customHeight="1" x14ac:dyDescent="0.25">
      <c r="A4" s="111" t="s">
        <v>75</v>
      </c>
      <c r="B4" s="172">
        <v>1</v>
      </c>
      <c r="C4" s="455">
        <v>324488.77081173577</v>
      </c>
      <c r="D4" s="456">
        <f t="shared" si="0"/>
        <v>-32448.877081173578</v>
      </c>
      <c r="E4" s="457">
        <f t="shared" ref="E4:E67" si="1">C4+D4</f>
        <v>292039.89373056218</v>
      </c>
      <c r="F4" s="458">
        <f t="shared" ref="F4:F67" si="2">E4/C4-1</f>
        <v>-0.10000000000000009</v>
      </c>
    </row>
    <row r="5" spans="1:6" s="117" customFormat="1" x14ac:dyDescent="0.25">
      <c r="A5" s="111" t="s">
        <v>85</v>
      </c>
      <c r="B5" s="172">
        <v>1</v>
      </c>
      <c r="C5" s="455">
        <v>335293.10815339343</v>
      </c>
      <c r="D5" s="456">
        <f t="shared" si="0"/>
        <v>-33529.310815339348</v>
      </c>
      <c r="E5" s="457">
        <f t="shared" si="1"/>
        <v>301763.79733805411</v>
      </c>
      <c r="F5" s="458">
        <f t="shared" si="2"/>
        <v>-9.9999999999999978E-2</v>
      </c>
    </row>
    <row r="6" spans="1:6" s="110" customFormat="1" x14ac:dyDescent="0.25">
      <c r="A6" s="111" t="s">
        <v>135</v>
      </c>
      <c r="B6" s="172">
        <v>1</v>
      </c>
      <c r="C6" s="455">
        <v>513694.28352063632</v>
      </c>
      <c r="D6" s="456">
        <f t="shared" si="0"/>
        <v>-51369.428352063638</v>
      </c>
      <c r="E6" s="457">
        <f t="shared" si="1"/>
        <v>462324.85516857269</v>
      </c>
      <c r="F6" s="458">
        <f t="shared" si="2"/>
        <v>-9.9999999999999978E-2</v>
      </c>
    </row>
    <row r="7" spans="1:6" s="110" customFormat="1" x14ac:dyDescent="0.25">
      <c r="A7" s="111" t="s">
        <v>10</v>
      </c>
      <c r="B7" s="172">
        <v>2</v>
      </c>
      <c r="C7" s="455">
        <v>756419.18691392383</v>
      </c>
      <c r="D7" s="456">
        <f t="shared" si="0"/>
        <v>-75641.918691392391</v>
      </c>
      <c r="E7" s="457">
        <f t="shared" si="1"/>
        <v>680777.26822253142</v>
      </c>
      <c r="F7" s="458">
        <f t="shared" si="2"/>
        <v>-9.9999999999999978E-2</v>
      </c>
    </row>
    <row r="8" spans="1:6" s="110" customFormat="1" x14ac:dyDescent="0.25">
      <c r="A8" s="111" t="s">
        <v>34</v>
      </c>
      <c r="B8" s="172">
        <v>2</v>
      </c>
      <c r="C8" s="455">
        <v>520944.80488996039</v>
      </c>
      <c r="D8" s="456">
        <f t="shared" si="0"/>
        <v>-52094.480488996043</v>
      </c>
      <c r="E8" s="457">
        <f t="shared" si="1"/>
        <v>468850.32440096437</v>
      </c>
      <c r="F8" s="458">
        <f t="shared" si="2"/>
        <v>-9.9999999999999978E-2</v>
      </c>
    </row>
    <row r="9" spans="1:6" s="110" customFormat="1" x14ac:dyDescent="0.25">
      <c r="A9" s="111" t="s">
        <v>45</v>
      </c>
      <c r="B9" s="172">
        <v>2</v>
      </c>
      <c r="C9" s="455">
        <v>696031.39119290793</v>
      </c>
      <c r="D9" s="456">
        <f t="shared" si="0"/>
        <v>-69603.13911929079</v>
      </c>
      <c r="E9" s="457">
        <f t="shared" si="1"/>
        <v>626428.25207361719</v>
      </c>
      <c r="F9" s="458">
        <f t="shared" si="2"/>
        <v>-9.9999999999999978E-2</v>
      </c>
    </row>
    <row r="10" spans="1:6" s="110" customFormat="1" x14ac:dyDescent="0.25">
      <c r="A10" s="111" t="s">
        <v>49</v>
      </c>
      <c r="B10" s="172">
        <v>2</v>
      </c>
      <c r="C10" s="455">
        <v>577119.8685738123</v>
      </c>
      <c r="D10" s="456">
        <f t="shared" si="0"/>
        <v>-57711.986857381235</v>
      </c>
      <c r="E10" s="457">
        <f t="shared" si="1"/>
        <v>519407.88171643106</v>
      </c>
      <c r="F10" s="458">
        <f t="shared" si="2"/>
        <v>-9.9999999999999978E-2</v>
      </c>
    </row>
    <row r="11" spans="1:6" s="110" customFormat="1" x14ac:dyDescent="0.25">
      <c r="A11" s="111" t="s">
        <v>51</v>
      </c>
      <c r="B11" s="172">
        <v>2</v>
      </c>
      <c r="C11" s="455">
        <v>597058.85630874126</v>
      </c>
      <c r="D11" s="456">
        <f t="shared" si="0"/>
        <v>-59705.885630874131</v>
      </c>
      <c r="E11" s="457">
        <f t="shared" si="1"/>
        <v>537352.97067786718</v>
      </c>
      <c r="F11" s="458">
        <f t="shared" si="2"/>
        <v>-9.9999999999999867E-2</v>
      </c>
    </row>
    <row r="12" spans="1:6" s="110" customFormat="1" x14ac:dyDescent="0.25">
      <c r="A12" s="111" t="s">
        <v>53</v>
      </c>
      <c r="B12" s="172">
        <v>2</v>
      </c>
      <c r="C12" s="455">
        <v>520062.00035751879</v>
      </c>
      <c r="D12" s="456">
        <f t="shared" si="0"/>
        <v>-52006.200035751885</v>
      </c>
      <c r="E12" s="457">
        <f t="shared" si="1"/>
        <v>468055.80032176687</v>
      </c>
      <c r="F12" s="458">
        <f t="shared" si="2"/>
        <v>-0.10000000000000009</v>
      </c>
    </row>
    <row r="13" spans="1:6" s="110" customFormat="1" ht="12.75" customHeight="1" x14ac:dyDescent="0.25">
      <c r="A13" s="111" t="s">
        <v>55</v>
      </c>
      <c r="B13" s="172">
        <v>2</v>
      </c>
      <c r="C13" s="455">
        <v>630879.0406243027</v>
      </c>
      <c r="D13" s="456">
        <f t="shared" si="0"/>
        <v>-63087.904062430272</v>
      </c>
      <c r="E13" s="457">
        <f t="shared" si="1"/>
        <v>567791.13656187244</v>
      </c>
      <c r="F13" s="458">
        <f t="shared" si="2"/>
        <v>-9.9999999999999978E-2</v>
      </c>
    </row>
    <row r="14" spans="1:6" s="110" customFormat="1" x14ac:dyDescent="0.25">
      <c r="A14" s="111" t="s">
        <v>67</v>
      </c>
      <c r="B14" s="172">
        <v>2</v>
      </c>
      <c r="C14" s="455">
        <v>628001.60102100403</v>
      </c>
      <c r="D14" s="456">
        <f t="shared" si="0"/>
        <v>-62800.160102100403</v>
      </c>
      <c r="E14" s="457">
        <f t="shared" si="1"/>
        <v>565201.44091890357</v>
      </c>
      <c r="F14" s="458">
        <f t="shared" si="2"/>
        <v>-0.10000000000000009</v>
      </c>
    </row>
    <row r="15" spans="1:6" s="110" customFormat="1" x14ac:dyDescent="0.25">
      <c r="A15" s="111" t="s">
        <v>73</v>
      </c>
      <c r="B15" s="172">
        <v>2</v>
      </c>
      <c r="C15" s="455">
        <v>530897.56972236454</v>
      </c>
      <c r="D15" s="456">
        <f t="shared" si="0"/>
        <v>-53089.756972236457</v>
      </c>
      <c r="E15" s="457">
        <f t="shared" si="1"/>
        <v>477807.8127501281</v>
      </c>
      <c r="F15" s="458">
        <f t="shared" si="2"/>
        <v>-9.9999999999999978E-2</v>
      </c>
    </row>
    <row r="16" spans="1:6" s="110" customFormat="1" x14ac:dyDescent="0.25">
      <c r="A16" s="111" t="s">
        <v>133</v>
      </c>
      <c r="B16" s="172">
        <v>2</v>
      </c>
      <c r="C16" s="455">
        <v>598530.09148959303</v>
      </c>
      <c r="D16" s="456">
        <f t="shared" si="0"/>
        <v>-59853.009148959303</v>
      </c>
      <c r="E16" s="457">
        <f t="shared" si="1"/>
        <v>538677.08234063373</v>
      </c>
      <c r="F16" s="458">
        <f t="shared" si="2"/>
        <v>-9.9999999999999978E-2</v>
      </c>
    </row>
    <row r="17" spans="1:6" s="110" customFormat="1" x14ac:dyDescent="0.25">
      <c r="A17" s="111" t="s">
        <v>143</v>
      </c>
      <c r="B17" s="172">
        <v>2</v>
      </c>
      <c r="C17" s="455">
        <v>836177.53999340453</v>
      </c>
      <c r="D17" s="456">
        <f t="shared" si="0"/>
        <v>-83617.753999340464</v>
      </c>
      <c r="E17" s="457">
        <f t="shared" si="1"/>
        <v>752559.78599406406</v>
      </c>
      <c r="F17" s="458">
        <f t="shared" si="2"/>
        <v>-9.9999999999999978E-2</v>
      </c>
    </row>
    <row r="18" spans="1:6" s="110" customFormat="1" x14ac:dyDescent="0.25">
      <c r="A18" s="111" t="s">
        <v>14</v>
      </c>
      <c r="B18" s="172">
        <v>3</v>
      </c>
      <c r="C18" s="455">
        <v>913622.11112330446</v>
      </c>
      <c r="D18" s="456">
        <f t="shared" si="0"/>
        <v>-91362.211112330449</v>
      </c>
      <c r="E18" s="457">
        <f t="shared" si="1"/>
        <v>822259.90001097403</v>
      </c>
      <c r="F18" s="458">
        <f t="shared" si="2"/>
        <v>-9.9999999999999978E-2</v>
      </c>
    </row>
    <row r="19" spans="1:6" s="110" customFormat="1" x14ac:dyDescent="0.25">
      <c r="A19" s="111" t="s">
        <v>32</v>
      </c>
      <c r="B19" s="172">
        <v>3</v>
      </c>
      <c r="C19" s="455">
        <v>857813.27108536905</v>
      </c>
      <c r="D19" s="456">
        <f t="shared" si="0"/>
        <v>-85781.327108536905</v>
      </c>
      <c r="E19" s="457">
        <f t="shared" si="1"/>
        <v>772031.94397683209</v>
      </c>
      <c r="F19" s="458">
        <f t="shared" si="2"/>
        <v>-0.10000000000000009</v>
      </c>
    </row>
    <row r="20" spans="1:6" s="110" customFormat="1" x14ac:dyDescent="0.25">
      <c r="A20" s="111" t="s">
        <v>47</v>
      </c>
      <c r="B20" s="172">
        <v>3</v>
      </c>
      <c r="C20" s="455">
        <v>1419926.4626231289</v>
      </c>
      <c r="D20" s="456">
        <f t="shared" si="0"/>
        <v>-141992.64626231289</v>
      </c>
      <c r="E20" s="457">
        <f t="shared" si="1"/>
        <v>1277933.8163608159</v>
      </c>
      <c r="F20" s="458">
        <f t="shared" si="2"/>
        <v>-0.10000000000000009</v>
      </c>
    </row>
    <row r="21" spans="1:6" s="110" customFormat="1" x14ac:dyDescent="0.25">
      <c r="A21" s="111" t="s">
        <v>57</v>
      </c>
      <c r="B21" s="172">
        <v>3</v>
      </c>
      <c r="C21" s="455">
        <v>953613.05503218377</v>
      </c>
      <c r="D21" s="456">
        <f t="shared" si="0"/>
        <v>-95361.305503218377</v>
      </c>
      <c r="E21" s="457">
        <f t="shared" si="1"/>
        <v>858251.74952896545</v>
      </c>
      <c r="F21" s="458">
        <f t="shared" si="2"/>
        <v>-9.9999999999999978E-2</v>
      </c>
    </row>
    <row r="22" spans="1:6" s="110" customFormat="1" x14ac:dyDescent="0.25">
      <c r="A22" s="111" t="s">
        <v>59</v>
      </c>
      <c r="B22" s="172">
        <v>3</v>
      </c>
      <c r="C22" s="455">
        <v>1346678.8851354381</v>
      </c>
      <c r="D22" s="456">
        <f t="shared" si="0"/>
        <v>-134667.88851354382</v>
      </c>
      <c r="E22" s="457">
        <f t="shared" si="1"/>
        <v>1212010.9966218942</v>
      </c>
      <c r="F22" s="458">
        <f t="shared" si="2"/>
        <v>-0.10000000000000009</v>
      </c>
    </row>
    <row r="23" spans="1:6" s="110" customFormat="1" x14ac:dyDescent="0.25">
      <c r="A23" s="111" t="s">
        <v>71</v>
      </c>
      <c r="B23" s="172">
        <v>3</v>
      </c>
      <c r="C23" s="455">
        <v>1173540.5581845732</v>
      </c>
      <c r="D23" s="456">
        <f t="shared" si="0"/>
        <v>-117354.05581845733</v>
      </c>
      <c r="E23" s="457">
        <f t="shared" si="1"/>
        <v>1056186.5023661158</v>
      </c>
      <c r="F23" s="458">
        <f t="shared" si="2"/>
        <v>-0.10000000000000009</v>
      </c>
    </row>
    <row r="24" spans="1:6" s="110" customFormat="1" x14ac:dyDescent="0.25">
      <c r="A24" s="111" t="s">
        <v>83</v>
      </c>
      <c r="B24" s="172">
        <v>3</v>
      </c>
      <c r="C24" s="455">
        <v>1199086.7873437179</v>
      </c>
      <c r="D24" s="456">
        <f t="shared" si="0"/>
        <v>-119908.67873437179</v>
      </c>
      <c r="E24" s="457">
        <f t="shared" si="1"/>
        <v>1079178.1086093462</v>
      </c>
      <c r="F24" s="458">
        <f t="shared" si="2"/>
        <v>-9.9999999999999867E-2</v>
      </c>
    </row>
    <row r="25" spans="1:6" s="110" customFormat="1" x14ac:dyDescent="0.25">
      <c r="A25" s="111" t="s">
        <v>87</v>
      </c>
      <c r="B25" s="172">
        <v>3</v>
      </c>
      <c r="C25" s="455">
        <v>596369.19044554711</v>
      </c>
      <c r="D25" s="456">
        <f t="shared" si="0"/>
        <v>-59636.919044554714</v>
      </c>
      <c r="E25" s="457">
        <f t="shared" si="1"/>
        <v>536732.27140099241</v>
      </c>
      <c r="F25" s="458">
        <f t="shared" si="2"/>
        <v>-9.9999999999999978E-2</v>
      </c>
    </row>
    <row r="26" spans="1:6" s="110" customFormat="1" x14ac:dyDescent="0.25">
      <c r="A26" s="111" t="s">
        <v>103</v>
      </c>
      <c r="B26" s="172">
        <v>3</v>
      </c>
      <c r="C26" s="455">
        <v>1346683.9332744381</v>
      </c>
      <c r="D26" s="456">
        <f t="shared" si="0"/>
        <v>-134668.39332744383</v>
      </c>
      <c r="E26" s="457">
        <f t="shared" si="1"/>
        <v>1212015.5399469943</v>
      </c>
      <c r="F26" s="458">
        <f t="shared" si="2"/>
        <v>-0.10000000000000009</v>
      </c>
    </row>
    <row r="27" spans="1:6" s="110" customFormat="1" x14ac:dyDescent="0.25">
      <c r="A27" s="111" t="s">
        <v>131</v>
      </c>
      <c r="B27" s="172">
        <v>3</v>
      </c>
      <c r="C27" s="455">
        <v>1247899.1749196579</v>
      </c>
      <c r="D27" s="456">
        <f t="shared" si="0"/>
        <v>-124789.9174919658</v>
      </c>
      <c r="E27" s="457">
        <f t="shared" si="1"/>
        <v>1123109.2574276922</v>
      </c>
      <c r="F27" s="458">
        <f t="shared" si="2"/>
        <v>-9.9999999999999978E-2</v>
      </c>
    </row>
    <row r="28" spans="1:6" s="110" customFormat="1" x14ac:dyDescent="0.25">
      <c r="A28" s="111" t="s">
        <v>139</v>
      </c>
      <c r="B28" s="172">
        <v>3</v>
      </c>
      <c r="C28" s="455">
        <v>735015.07166653324</v>
      </c>
      <c r="D28" s="456">
        <f t="shared" si="0"/>
        <v>-73501.507166653333</v>
      </c>
      <c r="E28" s="457">
        <f t="shared" si="1"/>
        <v>661513.56449987995</v>
      </c>
      <c r="F28" s="458">
        <f t="shared" si="2"/>
        <v>-9.9999999999999978E-2</v>
      </c>
    </row>
    <row r="29" spans="1:6" s="110" customFormat="1" x14ac:dyDescent="0.25">
      <c r="A29" s="111" t="s">
        <v>24</v>
      </c>
      <c r="B29" s="172">
        <v>4</v>
      </c>
      <c r="C29" s="455">
        <v>3208688.8345074034</v>
      </c>
      <c r="D29" s="456">
        <f t="shared" si="0"/>
        <v>-320868.88345074037</v>
      </c>
      <c r="E29" s="457">
        <f t="shared" si="1"/>
        <v>2887819.9510566629</v>
      </c>
      <c r="F29" s="458">
        <f t="shared" si="2"/>
        <v>-0.10000000000000009</v>
      </c>
    </row>
    <row r="30" spans="1:6" s="110" customFormat="1" x14ac:dyDescent="0.25">
      <c r="A30" s="111" t="s">
        <v>30</v>
      </c>
      <c r="B30" s="172">
        <v>4</v>
      </c>
      <c r="C30" s="455">
        <v>1634420.9885384722</v>
      </c>
      <c r="D30" s="456">
        <f t="shared" si="0"/>
        <v>-163442.09885384724</v>
      </c>
      <c r="E30" s="457">
        <f t="shared" si="1"/>
        <v>1470978.889684625</v>
      </c>
      <c r="F30" s="458">
        <f t="shared" si="2"/>
        <v>-9.9999999999999978E-2</v>
      </c>
    </row>
    <row r="31" spans="1:6" s="110" customFormat="1" x14ac:dyDescent="0.25">
      <c r="A31" s="111" t="s">
        <v>43</v>
      </c>
      <c r="B31" s="172">
        <v>4</v>
      </c>
      <c r="C31" s="455">
        <v>1946667.9655878369</v>
      </c>
      <c r="D31" s="456">
        <f t="shared" si="0"/>
        <v>-194666.79655878371</v>
      </c>
      <c r="E31" s="457">
        <f t="shared" si="1"/>
        <v>1752001.1690290533</v>
      </c>
      <c r="F31" s="458">
        <f t="shared" si="2"/>
        <v>-9.9999999999999978E-2</v>
      </c>
    </row>
    <row r="32" spans="1:6" s="110" customFormat="1" x14ac:dyDescent="0.25">
      <c r="A32" s="111" t="s">
        <v>63</v>
      </c>
      <c r="B32" s="172">
        <v>4</v>
      </c>
      <c r="C32" s="455">
        <v>2098909.9353136122</v>
      </c>
      <c r="D32" s="456">
        <f t="shared" si="0"/>
        <v>-209890.99353136122</v>
      </c>
      <c r="E32" s="457">
        <f t="shared" si="1"/>
        <v>1889018.941782251</v>
      </c>
      <c r="F32" s="458">
        <f t="shared" si="2"/>
        <v>-9.9999999999999978E-2</v>
      </c>
    </row>
    <row r="33" spans="1:6" s="110" customFormat="1" x14ac:dyDescent="0.25">
      <c r="A33" s="111" t="s">
        <v>69</v>
      </c>
      <c r="B33" s="172">
        <v>4</v>
      </c>
      <c r="C33" s="455">
        <v>3153394.1143899709</v>
      </c>
      <c r="D33" s="456">
        <f t="shared" si="0"/>
        <v>-315339.41143899714</v>
      </c>
      <c r="E33" s="457">
        <f t="shared" si="1"/>
        <v>2838054.702950974</v>
      </c>
      <c r="F33" s="458">
        <f t="shared" si="2"/>
        <v>-9.9999999999999978E-2</v>
      </c>
    </row>
    <row r="34" spans="1:6" s="110" customFormat="1" x14ac:dyDescent="0.25">
      <c r="A34" s="111" t="s">
        <v>99</v>
      </c>
      <c r="B34" s="172">
        <v>4</v>
      </c>
      <c r="C34" s="455">
        <v>1663308.9915776632</v>
      </c>
      <c r="D34" s="456">
        <f t="shared" si="0"/>
        <v>-166330.89915776634</v>
      </c>
      <c r="E34" s="457">
        <f t="shared" si="1"/>
        <v>1496978.092419897</v>
      </c>
      <c r="F34" s="458">
        <f t="shared" si="2"/>
        <v>-9.9999999999999978E-2</v>
      </c>
    </row>
    <row r="35" spans="1:6" s="110" customFormat="1" x14ac:dyDescent="0.25">
      <c r="A35" s="111" t="s">
        <v>117</v>
      </c>
      <c r="B35" s="172">
        <v>4</v>
      </c>
      <c r="C35" s="455">
        <v>2282611.5004459568</v>
      </c>
      <c r="D35" s="456">
        <f t="shared" si="0"/>
        <v>-228261.15004459571</v>
      </c>
      <c r="E35" s="457">
        <f t="shared" si="1"/>
        <v>2054350.350401361</v>
      </c>
      <c r="F35" s="458">
        <f t="shared" si="2"/>
        <v>-0.10000000000000009</v>
      </c>
    </row>
    <row r="36" spans="1:6" s="110" customFormat="1" x14ac:dyDescent="0.25">
      <c r="A36" s="111" t="s">
        <v>129</v>
      </c>
      <c r="B36" s="172">
        <v>4</v>
      </c>
      <c r="C36" s="455">
        <v>2037215.9071444729</v>
      </c>
      <c r="D36" s="456">
        <f t="shared" si="0"/>
        <v>-203721.59071444732</v>
      </c>
      <c r="E36" s="457">
        <f t="shared" si="1"/>
        <v>1833494.3164300257</v>
      </c>
      <c r="F36" s="458">
        <f t="shared" si="2"/>
        <v>-9.9999999999999978E-2</v>
      </c>
    </row>
    <row r="37" spans="1:6" s="110" customFormat="1" x14ac:dyDescent="0.25">
      <c r="A37" s="111" t="s">
        <v>141</v>
      </c>
      <c r="B37" s="172">
        <v>4</v>
      </c>
      <c r="C37" s="455">
        <v>1773886.7706391166</v>
      </c>
      <c r="D37" s="456">
        <f t="shared" si="0"/>
        <v>-177388.67706391169</v>
      </c>
      <c r="E37" s="457">
        <f t="shared" si="1"/>
        <v>1596498.093575205</v>
      </c>
      <c r="F37" s="458">
        <f t="shared" si="2"/>
        <v>-9.9999999999999978E-2</v>
      </c>
    </row>
    <row r="38" spans="1:6" s="110" customFormat="1" x14ac:dyDescent="0.25">
      <c r="A38" s="111" t="s">
        <v>4</v>
      </c>
      <c r="B38" s="172">
        <v>5</v>
      </c>
      <c r="C38" s="455">
        <v>6171387.541563605</v>
      </c>
      <c r="D38" s="456">
        <f t="shared" si="0"/>
        <v>-617138.75415636052</v>
      </c>
      <c r="E38" s="457">
        <f t="shared" si="1"/>
        <v>5554248.7874072446</v>
      </c>
      <c r="F38" s="458">
        <f t="shared" si="2"/>
        <v>-9.9999999999999978E-2</v>
      </c>
    </row>
    <row r="39" spans="1:6" s="110" customFormat="1" x14ac:dyDescent="0.25">
      <c r="A39" s="111" t="s">
        <v>22</v>
      </c>
      <c r="B39" s="172">
        <v>5</v>
      </c>
      <c r="C39" s="455">
        <v>3774623.494254359</v>
      </c>
      <c r="D39" s="456">
        <f t="shared" si="0"/>
        <v>-377462.34942543594</v>
      </c>
      <c r="E39" s="457">
        <f t="shared" si="1"/>
        <v>3397161.144828923</v>
      </c>
      <c r="F39" s="458">
        <f t="shared" si="2"/>
        <v>-9.9999999999999978E-2</v>
      </c>
    </row>
    <row r="40" spans="1:6" s="110" customFormat="1" x14ac:dyDescent="0.25">
      <c r="A40" s="111" t="s">
        <v>26</v>
      </c>
      <c r="B40" s="172">
        <v>5</v>
      </c>
      <c r="C40" s="455">
        <v>3921856.3432754567</v>
      </c>
      <c r="D40" s="456">
        <f t="shared" si="0"/>
        <v>-392185.6343275457</v>
      </c>
      <c r="E40" s="457">
        <f t="shared" si="1"/>
        <v>3529670.7089479109</v>
      </c>
      <c r="F40" s="458">
        <f t="shared" si="2"/>
        <v>-9.9999999999999978E-2</v>
      </c>
    </row>
    <row r="41" spans="1:6" s="110" customFormat="1" x14ac:dyDescent="0.25">
      <c r="A41" s="111" t="s">
        <v>61</v>
      </c>
      <c r="B41" s="172">
        <v>5</v>
      </c>
      <c r="C41" s="455">
        <v>3649303.4090870358</v>
      </c>
      <c r="D41" s="456">
        <f t="shared" si="0"/>
        <v>-364930.34090870363</v>
      </c>
      <c r="E41" s="457">
        <f t="shared" si="1"/>
        <v>3284373.0681783324</v>
      </c>
      <c r="F41" s="458">
        <f t="shared" si="2"/>
        <v>-9.9999999999999978E-2</v>
      </c>
    </row>
    <row r="42" spans="1:6" s="110" customFormat="1" x14ac:dyDescent="0.25">
      <c r="A42" s="111" t="s">
        <v>93</v>
      </c>
      <c r="B42" s="172">
        <v>5</v>
      </c>
      <c r="C42" s="455">
        <v>3707305.8517149161</v>
      </c>
      <c r="D42" s="456">
        <f t="shared" si="0"/>
        <v>-370730.58517149161</v>
      </c>
      <c r="E42" s="457">
        <f t="shared" si="1"/>
        <v>3336575.2665434247</v>
      </c>
      <c r="F42" s="458">
        <f t="shared" si="2"/>
        <v>-9.9999999999999978E-2</v>
      </c>
    </row>
    <row r="43" spans="1:6" s="110" customFormat="1" x14ac:dyDescent="0.25">
      <c r="A43" s="111" t="s">
        <v>97</v>
      </c>
      <c r="B43" s="172">
        <v>5</v>
      </c>
      <c r="C43" s="455">
        <v>3742986.5293936459</v>
      </c>
      <c r="D43" s="456">
        <f t="shared" si="0"/>
        <v>-374298.65293936461</v>
      </c>
      <c r="E43" s="457">
        <f t="shared" si="1"/>
        <v>3368687.8764542812</v>
      </c>
      <c r="F43" s="458">
        <f t="shared" si="2"/>
        <v>-0.10000000000000009</v>
      </c>
    </row>
    <row r="44" spans="1:6" s="110" customFormat="1" x14ac:dyDescent="0.25">
      <c r="A44" s="111" t="s">
        <v>101</v>
      </c>
      <c r="B44" s="172">
        <v>5</v>
      </c>
      <c r="C44" s="455">
        <v>3905633.6888755197</v>
      </c>
      <c r="D44" s="456">
        <f t="shared" si="0"/>
        <v>-390563.368887552</v>
      </c>
      <c r="E44" s="457">
        <f t="shared" si="1"/>
        <v>3515070.3199879676</v>
      </c>
      <c r="F44" s="458">
        <f t="shared" si="2"/>
        <v>-9.9999999999999978E-2</v>
      </c>
    </row>
    <row r="45" spans="1:6" s="110" customFormat="1" x14ac:dyDescent="0.25">
      <c r="A45" s="111" t="s">
        <v>119</v>
      </c>
      <c r="B45" s="172">
        <v>5</v>
      </c>
      <c r="C45" s="455">
        <v>3849915.169260297</v>
      </c>
      <c r="D45" s="456">
        <f t="shared" si="0"/>
        <v>-384991.5169260297</v>
      </c>
      <c r="E45" s="457">
        <f t="shared" si="1"/>
        <v>3464923.6523342673</v>
      </c>
      <c r="F45" s="458">
        <f t="shared" si="2"/>
        <v>-9.9999999999999978E-2</v>
      </c>
    </row>
    <row r="46" spans="1:6" s="110" customFormat="1" x14ac:dyDescent="0.25">
      <c r="A46" s="111" t="s">
        <v>123</v>
      </c>
      <c r="B46" s="172">
        <v>5</v>
      </c>
      <c r="C46" s="455">
        <v>3399222.5516007994</v>
      </c>
      <c r="D46" s="456">
        <f t="shared" si="0"/>
        <v>-339922.25516007998</v>
      </c>
      <c r="E46" s="457">
        <f t="shared" si="1"/>
        <v>3059300.2964407196</v>
      </c>
      <c r="F46" s="458">
        <f t="shared" si="2"/>
        <v>-9.9999999999999978E-2</v>
      </c>
    </row>
    <row r="47" spans="1:6" s="110" customFormat="1" x14ac:dyDescent="0.25">
      <c r="A47" s="111" t="s">
        <v>12</v>
      </c>
      <c r="B47" s="172">
        <v>6</v>
      </c>
      <c r="C47" s="455">
        <v>4163011.5715426411</v>
      </c>
      <c r="D47" s="456">
        <f t="shared" si="0"/>
        <v>-416301.15715426416</v>
      </c>
      <c r="E47" s="457">
        <f t="shared" si="1"/>
        <v>3746710.4143883772</v>
      </c>
      <c r="F47" s="458">
        <f t="shared" si="2"/>
        <v>-9.9999999999999978E-2</v>
      </c>
    </row>
    <row r="48" spans="1:6" s="110" customFormat="1" x14ac:dyDescent="0.25">
      <c r="A48" s="111" t="s">
        <v>16</v>
      </c>
      <c r="B48" s="172">
        <v>6</v>
      </c>
      <c r="C48" s="455">
        <v>12007147.113762893</v>
      </c>
      <c r="D48" s="456">
        <f t="shared" si="0"/>
        <v>-1200714.7113762894</v>
      </c>
      <c r="E48" s="457">
        <f t="shared" si="1"/>
        <v>10806432.402386604</v>
      </c>
      <c r="F48" s="458">
        <f t="shared" si="2"/>
        <v>-9.9999999999999978E-2</v>
      </c>
    </row>
    <row r="49" spans="1:6" s="110" customFormat="1" x14ac:dyDescent="0.25">
      <c r="A49" s="111" t="s">
        <v>28</v>
      </c>
      <c r="B49" s="172">
        <v>6</v>
      </c>
      <c r="C49" s="455">
        <v>6853710.8737236839</v>
      </c>
      <c r="D49" s="456">
        <f t="shared" si="0"/>
        <v>-685371.08737236843</v>
      </c>
      <c r="E49" s="457">
        <f t="shared" si="1"/>
        <v>6168339.7863513157</v>
      </c>
      <c r="F49" s="458">
        <f t="shared" si="2"/>
        <v>-9.9999999999999978E-2</v>
      </c>
    </row>
    <row r="50" spans="1:6" s="110" customFormat="1" x14ac:dyDescent="0.25">
      <c r="A50" s="111" t="s">
        <v>41</v>
      </c>
      <c r="B50" s="172">
        <v>6</v>
      </c>
      <c r="C50" s="455">
        <v>7404024.2509335242</v>
      </c>
      <c r="D50" s="456">
        <f t="shared" si="0"/>
        <v>-740402.42509335245</v>
      </c>
      <c r="E50" s="457">
        <f t="shared" si="1"/>
        <v>6663621.8258401714</v>
      </c>
      <c r="F50" s="458">
        <f t="shared" si="2"/>
        <v>-0.10000000000000009</v>
      </c>
    </row>
    <row r="51" spans="1:6" s="110" customFormat="1" x14ac:dyDescent="0.25">
      <c r="A51" s="111" t="s">
        <v>77</v>
      </c>
      <c r="B51" s="172">
        <v>6</v>
      </c>
      <c r="C51" s="455">
        <v>6602454.3185240934</v>
      </c>
      <c r="D51" s="456">
        <f t="shared" si="0"/>
        <v>-660245.43185240938</v>
      </c>
      <c r="E51" s="457">
        <f t="shared" si="1"/>
        <v>5942208.8866716838</v>
      </c>
      <c r="F51" s="458">
        <f t="shared" si="2"/>
        <v>-0.10000000000000009</v>
      </c>
    </row>
    <row r="52" spans="1:6" s="110" customFormat="1" x14ac:dyDescent="0.25">
      <c r="A52" s="111" t="s">
        <v>81</v>
      </c>
      <c r="B52" s="172">
        <v>6</v>
      </c>
      <c r="C52" s="455">
        <v>6281452.2891609473</v>
      </c>
      <c r="D52" s="456">
        <f t="shared" si="0"/>
        <v>-628145.22891609475</v>
      </c>
      <c r="E52" s="457">
        <f t="shared" si="1"/>
        <v>5653307.0602448527</v>
      </c>
      <c r="F52" s="458">
        <f t="shared" si="2"/>
        <v>-9.9999999999999978E-2</v>
      </c>
    </row>
    <row r="53" spans="1:6" s="110" customFormat="1" x14ac:dyDescent="0.25">
      <c r="A53" s="111" t="s">
        <v>89</v>
      </c>
      <c r="B53" s="172">
        <v>6</v>
      </c>
      <c r="C53" s="455">
        <v>6336094.7002849067</v>
      </c>
      <c r="D53" s="456">
        <f t="shared" si="0"/>
        <v>-633609.47002849076</v>
      </c>
      <c r="E53" s="457">
        <f t="shared" si="1"/>
        <v>5702485.2302564159</v>
      </c>
      <c r="F53" s="458">
        <f t="shared" si="2"/>
        <v>-9.9999999999999978E-2</v>
      </c>
    </row>
    <row r="54" spans="1:6" s="110" customFormat="1" x14ac:dyDescent="0.25">
      <c r="A54" s="111" t="s">
        <v>91</v>
      </c>
      <c r="B54" s="172">
        <v>6</v>
      </c>
      <c r="C54" s="455">
        <v>6978601.3741386551</v>
      </c>
      <c r="D54" s="456">
        <f t="shared" si="0"/>
        <v>-697860.13741386554</v>
      </c>
      <c r="E54" s="457">
        <f t="shared" si="1"/>
        <v>6280741.2367247893</v>
      </c>
      <c r="F54" s="458">
        <f t="shared" si="2"/>
        <v>-0.10000000000000009</v>
      </c>
    </row>
    <row r="55" spans="1:6" s="110" customFormat="1" x14ac:dyDescent="0.25">
      <c r="A55" s="111" t="s">
        <v>107</v>
      </c>
      <c r="B55" s="172">
        <v>6</v>
      </c>
      <c r="C55" s="455">
        <v>8245248.471069687</v>
      </c>
      <c r="D55" s="456">
        <f t="shared" si="0"/>
        <v>-824524.84710696875</v>
      </c>
      <c r="E55" s="457">
        <f t="shared" si="1"/>
        <v>7420723.6239627181</v>
      </c>
      <c r="F55" s="458">
        <f t="shared" si="2"/>
        <v>-0.10000000000000009</v>
      </c>
    </row>
    <row r="56" spans="1:6" s="110" customFormat="1" x14ac:dyDescent="0.25">
      <c r="A56" s="111" t="s">
        <v>111</v>
      </c>
      <c r="B56" s="172">
        <v>6</v>
      </c>
      <c r="C56" s="455">
        <v>12307688.560682895</v>
      </c>
      <c r="D56" s="456">
        <f t="shared" si="0"/>
        <v>-1230768.8560682896</v>
      </c>
      <c r="E56" s="457">
        <f t="shared" si="1"/>
        <v>11076919.704614606</v>
      </c>
      <c r="F56" s="458">
        <f t="shared" si="2"/>
        <v>-9.9999999999999978E-2</v>
      </c>
    </row>
    <row r="57" spans="1:6" s="110" customFormat="1" x14ac:dyDescent="0.25">
      <c r="A57" s="111" t="s">
        <v>121</v>
      </c>
      <c r="B57" s="172">
        <v>6</v>
      </c>
      <c r="C57" s="455">
        <v>7079177.9148186836</v>
      </c>
      <c r="D57" s="456">
        <f t="shared" si="0"/>
        <v>-707917.79148186836</v>
      </c>
      <c r="E57" s="457">
        <f t="shared" si="1"/>
        <v>6371260.1233368153</v>
      </c>
      <c r="F57" s="458">
        <f t="shared" si="2"/>
        <v>-9.9999999999999978E-2</v>
      </c>
    </row>
    <row r="58" spans="1:6" s="110" customFormat="1" x14ac:dyDescent="0.25">
      <c r="A58" s="111" t="s">
        <v>125</v>
      </c>
      <c r="B58" s="172">
        <v>6</v>
      </c>
      <c r="C58" s="455">
        <v>8647310.4311113916</v>
      </c>
      <c r="D58" s="456">
        <f t="shared" si="0"/>
        <v>-864731.04311113921</v>
      </c>
      <c r="E58" s="457">
        <f t="shared" si="1"/>
        <v>7782579.3880002527</v>
      </c>
      <c r="F58" s="458">
        <f t="shared" si="2"/>
        <v>-9.9999999999999978E-2</v>
      </c>
    </row>
    <row r="59" spans="1:6" s="110" customFormat="1" x14ac:dyDescent="0.25">
      <c r="A59" s="111" t="s">
        <v>127</v>
      </c>
      <c r="B59" s="172">
        <v>6</v>
      </c>
      <c r="C59" s="455">
        <v>9412787.8076757174</v>
      </c>
      <c r="D59" s="456">
        <f t="shared" si="0"/>
        <v>-941278.78076757176</v>
      </c>
      <c r="E59" s="457">
        <f t="shared" si="1"/>
        <v>8471509.0269081462</v>
      </c>
      <c r="F59" s="458">
        <f t="shared" si="2"/>
        <v>-9.9999999999999978E-2</v>
      </c>
    </row>
    <row r="60" spans="1:6" s="110" customFormat="1" x14ac:dyDescent="0.25">
      <c r="A60" s="111" t="s">
        <v>36</v>
      </c>
      <c r="B60" s="172">
        <v>7</v>
      </c>
      <c r="C60" s="455">
        <v>21034726.09047085</v>
      </c>
      <c r="D60" s="456">
        <f t="shared" si="0"/>
        <v>-2103472.609047085</v>
      </c>
      <c r="E60" s="457">
        <f t="shared" si="1"/>
        <v>18931253.481423765</v>
      </c>
      <c r="F60" s="458">
        <f t="shared" si="2"/>
        <v>-9.9999999999999978E-2</v>
      </c>
    </row>
    <row r="61" spans="1:6" s="110" customFormat="1" x14ac:dyDescent="0.25">
      <c r="A61" s="111" t="s">
        <v>79</v>
      </c>
      <c r="B61" s="172">
        <v>7</v>
      </c>
      <c r="C61" s="455">
        <v>12492314.483900277</v>
      </c>
      <c r="D61" s="456">
        <f t="shared" si="0"/>
        <v>-1249231.4483900277</v>
      </c>
      <c r="E61" s="457">
        <f t="shared" si="1"/>
        <v>11243083.035510249</v>
      </c>
      <c r="F61" s="458">
        <f t="shared" si="2"/>
        <v>-9.9999999999999978E-2</v>
      </c>
    </row>
    <row r="62" spans="1:6" s="110" customFormat="1" x14ac:dyDescent="0.25">
      <c r="A62" s="111" t="s">
        <v>113</v>
      </c>
      <c r="B62" s="172">
        <v>7</v>
      </c>
      <c r="C62" s="455">
        <v>23958733.798384506</v>
      </c>
      <c r="D62" s="456">
        <f t="shared" si="0"/>
        <v>-2395873.3798384508</v>
      </c>
      <c r="E62" s="457">
        <f t="shared" si="1"/>
        <v>21562860.418546055</v>
      </c>
      <c r="F62" s="458">
        <f t="shared" si="2"/>
        <v>-0.10000000000000009</v>
      </c>
    </row>
    <row r="63" spans="1:6" s="110" customFormat="1" x14ac:dyDescent="0.25">
      <c r="A63" s="111" t="s">
        <v>115</v>
      </c>
      <c r="B63" s="172">
        <v>7</v>
      </c>
      <c r="C63" s="455">
        <v>13278181.84919752</v>
      </c>
      <c r="D63" s="456">
        <f t="shared" si="0"/>
        <v>-1327818.1849197522</v>
      </c>
      <c r="E63" s="457">
        <f t="shared" si="1"/>
        <v>11950363.664277768</v>
      </c>
      <c r="F63" s="458">
        <f t="shared" si="2"/>
        <v>-9.9999999999999978E-2</v>
      </c>
    </row>
    <row r="64" spans="1:6" s="110" customFormat="1" x14ac:dyDescent="0.25">
      <c r="A64" s="111" t="s">
        <v>137</v>
      </c>
      <c r="B64" s="172">
        <v>7</v>
      </c>
      <c r="C64" s="455">
        <v>12454522.550616754</v>
      </c>
      <c r="D64" s="456">
        <f t="shared" si="0"/>
        <v>-1245452.2550616756</v>
      </c>
      <c r="E64" s="457">
        <f t="shared" si="1"/>
        <v>11209070.295555079</v>
      </c>
      <c r="F64" s="458">
        <f t="shared" si="2"/>
        <v>-9.9999999999999978E-2</v>
      </c>
    </row>
    <row r="65" spans="1:6" s="110" customFormat="1" x14ac:dyDescent="0.25">
      <c r="A65" s="111" t="s">
        <v>18</v>
      </c>
      <c r="B65" s="172">
        <v>8</v>
      </c>
      <c r="C65" s="455">
        <v>41479453.651080489</v>
      </c>
      <c r="D65" s="456">
        <f t="shared" si="0"/>
        <v>-4147945.365108049</v>
      </c>
      <c r="E65" s="457">
        <f t="shared" si="1"/>
        <v>37331508.285972439</v>
      </c>
      <c r="F65" s="458">
        <f t="shared" si="2"/>
        <v>-0.10000000000000009</v>
      </c>
    </row>
    <row r="66" spans="1:6" s="110" customFormat="1" x14ac:dyDescent="0.25">
      <c r="A66" s="111" t="s">
        <v>65</v>
      </c>
      <c r="B66" s="172">
        <v>8</v>
      </c>
      <c r="C66" s="455">
        <v>32409824.839300897</v>
      </c>
      <c r="D66" s="456">
        <f>-(C66*E$1)</f>
        <v>-3240982.48393009</v>
      </c>
      <c r="E66" s="457">
        <f t="shared" si="1"/>
        <v>29168842.355370808</v>
      </c>
      <c r="F66" s="458">
        <f t="shared" si="2"/>
        <v>-9.9999999999999978E-2</v>
      </c>
    </row>
    <row r="67" spans="1:6" s="110" customFormat="1" x14ac:dyDescent="0.25">
      <c r="A67" s="111" t="s">
        <v>95</v>
      </c>
      <c r="B67" s="172">
        <v>8</v>
      </c>
      <c r="C67" s="455">
        <v>75608322.129284829</v>
      </c>
      <c r="D67" s="456">
        <f t="shared" ref="D67:D69" si="3">-(C67*E$1)</f>
        <v>-7560832.2129284833</v>
      </c>
      <c r="E67" s="457">
        <f t="shared" si="1"/>
        <v>68047489.91635634</v>
      </c>
      <c r="F67" s="458">
        <f t="shared" si="2"/>
        <v>-0.10000000000000009</v>
      </c>
    </row>
    <row r="68" spans="1:6" x14ac:dyDescent="0.25">
      <c r="A68" s="111" t="s">
        <v>105</v>
      </c>
      <c r="B68" s="172">
        <v>8</v>
      </c>
      <c r="C68" s="455">
        <v>31053782.706605237</v>
      </c>
      <c r="D68" s="456">
        <f t="shared" si="3"/>
        <v>-3105378.2706605238</v>
      </c>
      <c r="E68" s="457">
        <f t="shared" ref="E68:E69" si="4">C68+D68</f>
        <v>27948404.435944714</v>
      </c>
      <c r="F68" s="458">
        <f t="shared" ref="F68:F69" si="5">E68/C68-1</f>
        <v>-9.9999999999999978E-2</v>
      </c>
    </row>
    <row r="69" spans="1:6" ht="14.25" thickBot="1" x14ac:dyDescent="0.3">
      <c r="A69" s="120" t="s">
        <v>109</v>
      </c>
      <c r="B69" s="173">
        <v>8</v>
      </c>
      <c r="C69" s="459">
        <v>32093204.468737908</v>
      </c>
      <c r="D69" s="460">
        <f t="shared" si="3"/>
        <v>-3209320.4468737911</v>
      </c>
      <c r="E69" s="461">
        <f t="shared" si="4"/>
        <v>28883884.021864116</v>
      </c>
      <c r="F69" s="462">
        <f t="shared" si="5"/>
        <v>-9.9999999999999978E-2</v>
      </c>
    </row>
    <row r="70" spans="1:6" ht="14.25" thickBot="1" x14ac:dyDescent="0.3">
      <c r="A70" s="126"/>
      <c r="B70" s="127"/>
      <c r="C70" s="128"/>
      <c r="D70" s="463"/>
      <c r="E70" s="129"/>
      <c r="F70" s="464"/>
    </row>
    <row r="71" spans="1:6" s="110" customFormat="1" ht="14.25" thickBot="1" x14ac:dyDescent="0.3">
      <c r="A71" s="471" t="s">
        <v>285</v>
      </c>
      <c r="B71" s="471"/>
      <c r="C71" s="465">
        <f t="shared" ref="C71" si="6">SUM(C3:C69)</f>
        <v>474436049.49055099</v>
      </c>
      <c r="D71" s="466">
        <f>SUM(D3:D69)</f>
        <v>-47443604.949055113</v>
      </c>
      <c r="E71" s="467">
        <f>SUM(E3:E69)</f>
        <v>426992444.54149592</v>
      </c>
      <c r="F71" s="468">
        <f>E71/C71-1</f>
        <v>-9.9999999999999978E-2</v>
      </c>
    </row>
    <row r="72" spans="1:6" x14ac:dyDescent="0.25">
      <c r="C72" s="136"/>
      <c r="E72" s="367"/>
    </row>
    <row r="73" spans="1:6" x14ac:dyDescent="0.25">
      <c r="C73" s="136"/>
      <c r="E73" s="367"/>
    </row>
    <row r="74" spans="1:6" ht="42" customHeight="1" x14ac:dyDescent="0.25">
      <c r="A74" s="503" t="s">
        <v>286</v>
      </c>
      <c r="B74" s="504"/>
      <c r="C74" s="504"/>
      <c r="D74" s="504"/>
      <c r="E74" s="504"/>
      <c r="F74" s="505"/>
    </row>
    <row r="75" spans="1:6" ht="9.75" customHeight="1" x14ac:dyDescent="0.25">
      <c r="C75" s="136"/>
      <c r="F75" s="469"/>
    </row>
    <row r="76" spans="1:6" ht="120" customHeight="1" x14ac:dyDescent="0.25">
      <c r="A76" s="506" t="s">
        <v>287</v>
      </c>
      <c r="B76" s="507"/>
      <c r="C76" s="507"/>
      <c r="D76" s="507"/>
      <c r="E76" s="507"/>
      <c r="F76" s="508"/>
    </row>
    <row r="77" spans="1:6" x14ac:dyDescent="0.25">
      <c r="E77" s="295"/>
    </row>
    <row r="78" spans="1:6" x14ac:dyDescent="0.25">
      <c r="E78" s="295"/>
    </row>
  </sheetData>
  <autoFilter ref="A2:F2" xr:uid="{4BF7E378-CACC-44C3-BA3F-7306E55EE6D4}"/>
  <mergeCells count="3">
    <mergeCell ref="A71:B71"/>
    <mergeCell ref="A74:F74"/>
    <mergeCell ref="A76:F76"/>
  </mergeCells>
  <printOptions horizontalCentered="1"/>
  <pageMargins left="0.2" right="0.2" top="0.5" bottom="0.5" header="0.25" footer="0.25"/>
  <pageSetup scale="84" fitToHeight="0" pageOrder="overThenDown" orientation="landscape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C4C2-B21C-4C3E-9355-7EF4A85726BE}">
  <sheetPr>
    <pageSetUpPr fitToPage="1"/>
  </sheetPr>
  <dimension ref="A1:V78"/>
  <sheetViews>
    <sheetView zoomScale="116" zoomScaleNormal="116" zoomScalePageLayoutView="55" workbookViewId="0">
      <pane xSplit="2" ySplit="1" topLeftCell="C52" activePane="bottomRight" state="frozen"/>
      <selection pane="topRight" activeCell="C1" sqref="C1"/>
      <selection pane="bottomLeft" activeCell="A3" sqref="A3"/>
      <selection pane="bottomRight" activeCell="T74" sqref="T74"/>
    </sheetView>
  </sheetViews>
  <sheetFormatPr defaultColWidth="2.28515625" defaultRowHeight="13.5" x14ac:dyDescent="0.25"/>
  <cols>
    <col min="1" max="1" width="12.140625" style="119" customWidth="1"/>
    <col min="2" max="2" width="6.28515625" style="119" customWidth="1"/>
    <col min="3" max="3" width="16.7109375" style="119" customWidth="1"/>
    <col min="4" max="4" width="12.7109375" style="119" customWidth="1"/>
    <col min="5" max="5" width="14.7109375" style="119" customWidth="1"/>
    <col min="6" max="6" width="16.7109375" style="119" customWidth="1"/>
    <col min="7" max="7" width="14.85546875" style="119" customWidth="1"/>
    <col min="8" max="8" width="13.85546875" style="119" customWidth="1"/>
    <col min="9" max="9" width="12.140625" style="119" customWidth="1"/>
    <col min="10" max="10" width="13.85546875" style="119" customWidth="1"/>
    <col min="11" max="11" width="15.140625" style="119" customWidth="1"/>
    <col min="12" max="12" width="15.85546875" style="119" customWidth="1"/>
    <col min="13" max="13" width="13.85546875" style="119" customWidth="1"/>
    <col min="14" max="14" width="15.28515625" style="119" customWidth="1"/>
    <col min="15" max="15" width="14" style="119" customWidth="1"/>
    <col min="16" max="16" width="14.28515625" style="119" bestFit="1" customWidth="1"/>
    <col min="17" max="17" width="10.85546875" style="119" customWidth="1"/>
    <col min="18" max="18" width="15.42578125" style="137" customWidth="1"/>
    <col min="19" max="19" width="10.42578125" style="137" customWidth="1"/>
    <col min="20" max="20" width="17.28515625" style="137" customWidth="1"/>
    <col min="21" max="21" width="7.5703125" style="138" customWidth="1"/>
    <col min="22" max="22" width="8.85546875" style="138" customWidth="1"/>
    <col min="23" max="16384" width="2.28515625" style="119"/>
  </cols>
  <sheetData>
    <row r="1" spans="1:22" s="108" customFormat="1" ht="59.25" customHeight="1" thickBot="1" x14ac:dyDescent="0.3">
      <c r="A1" s="101" t="s">
        <v>0</v>
      </c>
      <c r="B1" s="102" t="s">
        <v>164</v>
      </c>
      <c r="C1" s="103" t="s">
        <v>180</v>
      </c>
      <c r="D1" s="104" t="s">
        <v>165</v>
      </c>
      <c r="E1" s="263" t="s">
        <v>210</v>
      </c>
      <c r="F1" s="151" t="s">
        <v>183</v>
      </c>
      <c r="G1" s="105" t="s">
        <v>217</v>
      </c>
      <c r="H1" s="105" t="s">
        <v>215</v>
      </c>
      <c r="I1" s="105" t="s">
        <v>173</v>
      </c>
      <c r="J1" s="105" t="s">
        <v>174</v>
      </c>
      <c r="K1" s="105" t="s">
        <v>175</v>
      </c>
      <c r="L1" s="153" t="s">
        <v>176</v>
      </c>
      <c r="M1" s="105" t="s">
        <v>177</v>
      </c>
      <c r="N1" s="105" t="s">
        <v>211</v>
      </c>
      <c r="O1" s="105" t="s">
        <v>178</v>
      </c>
      <c r="P1" s="105" t="s">
        <v>179</v>
      </c>
      <c r="Q1" s="105" t="s">
        <v>166</v>
      </c>
      <c r="R1" s="106" t="s">
        <v>167</v>
      </c>
      <c r="S1" s="107" t="s">
        <v>168</v>
      </c>
      <c r="T1" s="177" t="s">
        <v>184</v>
      </c>
      <c r="U1" s="178" t="s">
        <v>169</v>
      </c>
      <c r="V1" s="178" t="s">
        <v>170</v>
      </c>
    </row>
    <row r="2" spans="1:22" s="110" customFormat="1" ht="13.5" customHeight="1" x14ac:dyDescent="0.25">
      <c r="A2" s="111" t="s">
        <v>53</v>
      </c>
      <c r="B2" s="172">
        <v>1</v>
      </c>
      <c r="C2" s="112">
        <v>520062</v>
      </c>
      <c r="D2" s="113">
        <v>176</v>
      </c>
      <c r="E2" s="264">
        <v>5009</v>
      </c>
      <c r="F2" s="114">
        <f t="shared" ref="F2:F33" si="0">C2+D2+E2</f>
        <v>525247</v>
      </c>
      <c r="G2" s="109">
        <v>10550.665701244196</v>
      </c>
      <c r="H2" s="109"/>
      <c r="I2" s="109"/>
      <c r="J2" s="109"/>
      <c r="K2" s="109">
        <v>11750</v>
      </c>
      <c r="L2" s="109"/>
      <c r="M2" s="259">
        <v>46131</v>
      </c>
      <c r="N2" s="109"/>
      <c r="O2" s="109"/>
      <c r="P2" s="109"/>
      <c r="Q2" s="109"/>
      <c r="R2" s="118">
        <f t="shared" ref="R2:R33" si="1">SUM(G2:Q2)</f>
        <v>68431.665701244201</v>
      </c>
      <c r="S2" s="233">
        <v>1</v>
      </c>
      <c r="T2" s="118">
        <f t="shared" ref="T2:T33" si="2">F2+R2</f>
        <v>593678.66570124426</v>
      </c>
      <c r="U2" s="116">
        <f t="shared" ref="U2:U33" si="3">T2/F2-1</f>
        <v>0.13028473404178276</v>
      </c>
      <c r="V2" s="116">
        <f t="shared" ref="V2:V33" si="4">T2/C2-1</f>
        <v>0.14155363341533178</v>
      </c>
    </row>
    <row r="3" spans="1:22" customFormat="1" ht="13.5" customHeight="1" x14ac:dyDescent="0.25">
      <c r="A3" s="111" t="s">
        <v>75</v>
      </c>
      <c r="B3" s="172">
        <v>1</v>
      </c>
      <c r="C3" s="112">
        <v>324489</v>
      </c>
      <c r="D3" s="113">
        <v>78</v>
      </c>
      <c r="E3" s="265">
        <v>2047</v>
      </c>
      <c r="F3" s="114">
        <f t="shared" si="0"/>
        <v>326614</v>
      </c>
      <c r="G3" s="109">
        <v>1880.6031737767098</v>
      </c>
      <c r="H3" s="109"/>
      <c r="I3" s="109"/>
      <c r="J3" s="109">
        <v>2445</v>
      </c>
      <c r="K3" s="109">
        <f>11068+5867</f>
        <v>16935</v>
      </c>
      <c r="L3" s="109"/>
      <c r="M3" s="109"/>
      <c r="N3" s="109"/>
      <c r="O3" s="109">
        <v>11500</v>
      </c>
      <c r="P3" s="109"/>
      <c r="Q3" s="109"/>
      <c r="R3" s="115">
        <f t="shared" si="1"/>
        <v>32760.603173776712</v>
      </c>
      <c r="S3" s="233"/>
      <c r="T3" s="115">
        <f t="shared" si="2"/>
        <v>359374.6031737767</v>
      </c>
      <c r="U3" s="116">
        <f t="shared" si="3"/>
        <v>0.10030373215409227</v>
      </c>
      <c r="V3" s="116">
        <f t="shared" si="4"/>
        <v>0.10750935524401961</v>
      </c>
    </row>
    <row r="4" spans="1:22" s="117" customFormat="1" ht="13.5" customHeight="1" x14ac:dyDescent="0.25">
      <c r="A4" s="111" t="s">
        <v>85</v>
      </c>
      <c r="B4" s="172">
        <v>1</v>
      </c>
      <c r="C4" s="112">
        <v>335293</v>
      </c>
      <c r="D4" s="113">
        <v>73</v>
      </c>
      <c r="E4" s="265">
        <v>3224</v>
      </c>
      <c r="F4" s="114">
        <f t="shared" si="0"/>
        <v>338590</v>
      </c>
      <c r="G4" s="109">
        <v>5108.2553238781938</v>
      </c>
      <c r="H4" s="109"/>
      <c r="I4" s="109"/>
      <c r="J4" s="109">
        <v>8328</v>
      </c>
      <c r="K4" s="109">
        <v>16029</v>
      </c>
      <c r="L4" s="109"/>
      <c r="M4" s="109">
        <v>15000</v>
      </c>
      <c r="N4" s="109"/>
      <c r="O4" s="109"/>
      <c r="P4" s="109"/>
      <c r="Q4" s="109"/>
      <c r="R4" s="115">
        <f t="shared" si="1"/>
        <v>44465.255323878198</v>
      </c>
      <c r="S4" s="233"/>
      <c r="T4" s="115">
        <f t="shared" si="2"/>
        <v>383055.2553238782</v>
      </c>
      <c r="U4" s="116">
        <f t="shared" si="3"/>
        <v>0.1313247742812198</v>
      </c>
      <c r="V4" s="116">
        <f t="shared" si="4"/>
        <v>0.14244930649872867</v>
      </c>
    </row>
    <row r="5" spans="1:22" s="110" customFormat="1" ht="13.5" customHeight="1" x14ac:dyDescent="0.25">
      <c r="A5" s="111" t="s">
        <v>135</v>
      </c>
      <c r="B5" s="172">
        <v>1</v>
      </c>
      <c r="C5" s="112">
        <v>513694</v>
      </c>
      <c r="D5" s="113">
        <v>160</v>
      </c>
      <c r="E5" s="265">
        <v>3546</v>
      </c>
      <c r="F5" s="114">
        <f t="shared" si="0"/>
        <v>517400</v>
      </c>
      <c r="G5" s="109">
        <v>4001.8738096567758</v>
      </c>
      <c r="H5" s="109"/>
      <c r="I5" s="109"/>
      <c r="J5" s="109">
        <v>19111</v>
      </c>
      <c r="K5" s="109">
        <v>25469</v>
      </c>
      <c r="L5" s="109">
        <v>35457</v>
      </c>
      <c r="M5" s="109"/>
      <c r="N5" s="109"/>
      <c r="O5" s="109"/>
      <c r="P5" s="109"/>
      <c r="Q5" s="109"/>
      <c r="R5" s="118">
        <f t="shared" si="1"/>
        <v>84038.873809656769</v>
      </c>
      <c r="S5" s="233"/>
      <c r="T5" s="118">
        <f t="shared" si="2"/>
        <v>601438.87380965683</v>
      </c>
      <c r="U5" s="116">
        <f t="shared" si="3"/>
        <v>0.16242534559268806</v>
      </c>
      <c r="V5" s="116">
        <f t="shared" si="4"/>
        <v>0.17081156059766478</v>
      </c>
    </row>
    <row r="6" spans="1:22" s="110" customFormat="1" ht="13.5" customHeight="1" x14ac:dyDescent="0.25">
      <c r="A6" s="111" t="s">
        <v>10</v>
      </c>
      <c r="B6" s="172">
        <v>2</v>
      </c>
      <c r="C6" s="176">
        <v>756419</v>
      </c>
      <c r="D6" s="297">
        <v>163</v>
      </c>
      <c r="E6" s="267">
        <v>8836</v>
      </c>
      <c r="F6" s="118">
        <f t="shared" si="0"/>
        <v>765418</v>
      </c>
      <c r="G6" s="156">
        <v>14352.509509820764</v>
      </c>
      <c r="H6" s="156"/>
      <c r="I6" s="156"/>
      <c r="J6" s="156">
        <v>10000</v>
      </c>
      <c r="K6" s="156">
        <v>15000</v>
      </c>
      <c r="L6" s="372"/>
      <c r="M6" s="259">
        <v>45000</v>
      </c>
      <c r="N6" s="259">
        <v>45000</v>
      </c>
      <c r="O6" s="156"/>
      <c r="P6" s="156"/>
      <c r="Q6" s="156"/>
      <c r="R6" s="118">
        <f t="shared" si="1"/>
        <v>129352.50950982077</v>
      </c>
      <c r="S6" s="233">
        <f>1+1</f>
        <v>2</v>
      </c>
      <c r="T6" s="118">
        <f t="shared" si="2"/>
        <v>894770.50950982072</v>
      </c>
      <c r="U6" s="116">
        <f t="shared" si="3"/>
        <v>0.16899590747777116</v>
      </c>
      <c r="V6" s="116">
        <f t="shared" si="4"/>
        <v>0.18290327121584826</v>
      </c>
    </row>
    <row r="7" spans="1:22" s="110" customFormat="1" ht="13.5" customHeight="1" x14ac:dyDescent="0.25">
      <c r="A7" s="174" t="s">
        <v>20</v>
      </c>
      <c r="B7" s="175">
        <v>2</v>
      </c>
      <c r="C7" s="112">
        <v>477087</v>
      </c>
      <c r="D7" s="113">
        <v>162</v>
      </c>
      <c r="E7" s="265">
        <v>5968</v>
      </c>
      <c r="F7" s="114">
        <f t="shared" si="0"/>
        <v>483217</v>
      </c>
      <c r="G7" s="109">
        <v>2615.5034187328392</v>
      </c>
      <c r="H7" s="109"/>
      <c r="I7" s="109"/>
      <c r="J7" s="109">
        <v>9951</v>
      </c>
      <c r="K7" s="109">
        <v>20800</v>
      </c>
      <c r="L7" s="109"/>
      <c r="M7" s="109"/>
      <c r="N7" s="109"/>
      <c r="O7" s="109">
        <v>16031</v>
      </c>
      <c r="P7" s="109">
        <v>6906</v>
      </c>
      <c r="Q7" s="109"/>
      <c r="R7" s="114">
        <f t="shared" si="1"/>
        <v>56303.503418732842</v>
      </c>
      <c r="S7" s="260"/>
      <c r="T7" s="114">
        <f t="shared" si="2"/>
        <v>539520.5034187329</v>
      </c>
      <c r="U7" s="116">
        <f t="shared" si="3"/>
        <v>0.11651805176294072</v>
      </c>
      <c r="V7" s="116">
        <f t="shared" si="4"/>
        <v>0.13086397956501195</v>
      </c>
    </row>
    <row r="8" spans="1:22" s="110" customFormat="1" ht="13.5" customHeight="1" x14ac:dyDescent="0.25">
      <c r="A8" s="111" t="s">
        <v>34</v>
      </c>
      <c r="B8" s="172">
        <v>2</v>
      </c>
      <c r="C8" s="112">
        <v>520945</v>
      </c>
      <c r="D8" s="113">
        <v>123</v>
      </c>
      <c r="E8" s="265">
        <v>5755</v>
      </c>
      <c r="F8" s="114">
        <f t="shared" si="0"/>
        <v>526823</v>
      </c>
      <c r="G8" s="109">
        <v>11697.889931435622</v>
      </c>
      <c r="H8" s="109"/>
      <c r="I8" s="109"/>
      <c r="J8" s="109">
        <v>1500</v>
      </c>
      <c r="K8" s="109">
        <v>22285</v>
      </c>
      <c r="L8" s="109"/>
      <c r="M8" s="109"/>
      <c r="N8" s="109"/>
      <c r="O8" s="109"/>
      <c r="P8" s="109"/>
      <c r="Q8" s="109"/>
      <c r="R8" s="118">
        <f t="shared" si="1"/>
        <v>35482.889931435624</v>
      </c>
      <c r="S8" s="233"/>
      <c r="T8" s="118">
        <f t="shared" si="2"/>
        <v>562305.88993143558</v>
      </c>
      <c r="U8" s="116">
        <f t="shared" si="3"/>
        <v>6.7352583185311898E-2</v>
      </c>
      <c r="V8" s="116">
        <f t="shared" si="4"/>
        <v>7.9395886190357201E-2</v>
      </c>
    </row>
    <row r="9" spans="1:22" s="110" customFormat="1" ht="13.5" customHeight="1" x14ac:dyDescent="0.25">
      <c r="A9" s="111" t="s">
        <v>45</v>
      </c>
      <c r="B9" s="172">
        <v>2</v>
      </c>
      <c r="C9" s="112">
        <v>696031</v>
      </c>
      <c r="D9" s="113">
        <v>205</v>
      </c>
      <c r="E9" s="265">
        <v>5526</v>
      </c>
      <c r="F9" s="114">
        <f t="shared" si="0"/>
        <v>701762</v>
      </c>
      <c r="G9" s="109">
        <v>6111.019311396607</v>
      </c>
      <c r="H9" s="109"/>
      <c r="I9" s="109"/>
      <c r="J9" s="109">
        <v>5086</v>
      </c>
      <c r="K9" s="109">
        <v>16274</v>
      </c>
      <c r="L9" s="109"/>
      <c r="M9" s="109"/>
      <c r="N9" s="109"/>
      <c r="O9" s="109"/>
      <c r="P9" s="109"/>
      <c r="Q9" s="109"/>
      <c r="R9" s="118">
        <f t="shared" si="1"/>
        <v>27471.019311396609</v>
      </c>
      <c r="S9" s="233"/>
      <c r="T9" s="118">
        <f t="shared" si="2"/>
        <v>729233.01931139664</v>
      </c>
      <c r="U9" s="116">
        <f t="shared" si="3"/>
        <v>3.9145777787051195E-2</v>
      </c>
      <c r="V9" s="116">
        <f t="shared" si="4"/>
        <v>4.7701926080011781E-2</v>
      </c>
    </row>
    <row r="10" spans="1:22" s="110" customFormat="1" ht="13.5" customHeight="1" x14ac:dyDescent="0.25">
      <c r="A10" s="111" t="s">
        <v>49</v>
      </c>
      <c r="B10" s="172">
        <v>2</v>
      </c>
      <c r="C10" s="112">
        <v>577120</v>
      </c>
      <c r="D10" s="113">
        <v>248</v>
      </c>
      <c r="E10" s="265">
        <v>5594</v>
      </c>
      <c r="F10" s="114">
        <f t="shared" si="0"/>
        <v>582962</v>
      </c>
      <c r="G10" s="109">
        <v>2923.1292703390145</v>
      </c>
      <c r="H10" s="109"/>
      <c r="I10" s="109"/>
      <c r="J10" s="109">
        <v>7238</v>
      </c>
      <c r="K10" s="109">
        <f>18924+1250</f>
        <v>20174</v>
      </c>
      <c r="L10" s="109"/>
      <c r="M10" s="109"/>
      <c r="N10" s="109">
        <v>92000</v>
      </c>
      <c r="O10" s="109"/>
      <c r="P10" s="109"/>
      <c r="Q10" s="109"/>
      <c r="R10" s="118">
        <f t="shared" si="1"/>
        <v>122335.12927033901</v>
      </c>
      <c r="S10" s="233"/>
      <c r="T10" s="118">
        <f t="shared" si="2"/>
        <v>705297.12927033904</v>
      </c>
      <c r="U10" s="116">
        <f t="shared" si="3"/>
        <v>0.20985094958220096</v>
      </c>
      <c r="V10" s="116">
        <f t="shared" si="4"/>
        <v>0.22209788132509534</v>
      </c>
    </row>
    <row r="11" spans="1:22" s="110" customFormat="1" ht="13.5" customHeight="1" x14ac:dyDescent="0.25">
      <c r="A11" s="111" t="s">
        <v>51</v>
      </c>
      <c r="B11" s="172">
        <v>2</v>
      </c>
      <c r="C11" s="112">
        <v>597059</v>
      </c>
      <c r="D11" s="113">
        <v>179</v>
      </c>
      <c r="E11" s="265">
        <v>5213</v>
      </c>
      <c r="F11" s="114">
        <f t="shared" si="0"/>
        <v>602451</v>
      </c>
      <c r="G11" s="109">
        <v>9861.5373094378101</v>
      </c>
      <c r="H11" s="109"/>
      <c r="I11" s="109"/>
      <c r="J11" s="109">
        <f>27402-K11</f>
        <v>4540</v>
      </c>
      <c r="K11" s="109">
        <v>22862</v>
      </c>
      <c r="L11" s="109"/>
      <c r="M11" s="109"/>
      <c r="N11" s="109"/>
      <c r="O11" s="109">
        <v>19992</v>
      </c>
      <c r="P11" s="109">
        <v>3018</v>
      </c>
      <c r="Q11" s="109"/>
      <c r="R11" s="118">
        <f t="shared" si="1"/>
        <v>60273.537309437808</v>
      </c>
      <c r="S11" s="233"/>
      <c r="T11" s="118">
        <f t="shared" si="2"/>
        <v>662724.53730943776</v>
      </c>
      <c r="U11" s="116">
        <f t="shared" si="3"/>
        <v>0.10004720269272971</v>
      </c>
      <c r="V11" s="116">
        <f t="shared" si="4"/>
        <v>0.10998165559758366</v>
      </c>
    </row>
    <row r="12" spans="1:22" s="110" customFormat="1" ht="13.5" customHeight="1" x14ac:dyDescent="0.25">
      <c r="A12" s="111" t="s">
        <v>55</v>
      </c>
      <c r="B12" s="172">
        <v>2</v>
      </c>
      <c r="C12" s="112">
        <v>630879</v>
      </c>
      <c r="D12" s="113">
        <v>165</v>
      </c>
      <c r="E12" s="265">
        <v>6931</v>
      </c>
      <c r="F12" s="114">
        <f t="shared" si="0"/>
        <v>637975</v>
      </c>
      <c r="G12" s="109">
        <v>4182.7124732055909</v>
      </c>
      <c r="H12" s="109"/>
      <c r="I12" s="109"/>
      <c r="J12" s="109"/>
      <c r="K12" s="109"/>
      <c r="L12" s="109"/>
      <c r="M12" s="109"/>
      <c r="N12" s="109">
        <v>42336</v>
      </c>
      <c r="O12" s="109">
        <v>13500</v>
      </c>
      <c r="P12" s="109"/>
      <c r="Q12" s="109"/>
      <c r="R12" s="118">
        <f t="shared" si="1"/>
        <v>60018.712473205589</v>
      </c>
      <c r="S12" s="233"/>
      <c r="T12" s="118">
        <f t="shared" si="2"/>
        <v>697993.71247320564</v>
      </c>
      <c r="U12" s="116">
        <f t="shared" si="3"/>
        <v>9.4076903441679738E-2</v>
      </c>
      <c r="V12" s="116">
        <f t="shared" si="4"/>
        <v>0.10638286022074861</v>
      </c>
    </row>
    <row r="13" spans="1:22" s="110" customFormat="1" ht="13.5" customHeight="1" x14ac:dyDescent="0.25">
      <c r="A13" s="111" t="s">
        <v>57</v>
      </c>
      <c r="B13" s="172">
        <v>2</v>
      </c>
      <c r="C13" s="112">
        <v>953613</v>
      </c>
      <c r="D13" s="113">
        <v>241</v>
      </c>
      <c r="E13" s="265">
        <v>9193</v>
      </c>
      <c r="F13" s="114">
        <f t="shared" si="0"/>
        <v>963047</v>
      </c>
      <c r="G13" s="109">
        <v>13720.801189398417</v>
      </c>
      <c r="H13" s="109"/>
      <c r="I13" s="109"/>
      <c r="J13" s="109">
        <v>19100</v>
      </c>
      <c r="K13" s="109">
        <v>26060</v>
      </c>
      <c r="L13" s="109"/>
      <c r="M13" s="109"/>
      <c r="N13" s="109"/>
      <c r="O13" s="109"/>
      <c r="P13" s="109"/>
      <c r="Q13" s="109"/>
      <c r="R13" s="118">
        <f t="shared" si="1"/>
        <v>58880.801189398415</v>
      </c>
      <c r="S13" s="233"/>
      <c r="T13" s="118">
        <f t="shared" si="2"/>
        <v>1021927.8011893984</v>
      </c>
      <c r="U13" s="116">
        <f t="shared" si="3"/>
        <v>6.1140111738470004E-2</v>
      </c>
      <c r="V13" s="116">
        <f t="shared" si="4"/>
        <v>7.1637866922324323E-2</v>
      </c>
    </row>
    <row r="14" spans="1:22" s="110" customFormat="1" ht="13.5" customHeight="1" x14ac:dyDescent="0.25">
      <c r="A14" s="111" t="s">
        <v>67</v>
      </c>
      <c r="B14" s="172">
        <v>2</v>
      </c>
      <c r="C14" s="112">
        <v>628002</v>
      </c>
      <c r="D14" s="113">
        <v>120</v>
      </c>
      <c r="E14" s="265">
        <v>7521</v>
      </c>
      <c r="F14" s="114">
        <f t="shared" si="0"/>
        <v>635643</v>
      </c>
      <c r="G14" s="109">
        <v>6787.8263694812022</v>
      </c>
      <c r="H14" s="109"/>
      <c r="I14" s="109"/>
      <c r="J14" s="109">
        <v>11126</v>
      </c>
      <c r="K14" s="109">
        <v>20489</v>
      </c>
      <c r="L14" s="109"/>
      <c r="M14" s="109"/>
      <c r="N14" s="109"/>
      <c r="O14" s="109"/>
      <c r="P14" s="109">
        <f>13122+5500</f>
        <v>18622</v>
      </c>
      <c r="Q14" s="109"/>
      <c r="R14" s="118">
        <f t="shared" si="1"/>
        <v>57024.826369481205</v>
      </c>
      <c r="S14" s="233"/>
      <c r="T14" s="118">
        <f t="shared" si="2"/>
        <v>692667.82636948116</v>
      </c>
      <c r="U14" s="116">
        <f t="shared" si="3"/>
        <v>8.9712033908154742E-2</v>
      </c>
      <c r="V14" s="116">
        <f t="shared" si="4"/>
        <v>0.10297073316562866</v>
      </c>
    </row>
    <row r="15" spans="1:22" s="110" customFormat="1" ht="13.5" customHeight="1" x14ac:dyDescent="0.25">
      <c r="A15" s="111" t="s">
        <v>73</v>
      </c>
      <c r="B15" s="172">
        <v>2</v>
      </c>
      <c r="C15" s="112">
        <v>530898</v>
      </c>
      <c r="D15" s="113">
        <v>157</v>
      </c>
      <c r="E15" s="265">
        <v>5636</v>
      </c>
      <c r="F15" s="114">
        <f t="shared" si="0"/>
        <v>536691</v>
      </c>
      <c r="G15" s="109">
        <v>4786.2435152612261</v>
      </c>
      <c r="H15" s="109"/>
      <c r="I15" s="109"/>
      <c r="J15" s="109">
        <v>10800</v>
      </c>
      <c r="K15" s="109">
        <v>13500</v>
      </c>
      <c r="L15" s="109"/>
      <c r="M15" s="109">
        <v>25000</v>
      </c>
      <c r="N15" s="109"/>
      <c r="O15" s="109"/>
      <c r="P15" s="109">
        <f>60000+25000+25000</f>
        <v>110000</v>
      </c>
      <c r="Q15" s="109"/>
      <c r="R15" s="118">
        <f t="shared" si="1"/>
        <v>164086.24351526122</v>
      </c>
      <c r="S15" s="233"/>
      <c r="T15" s="118">
        <f t="shared" si="2"/>
        <v>700777.24351526122</v>
      </c>
      <c r="U15" s="116">
        <f t="shared" si="3"/>
        <v>0.30573690170929124</v>
      </c>
      <c r="V15" s="116">
        <f t="shared" si="4"/>
        <v>0.31998471178128618</v>
      </c>
    </row>
    <row r="16" spans="1:22" s="110" customFormat="1" ht="13.5" customHeight="1" x14ac:dyDescent="0.25">
      <c r="A16" s="111" t="s">
        <v>133</v>
      </c>
      <c r="B16" s="172">
        <v>2</v>
      </c>
      <c r="C16" s="112">
        <v>598530</v>
      </c>
      <c r="D16" s="113">
        <v>109</v>
      </c>
      <c r="E16" s="265">
        <v>8803</v>
      </c>
      <c r="F16" s="114">
        <f t="shared" si="0"/>
        <v>607442</v>
      </c>
      <c r="G16" s="109">
        <v>4276.8429955265319</v>
      </c>
      <c r="H16" s="109"/>
      <c r="I16" s="109"/>
      <c r="J16" s="109">
        <v>9300</v>
      </c>
      <c r="K16" s="109">
        <v>19800</v>
      </c>
      <c r="L16" s="109"/>
      <c r="M16" s="109"/>
      <c r="N16" s="259">
        <v>138606</v>
      </c>
      <c r="O16" s="109"/>
      <c r="P16" s="109"/>
      <c r="Q16" s="109"/>
      <c r="R16" s="118">
        <f t="shared" si="1"/>
        <v>171982.84299552653</v>
      </c>
      <c r="S16" s="233">
        <v>2</v>
      </c>
      <c r="T16" s="118">
        <f t="shared" si="2"/>
        <v>779424.8429955265</v>
      </c>
      <c r="U16" s="116">
        <f t="shared" si="3"/>
        <v>0.28312636102792776</v>
      </c>
      <c r="V16" s="116">
        <f t="shared" si="4"/>
        <v>0.30223187308159405</v>
      </c>
    </row>
    <row r="17" spans="1:22" s="110" customFormat="1" ht="13.5" customHeight="1" x14ac:dyDescent="0.25">
      <c r="A17" s="111" t="s">
        <v>143</v>
      </c>
      <c r="B17" s="172">
        <v>2</v>
      </c>
      <c r="C17" s="112">
        <v>836178</v>
      </c>
      <c r="D17" s="113">
        <v>216</v>
      </c>
      <c r="E17" s="265">
        <v>9183</v>
      </c>
      <c r="F17" s="114">
        <f t="shared" si="0"/>
        <v>845577</v>
      </c>
      <c r="G17" s="109">
        <v>13879.535706243487</v>
      </c>
      <c r="H17" s="109"/>
      <c r="I17" s="109"/>
      <c r="J17" s="109">
        <v>12413</v>
      </c>
      <c r="K17" s="109">
        <v>43613</v>
      </c>
      <c r="L17" s="109"/>
      <c r="M17" s="109"/>
      <c r="N17" s="109"/>
      <c r="O17" s="109"/>
      <c r="P17" s="109"/>
      <c r="Q17" s="109"/>
      <c r="R17" s="118">
        <f t="shared" si="1"/>
        <v>69905.535706243478</v>
      </c>
      <c r="S17" s="233"/>
      <c r="T17" s="118">
        <f t="shared" si="2"/>
        <v>915482.53570624348</v>
      </c>
      <c r="U17" s="116">
        <f t="shared" si="3"/>
        <v>8.2671992859601806E-2</v>
      </c>
      <c r="V17" s="116">
        <f t="shared" si="4"/>
        <v>9.4841691250240334E-2</v>
      </c>
    </row>
    <row r="18" spans="1:22" s="110" customFormat="1" ht="13.5" customHeight="1" x14ac:dyDescent="0.25">
      <c r="A18" s="111" t="s">
        <v>14</v>
      </c>
      <c r="B18" s="172">
        <v>3</v>
      </c>
      <c r="C18" s="112">
        <v>913622</v>
      </c>
      <c r="D18" s="113">
        <v>313</v>
      </c>
      <c r="E18" s="265">
        <v>13973</v>
      </c>
      <c r="F18" s="114">
        <f t="shared" si="0"/>
        <v>927908</v>
      </c>
      <c r="G18" s="109">
        <v>14568.591655127453</v>
      </c>
      <c r="H18" s="109"/>
      <c r="I18" s="109"/>
      <c r="J18" s="109">
        <v>23432</v>
      </c>
      <c r="K18" s="109">
        <v>36564</v>
      </c>
      <c r="L18" s="109"/>
      <c r="M18" s="109"/>
      <c r="N18" s="109"/>
      <c r="O18" s="109"/>
      <c r="P18" s="109"/>
      <c r="Q18" s="109"/>
      <c r="R18" s="118">
        <f t="shared" si="1"/>
        <v>74564.591655127457</v>
      </c>
      <c r="S18" s="233"/>
      <c r="T18" s="118">
        <f t="shared" si="2"/>
        <v>1002472.5916551275</v>
      </c>
      <c r="U18" s="116">
        <f t="shared" si="3"/>
        <v>8.0357741990722653E-2</v>
      </c>
      <c r="V18" s="116">
        <f t="shared" si="4"/>
        <v>9.7250932721768324E-2</v>
      </c>
    </row>
    <row r="19" spans="1:22" s="110" customFormat="1" ht="13.5" customHeight="1" x14ac:dyDescent="0.25">
      <c r="A19" s="111" t="s">
        <v>32</v>
      </c>
      <c r="B19" s="172">
        <v>3</v>
      </c>
      <c r="C19" s="112">
        <v>857813</v>
      </c>
      <c r="D19" s="113">
        <v>277</v>
      </c>
      <c r="E19" s="265">
        <v>11950</v>
      </c>
      <c r="F19" s="114">
        <f t="shared" si="0"/>
        <v>870040</v>
      </c>
      <c r="G19" s="109">
        <v>18679.455841566803</v>
      </c>
      <c r="H19" s="109"/>
      <c r="I19" s="109"/>
      <c r="J19" s="109">
        <v>44694</v>
      </c>
      <c r="K19" s="109">
        <f>21617+17500</f>
        <v>39117</v>
      </c>
      <c r="L19" s="259">
        <v>97002</v>
      </c>
      <c r="M19" s="109"/>
      <c r="N19" s="109"/>
      <c r="O19" s="109"/>
      <c r="P19" s="109"/>
      <c r="Q19" s="109"/>
      <c r="R19" s="118">
        <f t="shared" si="1"/>
        <v>199492.45584156679</v>
      </c>
      <c r="S19" s="233">
        <v>2</v>
      </c>
      <c r="T19" s="118">
        <f t="shared" si="2"/>
        <v>1069532.4558415669</v>
      </c>
      <c r="U19" s="116">
        <f t="shared" si="3"/>
        <v>0.22929113126013401</v>
      </c>
      <c r="V19" s="116">
        <f t="shared" si="4"/>
        <v>0.24681306513373769</v>
      </c>
    </row>
    <row r="20" spans="1:22" s="110" customFormat="1" ht="13.5" customHeight="1" x14ac:dyDescent="0.25">
      <c r="A20" s="111" t="s">
        <v>47</v>
      </c>
      <c r="B20" s="172">
        <v>3</v>
      </c>
      <c r="C20" s="112">
        <v>1419926</v>
      </c>
      <c r="D20" s="113">
        <v>323</v>
      </c>
      <c r="E20" s="265">
        <v>15987</v>
      </c>
      <c r="F20" s="114">
        <f t="shared" si="0"/>
        <v>1436236</v>
      </c>
      <c r="G20" s="109">
        <v>15401.712429066214</v>
      </c>
      <c r="H20" s="109"/>
      <c r="I20" s="109"/>
      <c r="J20" s="109">
        <v>23917</v>
      </c>
      <c r="K20" s="109">
        <f>42087+5368</f>
        <v>47455</v>
      </c>
      <c r="L20" s="109"/>
      <c r="M20" s="109"/>
      <c r="N20" s="259">
        <v>22844</v>
      </c>
      <c r="O20" s="109"/>
      <c r="P20" s="109"/>
      <c r="Q20" s="109"/>
      <c r="R20" s="118">
        <f t="shared" si="1"/>
        <v>109617.71242906622</v>
      </c>
      <c r="S20" s="233">
        <v>0.3</v>
      </c>
      <c r="T20" s="118">
        <f t="shared" si="2"/>
        <v>1545853.7124290662</v>
      </c>
      <c r="U20" s="116">
        <f t="shared" si="3"/>
        <v>7.6322911018151807E-2</v>
      </c>
      <c r="V20" s="116">
        <f t="shared" si="4"/>
        <v>8.8686109296587379E-2</v>
      </c>
    </row>
    <row r="21" spans="1:22" s="110" customFormat="1" ht="13.5" customHeight="1" x14ac:dyDescent="0.25">
      <c r="A21" s="111" t="s">
        <v>59</v>
      </c>
      <c r="B21" s="172">
        <v>3</v>
      </c>
      <c r="C21" s="112">
        <v>1346679</v>
      </c>
      <c r="D21" s="113">
        <v>398</v>
      </c>
      <c r="E21" s="265">
        <v>12727</v>
      </c>
      <c r="F21" s="114">
        <f t="shared" si="0"/>
        <v>1359804</v>
      </c>
      <c r="G21" s="109">
        <v>16896.24312161998</v>
      </c>
      <c r="H21" s="109"/>
      <c r="I21" s="109"/>
      <c r="J21" s="109">
        <v>30656</v>
      </c>
      <c r="K21" s="109">
        <v>26324</v>
      </c>
      <c r="L21" s="259">
        <v>50582</v>
      </c>
      <c r="M21" s="259">
        <v>50582</v>
      </c>
      <c r="N21" s="109"/>
      <c r="O21" s="109"/>
      <c r="P21" s="109"/>
      <c r="Q21" s="109"/>
      <c r="R21" s="118">
        <f t="shared" si="1"/>
        <v>175040.24312161998</v>
      </c>
      <c r="S21" s="233">
        <f>1+1</f>
        <v>2</v>
      </c>
      <c r="T21" s="118">
        <f t="shared" si="2"/>
        <v>1534844.24312162</v>
      </c>
      <c r="U21" s="116">
        <f t="shared" si="3"/>
        <v>0.12872461260712575</v>
      </c>
      <c r="V21" s="116">
        <f t="shared" si="4"/>
        <v>0.13972538602118245</v>
      </c>
    </row>
    <row r="22" spans="1:22" s="110" customFormat="1" ht="13.5" customHeight="1" x14ac:dyDescent="0.25">
      <c r="A22" s="111" t="s">
        <v>71</v>
      </c>
      <c r="B22" s="172">
        <v>3</v>
      </c>
      <c r="C22" s="112">
        <v>1173541</v>
      </c>
      <c r="D22" s="113">
        <v>377</v>
      </c>
      <c r="E22" s="265">
        <v>14580</v>
      </c>
      <c r="F22" s="114">
        <f t="shared" si="0"/>
        <v>1188498</v>
      </c>
      <c r="G22" s="109">
        <v>9508.4565424674856</v>
      </c>
      <c r="H22" s="109"/>
      <c r="I22" s="109"/>
      <c r="J22" s="109">
        <v>11644</v>
      </c>
      <c r="K22" s="109">
        <v>46174</v>
      </c>
      <c r="L22" s="109"/>
      <c r="M22" s="109"/>
      <c r="N22" s="109"/>
      <c r="O22" s="109"/>
      <c r="P22" s="109"/>
      <c r="Q22" s="109"/>
      <c r="R22" s="118">
        <f t="shared" si="1"/>
        <v>67326.456542467495</v>
      </c>
      <c r="S22" s="233"/>
      <c r="T22" s="118">
        <f t="shared" si="2"/>
        <v>1255824.4565424675</v>
      </c>
      <c r="U22" s="116">
        <f t="shared" si="3"/>
        <v>5.6648354934099476E-2</v>
      </c>
      <c r="V22" s="116">
        <f t="shared" si="4"/>
        <v>7.0115536263724465E-2</v>
      </c>
    </row>
    <row r="23" spans="1:22" s="110" customFormat="1" ht="13.5" customHeight="1" x14ac:dyDescent="0.25">
      <c r="A23" s="111" t="s">
        <v>83</v>
      </c>
      <c r="B23" s="172">
        <v>3</v>
      </c>
      <c r="C23" s="112">
        <v>1199087</v>
      </c>
      <c r="D23" s="113">
        <v>365</v>
      </c>
      <c r="E23" s="265">
        <v>17921</v>
      </c>
      <c r="F23" s="114">
        <f t="shared" si="0"/>
        <v>1217373</v>
      </c>
      <c r="G23" s="109">
        <v>23209.486850955142</v>
      </c>
      <c r="H23" s="109"/>
      <c r="I23" s="109"/>
      <c r="J23" s="109">
        <v>11858</v>
      </c>
      <c r="K23" s="109">
        <v>23034</v>
      </c>
      <c r="L23" s="259">
        <v>99618</v>
      </c>
      <c r="M23" s="109"/>
      <c r="N23" s="109">
        <v>59154</v>
      </c>
      <c r="O23" s="109"/>
      <c r="P23" s="109"/>
      <c r="Q23" s="109"/>
      <c r="R23" s="118">
        <f t="shared" si="1"/>
        <v>216873.48685095515</v>
      </c>
      <c r="S23" s="233">
        <v>2</v>
      </c>
      <c r="T23" s="118">
        <f t="shared" si="2"/>
        <v>1434246.4868509551</v>
      </c>
      <c r="U23" s="116">
        <f t="shared" si="3"/>
        <v>0.17814875707852496</v>
      </c>
      <c r="V23" s="116">
        <f t="shared" si="4"/>
        <v>0.1961154502141671</v>
      </c>
    </row>
    <row r="24" spans="1:22" s="110" customFormat="1" ht="13.5" customHeight="1" x14ac:dyDescent="0.25">
      <c r="A24" s="111" t="s">
        <v>87</v>
      </c>
      <c r="B24" s="172">
        <v>3</v>
      </c>
      <c r="C24" s="112">
        <v>596369</v>
      </c>
      <c r="D24" s="113">
        <v>187</v>
      </c>
      <c r="E24" s="265">
        <v>10841</v>
      </c>
      <c r="F24" s="114">
        <f t="shared" si="0"/>
        <v>607397</v>
      </c>
      <c r="G24" s="109">
        <v>5670.8953546822095</v>
      </c>
      <c r="H24" s="109"/>
      <c r="I24" s="109"/>
      <c r="J24" s="109">
        <v>24000</v>
      </c>
      <c r="K24" s="109"/>
      <c r="L24" s="259">
        <v>14190</v>
      </c>
      <c r="M24" s="109"/>
      <c r="N24" s="109"/>
      <c r="O24" s="109"/>
      <c r="P24" s="109"/>
      <c r="Q24" s="109"/>
      <c r="R24" s="118">
        <f t="shared" si="1"/>
        <v>43860.895354682209</v>
      </c>
      <c r="S24" s="233">
        <v>0.38</v>
      </c>
      <c r="T24" s="118">
        <f t="shared" si="2"/>
        <v>651257.89535468223</v>
      </c>
      <c r="U24" s="116">
        <f t="shared" si="3"/>
        <v>7.2211247922993049E-2</v>
      </c>
      <c r="V24" s="116">
        <f t="shared" si="4"/>
        <v>9.2038478449889549E-2</v>
      </c>
    </row>
    <row r="25" spans="1:22" s="110" customFormat="1" ht="13.5" customHeight="1" x14ac:dyDescent="0.25">
      <c r="A25" s="111" t="s">
        <v>103</v>
      </c>
      <c r="B25" s="172">
        <v>3</v>
      </c>
      <c r="C25" s="112">
        <v>1346684</v>
      </c>
      <c r="D25" s="113">
        <v>613</v>
      </c>
      <c r="E25" s="265">
        <v>15546</v>
      </c>
      <c r="F25" s="114">
        <f t="shared" si="0"/>
        <v>1362843</v>
      </c>
      <c r="G25" s="109">
        <v>33985.0817894067</v>
      </c>
      <c r="H25" s="109"/>
      <c r="I25" s="109"/>
      <c r="J25" s="109">
        <v>26070</v>
      </c>
      <c r="K25" s="109">
        <v>49557</v>
      </c>
      <c r="L25" s="259">
        <v>71850</v>
      </c>
      <c r="M25" s="259">
        <v>143700</v>
      </c>
      <c r="N25" s="109">
        <v>130000</v>
      </c>
      <c r="O25" s="109"/>
      <c r="P25" s="109"/>
      <c r="Q25" s="109"/>
      <c r="R25" s="118">
        <f t="shared" si="1"/>
        <v>455162.08178940671</v>
      </c>
      <c r="S25" s="233">
        <f>2+1</f>
        <v>3</v>
      </c>
      <c r="T25" s="118">
        <f t="shared" si="2"/>
        <v>1818005.0817894067</v>
      </c>
      <c r="U25" s="116">
        <f t="shared" si="3"/>
        <v>0.33397983611421611</v>
      </c>
      <c r="V25" s="116">
        <f t="shared" si="4"/>
        <v>0.34998639754345251</v>
      </c>
    </row>
    <row r="26" spans="1:22" s="110" customFormat="1" ht="13.5" customHeight="1" x14ac:dyDescent="0.25">
      <c r="A26" s="111" t="s">
        <v>131</v>
      </c>
      <c r="B26" s="172">
        <v>3</v>
      </c>
      <c r="C26" s="112">
        <v>1247899</v>
      </c>
      <c r="D26" s="113">
        <v>450</v>
      </c>
      <c r="E26" s="265">
        <v>13880</v>
      </c>
      <c r="F26" s="114">
        <f t="shared" si="0"/>
        <v>1262229</v>
      </c>
      <c r="G26" s="109">
        <v>11480.235171021373</v>
      </c>
      <c r="H26" s="109"/>
      <c r="I26" s="109"/>
      <c r="J26" s="109">
        <v>12133</v>
      </c>
      <c r="K26" s="109">
        <v>63939</v>
      </c>
      <c r="L26" s="109"/>
      <c r="M26" s="109"/>
      <c r="N26" s="109">
        <v>80327</v>
      </c>
      <c r="O26" s="109"/>
      <c r="P26" s="109"/>
      <c r="Q26" s="109"/>
      <c r="R26" s="118">
        <f t="shared" si="1"/>
        <v>167879.23517102137</v>
      </c>
      <c r="S26" s="233"/>
      <c r="T26" s="118">
        <f t="shared" si="2"/>
        <v>1430108.2351710214</v>
      </c>
      <c r="U26" s="116">
        <f t="shared" si="3"/>
        <v>0.13300220100395532</v>
      </c>
      <c r="V26" s="116">
        <f t="shared" si="4"/>
        <v>0.14601280646191839</v>
      </c>
    </row>
    <row r="27" spans="1:22" s="110" customFormat="1" x14ac:dyDescent="0.25">
      <c r="A27" s="111" t="s">
        <v>139</v>
      </c>
      <c r="B27" s="172">
        <v>3</v>
      </c>
      <c r="C27" s="112">
        <v>735015</v>
      </c>
      <c r="D27" s="113">
        <v>222</v>
      </c>
      <c r="E27" s="265">
        <v>10547</v>
      </c>
      <c r="F27" s="114">
        <f t="shared" si="0"/>
        <v>745784</v>
      </c>
      <c r="G27" s="109">
        <v>12753.162963888944</v>
      </c>
      <c r="H27" s="109"/>
      <c r="I27" s="109"/>
      <c r="J27" s="109">
        <v>11177</v>
      </c>
      <c r="K27" s="109">
        <f>42724+4971</f>
        <v>47695</v>
      </c>
      <c r="L27" s="109"/>
      <c r="M27" s="259">
        <v>71740</v>
      </c>
      <c r="N27" s="109">
        <v>141994</v>
      </c>
      <c r="O27" s="109"/>
      <c r="P27" s="109"/>
      <c r="Q27" s="109"/>
      <c r="R27" s="118">
        <f t="shared" si="1"/>
        <v>285359.16296388896</v>
      </c>
      <c r="S27" s="233">
        <v>1</v>
      </c>
      <c r="T27" s="118">
        <f t="shared" si="2"/>
        <v>1031143.162963889</v>
      </c>
      <c r="U27" s="116">
        <f t="shared" si="3"/>
        <v>0.3826297734516817</v>
      </c>
      <c r="V27" s="116">
        <f t="shared" si="4"/>
        <v>0.40288723762629197</v>
      </c>
    </row>
    <row r="28" spans="1:22" s="110" customFormat="1" ht="13.5" customHeight="1" x14ac:dyDescent="0.25">
      <c r="A28" s="111" t="s">
        <v>24</v>
      </c>
      <c r="B28" s="172">
        <v>4</v>
      </c>
      <c r="C28" s="112">
        <v>3208689</v>
      </c>
      <c r="D28" s="113">
        <v>1733</v>
      </c>
      <c r="E28" s="265">
        <v>46289</v>
      </c>
      <c r="F28" s="114">
        <f t="shared" si="0"/>
        <v>3256711</v>
      </c>
      <c r="G28" s="109">
        <v>34033.546104506437</v>
      </c>
      <c r="H28" s="109"/>
      <c r="I28" s="109"/>
      <c r="J28" s="109">
        <v>104927</v>
      </c>
      <c r="K28" s="109">
        <f>414247</f>
        <v>414247</v>
      </c>
      <c r="L28" s="109"/>
      <c r="M28" s="109"/>
      <c r="N28" s="109">
        <f>1432301+200416</f>
        <v>1632717</v>
      </c>
      <c r="O28" s="109"/>
      <c r="P28" s="109"/>
      <c r="Q28" s="109"/>
      <c r="R28" s="118">
        <f t="shared" si="1"/>
        <v>2185924.5461045066</v>
      </c>
      <c r="S28" s="233"/>
      <c r="T28" s="118">
        <f t="shared" si="2"/>
        <v>5442635.5461045066</v>
      </c>
      <c r="U28" s="116">
        <f t="shared" si="3"/>
        <v>0.67120617890396361</v>
      </c>
      <c r="V28" s="116">
        <f t="shared" si="4"/>
        <v>0.69621784663596453</v>
      </c>
    </row>
    <row r="29" spans="1:22" s="110" customFormat="1" ht="13.5" customHeight="1" x14ac:dyDescent="0.25">
      <c r="A29" s="111" t="s">
        <v>30</v>
      </c>
      <c r="B29" s="172">
        <v>4</v>
      </c>
      <c r="C29" s="112">
        <v>1634421</v>
      </c>
      <c r="D29" s="113">
        <v>535</v>
      </c>
      <c r="E29" s="265">
        <v>29435</v>
      </c>
      <c r="F29" s="114">
        <f t="shared" si="0"/>
        <v>1664391</v>
      </c>
      <c r="G29" s="109">
        <v>13623.489215401149</v>
      </c>
      <c r="H29" s="259">
        <v>232896.65712831856</v>
      </c>
      <c r="I29" s="109"/>
      <c r="J29" s="109"/>
      <c r="K29" s="109"/>
      <c r="L29" s="109"/>
      <c r="M29" s="109"/>
      <c r="N29" s="109"/>
      <c r="O29" s="109"/>
      <c r="P29" s="109"/>
      <c r="Q29" s="109"/>
      <c r="R29" s="118">
        <f t="shared" si="1"/>
        <v>246520.14634371971</v>
      </c>
      <c r="S29" s="233">
        <v>3.19</v>
      </c>
      <c r="T29" s="118">
        <f t="shared" si="2"/>
        <v>1910911.1463437197</v>
      </c>
      <c r="U29" s="116">
        <f t="shared" si="3"/>
        <v>0.14811432310299666</v>
      </c>
      <c r="V29" s="116">
        <f t="shared" si="4"/>
        <v>0.16916703000250233</v>
      </c>
    </row>
    <row r="30" spans="1:22" s="110" customFormat="1" ht="13.5" customHeight="1" x14ac:dyDescent="0.25">
      <c r="A30" s="111" t="s">
        <v>43</v>
      </c>
      <c r="B30" s="172">
        <v>4</v>
      </c>
      <c r="C30" s="112">
        <v>1946668</v>
      </c>
      <c r="D30" s="113">
        <v>777</v>
      </c>
      <c r="E30" s="265">
        <v>32282</v>
      </c>
      <c r="F30" s="114">
        <f t="shared" si="0"/>
        <v>1979727</v>
      </c>
      <c r="G30" s="109">
        <v>30357.131179191834</v>
      </c>
      <c r="H30" s="109"/>
      <c r="I30" s="109"/>
      <c r="J30" s="109">
        <v>53300</v>
      </c>
      <c r="K30" s="109">
        <f>119150+68700</f>
        <v>187850</v>
      </c>
      <c r="L30" s="259">
        <v>230900</v>
      </c>
      <c r="M30" s="109"/>
      <c r="N30" s="109">
        <v>140600</v>
      </c>
      <c r="O30" s="109"/>
      <c r="P30" s="109"/>
      <c r="Q30" s="109"/>
      <c r="R30" s="118">
        <f t="shared" si="1"/>
        <v>643007.13117919187</v>
      </c>
      <c r="S30" s="233">
        <v>3</v>
      </c>
      <c r="T30" s="118">
        <f t="shared" si="2"/>
        <v>2622734.1311791921</v>
      </c>
      <c r="U30" s="116">
        <f t="shared" si="3"/>
        <v>0.32479585881244843</v>
      </c>
      <c r="V30" s="116">
        <f t="shared" si="4"/>
        <v>0.34729400759615503</v>
      </c>
    </row>
    <row r="31" spans="1:22" s="110" customFormat="1" ht="13.5" customHeight="1" x14ac:dyDescent="0.25">
      <c r="A31" s="111" t="s">
        <v>63</v>
      </c>
      <c r="B31" s="172">
        <v>4</v>
      </c>
      <c r="C31" s="112">
        <v>2098910</v>
      </c>
      <c r="D31" s="113">
        <v>721</v>
      </c>
      <c r="E31" s="265">
        <v>27846</v>
      </c>
      <c r="F31" s="114">
        <f t="shared" si="0"/>
        <v>2127477</v>
      </c>
      <c r="G31" s="109">
        <v>32833.034067964079</v>
      </c>
      <c r="H31" s="109"/>
      <c r="I31" s="109"/>
      <c r="J31" s="109"/>
      <c r="K31" s="109">
        <v>61168</v>
      </c>
      <c r="L31" s="259">
        <f>55437+55437+55437+55437</f>
        <v>221748</v>
      </c>
      <c r="M31" s="259">
        <v>131303</v>
      </c>
      <c r="N31" s="109"/>
      <c r="O31" s="109"/>
      <c r="P31" s="109"/>
      <c r="Q31" s="109"/>
      <c r="R31" s="118">
        <f t="shared" si="1"/>
        <v>447052.03406796406</v>
      </c>
      <c r="S31" s="233">
        <f>2+1+1+1+1</f>
        <v>6</v>
      </c>
      <c r="T31" s="118">
        <f t="shared" si="2"/>
        <v>2574529.0340679642</v>
      </c>
      <c r="U31" s="116">
        <f t="shared" si="3"/>
        <v>0.2101324874806938</v>
      </c>
      <c r="V31" s="116">
        <f t="shared" si="4"/>
        <v>0.22660287199925877</v>
      </c>
    </row>
    <row r="32" spans="1:22" s="110" customFormat="1" ht="13.5" customHeight="1" x14ac:dyDescent="0.25">
      <c r="A32" s="111" t="s">
        <v>69</v>
      </c>
      <c r="B32" s="172">
        <v>4</v>
      </c>
      <c r="C32" s="112">
        <v>3153394</v>
      </c>
      <c r="D32" s="113">
        <v>1175</v>
      </c>
      <c r="E32" s="265">
        <v>39643</v>
      </c>
      <c r="F32" s="114">
        <f t="shared" si="0"/>
        <v>3194212</v>
      </c>
      <c r="G32" s="109">
        <v>52565.142922956635</v>
      </c>
      <c r="H32" s="109"/>
      <c r="I32" s="109"/>
      <c r="J32" s="109"/>
      <c r="K32" s="109"/>
      <c r="L32" s="259">
        <v>52499</v>
      </c>
      <c r="M32" s="109"/>
      <c r="N32" s="109"/>
      <c r="O32" s="109"/>
      <c r="P32" s="109"/>
      <c r="Q32" s="109"/>
      <c r="R32" s="118">
        <f t="shared" si="1"/>
        <v>105064.14292295664</v>
      </c>
      <c r="S32" s="233">
        <v>1</v>
      </c>
      <c r="T32" s="118">
        <f t="shared" si="2"/>
        <v>3299276.1429229565</v>
      </c>
      <c r="U32" s="116">
        <f t="shared" si="3"/>
        <v>3.2892038137404933E-2</v>
      </c>
      <c r="V32" s="116">
        <f t="shared" si="4"/>
        <v>4.6261945993097076E-2</v>
      </c>
    </row>
    <row r="33" spans="1:22" s="110" customFormat="1" ht="13.5" customHeight="1" x14ac:dyDescent="0.25">
      <c r="A33" s="111" t="s">
        <v>93</v>
      </c>
      <c r="B33" s="172">
        <v>4</v>
      </c>
      <c r="C33" s="112">
        <v>3707306</v>
      </c>
      <c r="D33" s="113">
        <v>1074</v>
      </c>
      <c r="E33" s="265">
        <v>46903</v>
      </c>
      <c r="F33" s="114">
        <f t="shared" si="0"/>
        <v>3755283</v>
      </c>
      <c r="G33" s="109">
        <v>63325.488626238555</v>
      </c>
      <c r="H33" s="109"/>
      <c r="I33" s="109"/>
      <c r="J33" s="109">
        <v>24328</v>
      </c>
      <c r="K33" s="109">
        <v>229660</v>
      </c>
      <c r="L33" s="109"/>
      <c r="M33" s="109"/>
      <c r="N33" s="109"/>
      <c r="O33" s="109"/>
      <c r="P33" s="109"/>
      <c r="Q33" s="109"/>
      <c r="R33" s="118">
        <f t="shared" si="1"/>
        <v>317313.48862623854</v>
      </c>
      <c r="S33" s="233"/>
      <c r="T33" s="118">
        <f t="shared" si="2"/>
        <v>4072596.4886262384</v>
      </c>
      <c r="U33" s="116">
        <f t="shared" si="3"/>
        <v>8.4497889673358362E-2</v>
      </c>
      <c r="V33" s="116">
        <f t="shared" si="4"/>
        <v>9.853259715443996E-2</v>
      </c>
    </row>
    <row r="34" spans="1:22" s="110" customFormat="1" ht="13.5" customHeight="1" x14ac:dyDescent="0.25">
      <c r="A34" s="111" t="s">
        <v>99</v>
      </c>
      <c r="B34" s="172">
        <v>4</v>
      </c>
      <c r="C34" s="112">
        <v>1663309</v>
      </c>
      <c r="D34" s="113">
        <v>666</v>
      </c>
      <c r="E34" s="265">
        <v>24318</v>
      </c>
      <c r="F34" s="114">
        <f t="shared" ref="F34:F65" si="5">C34+D34+E34</f>
        <v>1688293</v>
      </c>
      <c r="G34" s="109">
        <v>26698.371197762273</v>
      </c>
      <c r="H34" s="109"/>
      <c r="I34" s="109"/>
      <c r="J34" s="109">
        <v>3413</v>
      </c>
      <c r="K34" s="109">
        <v>83755</v>
      </c>
      <c r="L34" s="259">
        <v>138331</v>
      </c>
      <c r="M34" s="109"/>
      <c r="N34" s="109"/>
      <c r="O34" s="109"/>
      <c r="P34" s="109"/>
      <c r="Q34" s="109"/>
      <c r="R34" s="118">
        <f t="shared" ref="R34:R65" si="6">SUM(G34:Q34)</f>
        <v>252197.37119776226</v>
      </c>
      <c r="S34" s="233">
        <v>3</v>
      </c>
      <c r="T34" s="118">
        <f t="shared" ref="T34:T68" si="7">F34+R34</f>
        <v>1940490.3711977622</v>
      </c>
      <c r="U34" s="116">
        <f t="shared" ref="U34:U65" si="8">T34/F34-1</f>
        <v>0.14938009646297301</v>
      </c>
      <c r="V34" s="116">
        <f t="shared" ref="V34:V68" si="9">T34/C34-1</f>
        <v>0.16664454481864888</v>
      </c>
    </row>
    <row r="35" spans="1:22" s="110" customFormat="1" ht="13.5" customHeight="1" x14ac:dyDescent="0.25">
      <c r="A35" s="111" t="s">
        <v>117</v>
      </c>
      <c r="B35" s="172">
        <v>4</v>
      </c>
      <c r="C35" s="112">
        <v>2282612</v>
      </c>
      <c r="D35" s="113">
        <v>702</v>
      </c>
      <c r="E35" s="265">
        <v>27030</v>
      </c>
      <c r="F35" s="114">
        <f t="shared" si="5"/>
        <v>2310344</v>
      </c>
      <c r="G35" s="109">
        <v>34599.509454376515</v>
      </c>
      <c r="H35" s="109"/>
      <c r="I35" s="109"/>
      <c r="J35" s="109">
        <v>34705</v>
      </c>
      <c r="K35" s="109">
        <v>94127</v>
      </c>
      <c r="L35" s="109"/>
      <c r="M35" s="109"/>
      <c r="N35" s="109"/>
      <c r="O35" s="109"/>
      <c r="P35" s="109"/>
      <c r="Q35" s="109"/>
      <c r="R35" s="118">
        <f t="shared" si="6"/>
        <v>163431.50945437653</v>
      </c>
      <c r="S35" s="233"/>
      <c r="T35" s="118">
        <f t="shared" si="7"/>
        <v>2473775.5094543765</v>
      </c>
      <c r="U35" s="116">
        <f t="shared" si="8"/>
        <v>7.0739036894235996E-2</v>
      </c>
      <c r="V35" s="116">
        <f t="shared" si="9"/>
        <v>8.3747701954767884E-2</v>
      </c>
    </row>
    <row r="36" spans="1:22" s="110" customFormat="1" ht="13.5" customHeight="1" x14ac:dyDescent="0.25">
      <c r="A36" s="111" t="s">
        <v>129</v>
      </c>
      <c r="B36" s="172">
        <v>4</v>
      </c>
      <c r="C36" s="112">
        <v>2037216</v>
      </c>
      <c r="D36" s="113">
        <v>907</v>
      </c>
      <c r="E36" s="265">
        <v>32556</v>
      </c>
      <c r="F36" s="114">
        <f t="shared" si="5"/>
        <v>2070679</v>
      </c>
      <c r="G36" s="109">
        <v>40975.214075114178</v>
      </c>
      <c r="H36" s="109"/>
      <c r="I36" s="109"/>
      <c r="J36" s="109">
        <v>56897</v>
      </c>
      <c r="K36" s="109"/>
      <c r="L36" s="109"/>
      <c r="M36" s="109"/>
      <c r="N36" s="109">
        <v>420726</v>
      </c>
      <c r="O36" s="109"/>
      <c r="P36" s="109"/>
      <c r="Q36" s="109"/>
      <c r="R36" s="118">
        <f t="shared" si="6"/>
        <v>518598.21407511417</v>
      </c>
      <c r="S36" s="233"/>
      <c r="T36" s="118">
        <f t="shared" si="7"/>
        <v>2589277.2140751141</v>
      </c>
      <c r="U36" s="116">
        <f t="shared" si="8"/>
        <v>0.25044838629025268</v>
      </c>
      <c r="V36" s="116">
        <f t="shared" si="9"/>
        <v>0.27098806119484342</v>
      </c>
    </row>
    <row r="37" spans="1:22" s="110" customFormat="1" ht="13.5" customHeight="1" x14ac:dyDescent="0.25">
      <c r="A37" s="111" t="s">
        <v>141</v>
      </c>
      <c r="B37" s="172">
        <v>4</v>
      </c>
      <c r="C37" s="112">
        <v>1773887</v>
      </c>
      <c r="D37" s="113">
        <v>630</v>
      </c>
      <c r="E37" s="265">
        <v>31733</v>
      </c>
      <c r="F37" s="114">
        <f t="shared" si="5"/>
        <v>1806250</v>
      </c>
      <c r="G37" s="109">
        <v>20285.467136361363</v>
      </c>
      <c r="H37" s="109"/>
      <c r="I37" s="109"/>
      <c r="J37" s="109">
        <v>35880</v>
      </c>
      <c r="K37" s="109">
        <v>58568</v>
      </c>
      <c r="L37" s="109"/>
      <c r="M37" s="109"/>
      <c r="N37" s="259">
        <v>132672</v>
      </c>
      <c r="O37" s="109"/>
      <c r="P37" s="109">
        <v>5000</v>
      </c>
      <c r="Q37" s="109"/>
      <c r="R37" s="118">
        <f t="shared" si="6"/>
        <v>252405.46713636135</v>
      </c>
      <c r="S37" s="233">
        <f>0.5</f>
        <v>0.5</v>
      </c>
      <c r="T37" s="118">
        <f t="shared" si="7"/>
        <v>2058655.4671363614</v>
      </c>
      <c r="U37" s="116">
        <f t="shared" si="8"/>
        <v>0.13974005100975018</v>
      </c>
      <c r="V37" s="116">
        <f t="shared" si="9"/>
        <v>0.16053360058242805</v>
      </c>
    </row>
    <row r="38" spans="1:22" s="110" customFormat="1" ht="13.5" customHeight="1" x14ac:dyDescent="0.25">
      <c r="A38" s="111" t="s">
        <v>4</v>
      </c>
      <c r="B38" s="172">
        <v>5</v>
      </c>
      <c r="C38" s="112">
        <v>6171388</v>
      </c>
      <c r="D38" s="113">
        <v>1922</v>
      </c>
      <c r="E38" s="265">
        <v>83592</v>
      </c>
      <c r="F38" s="114">
        <f t="shared" si="5"/>
        <v>6256902</v>
      </c>
      <c r="G38" s="109">
        <v>75326.564261826948</v>
      </c>
      <c r="H38" s="109"/>
      <c r="I38" s="109"/>
      <c r="J38" s="109">
        <v>76792</v>
      </c>
      <c r="K38" s="109">
        <f>304796+6152</f>
        <v>310948</v>
      </c>
      <c r="L38" s="109"/>
      <c r="M38" s="109"/>
      <c r="N38" s="109"/>
      <c r="O38" s="109"/>
      <c r="P38" s="109"/>
      <c r="Q38" s="109"/>
      <c r="R38" s="118">
        <f t="shared" si="6"/>
        <v>463066.56426182692</v>
      </c>
      <c r="S38" s="233"/>
      <c r="T38" s="118">
        <f t="shared" si="7"/>
        <v>6719968.5642618267</v>
      </c>
      <c r="U38" s="116">
        <f t="shared" si="8"/>
        <v>7.4008920750529006E-2</v>
      </c>
      <c r="V38" s="116">
        <f t="shared" si="9"/>
        <v>8.8890953584805699E-2</v>
      </c>
    </row>
    <row r="39" spans="1:22" s="110" customFormat="1" ht="13.5" customHeight="1" x14ac:dyDescent="0.25">
      <c r="A39" s="111" t="s">
        <v>12</v>
      </c>
      <c r="B39" s="172">
        <v>5</v>
      </c>
      <c r="C39" s="112">
        <v>4163012</v>
      </c>
      <c r="D39" s="113">
        <v>1155</v>
      </c>
      <c r="E39" s="265">
        <v>87733</v>
      </c>
      <c r="F39" s="114">
        <f t="shared" si="5"/>
        <v>4251900</v>
      </c>
      <c r="G39" s="109">
        <v>62188.557327941126</v>
      </c>
      <c r="H39" s="109"/>
      <c r="I39" s="109"/>
      <c r="J39" s="109">
        <v>65245</v>
      </c>
      <c r="K39" s="109">
        <f>108864+43188+18412+3934</f>
        <v>174398</v>
      </c>
      <c r="L39" s="109"/>
      <c r="M39" s="109"/>
      <c r="N39" s="109"/>
      <c r="O39" s="109"/>
      <c r="P39" s="109"/>
      <c r="Q39" s="109"/>
      <c r="R39" s="118">
        <f t="shared" si="6"/>
        <v>301831.55732794112</v>
      </c>
      <c r="S39" s="233"/>
      <c r="T39" s="118">
        <f t="shared" si="7"/>
        <v>4553731.5573279411</v>
      </c>
      <c r="U39" s="116">
        <f t="shared" si="8"/>
        <v>7.0987454391669758E-2</v>
      </c>
      <c r="V39" s="116">
        <f t="shared" si="9"/>
        <v>9.3855015870226044E-2</v>
      </c>
    </row>
    <row r="40" spans="1:22" s="110" customFormat="1" ht="13.5" customHeight="1" x14ac:dyDescent="0.25">
      <c r="A40" s="111" t="s">
        <v>22</v>
      </c>
      <c r="B40" s="172">
        <v>5</v>
      </c>
      <c r="C40" s="112">
        <v>3774623</v>
      </c>
      <c r="D40" s="113">
        <v>1302</v>
      </c>
      <c r="E40" s="265">
        <v>63306</v>
      </c>
      <c r="F40" s="114">
        <f t="shared" si="5"/>
        <v>3839231</v>
      </c>
      <c r="G40" s="109">
        <v>47410.84408496962</v>
      </c>
      <c r="H40" s="109"/>
      <c r="I40" s="109"/>
      <c r="J40" s="109">
        <v>44200</v>
      </c>
      <c r="K40" s="109">
        <v>208700</v>
      </c>
      <c r="L40" s="109"/>
      <c r="M40" s="109"/>
      <c r="N40" s="109"/>
      <c r="O40" s="109"/>
      <c r="P40" s="109"/>
      <c r="Q40" s="109"/>
      <c r="R40" s="118">
        <f t="shared" si="6"/>
        <v>300310.84408496961</v>
      </c>
      <c r="S40" s="233"/>
      <c r="T40" s="118">
        <f t="shared" si="7"/>
        <v>4139541.8440849697</v>
      </c>
      <c r="U40" s="116">
        <f t="shared" si="8"/>
        <v>7.822161367340752E-2</v>
      </c>
      <c r="V40" s="116">
        <f t="shared" si="9"/>
        <v>9.6676898351164997E-2</v>
      </c>
    </row>
    <row r="41" spans="1:22" s="110" customFormat="1" ht="13.5" customHeight="1" x14ac:dyDescent="0.25">
      <c r="A41" s="111" t="s">
        <v>26</v>
      </c>
      <c r="B41" s="172">
        <v>5</v>
      </c>
      <c r="C41" s="112">
        <v>3921856</v>
      </c>
      <c r="D41" s="113">
        <v>1317</v>
      </c>
      <c r="E41" s="265">
        <v>64122</v>
      </c>
      <c r="F41" s="114">
        <f t="shared" si="5"/>
        <v>3987295</v>
      </c>
      <c r="G41" s="109">
        <v>27091.63363903551</v>
      </c>
      <c r="H41" s="109"/>
      <c r="I41" s="109"/>
      <c r="J41" s="109"/>
      <c r="K41" s="109">
        <f>5432+123335+28045+791000</f>
        <v>947812</v>
      </c>
      <c r="L41" s="259">
        <f>90960+53363+18920</f>
        <v>163243</v>
      </c>
      <c r="M41" s="109"/>
      <c r="N41" s="109">
        <v>691500</v>
      </c>
      <c r="O41" s="259">
        <v>135000</v>
      </c>
      <c r="P41" s="109"/>
      <c r="Q41" s="109"/>
      <c r="R41" s="118">
        <f t="shared" si="6"/>
        <v>1964646.6336390355</v>
      </c>
      <c r="S41" s="233">
        <f>1+1+1.5+0.5</f>
        <v>4</v>
      </c>
      <c r="T41" s="118">
        <f t="shared" si="7"/>
        <v>5951941.6336390357</v>
      </c>
      <c r="U41" s="116">
        <f t="shared" si="8"/>
        <v>0.49272668153197485</v>
      </c>
      <c r="V41" s="116">
        <f t="shared" si="9"/>
        <v>0.51763390436544232</v>
      </c>
    </row>
    <row r="42" spans="1:22" s="110" customFormat="1" ht="13.5" customHeight="1" x14ac:dyDescent="0.25">
      <c r="A42" s="111" t="s">
        <v>28</v>
      </c>
      <c r="B42" s="172">
        <v>5</v>
      </c>
      <c r="C42" s="112">
        <v>6853711</v>
      </c>
      <c r="D42" s="113">
        <v>3115</v>
      </c>
      <c r="E42" s="265">
        <v>104095</v>
      </c>
      <c r="F42" s="114">
        <f t="shared" si="5"/>
        <v>6960921</v>
      </c>
      <c r="G42" s="109">
        <v>70099.408973070007</v>
      </c>
      <c r="H42" s="109"/>
      <c r="I42" s="109"/>
      <c r="J42" s="109">
        <v>85040</v>
      </c>
      <c r="K42" s="109">
        <v>262634</v>
      </c>
      <c r="L42" s="109"/>
      <c r="M42" s="109"/>
      <c r="N42" s="109"/>
      <c r="O42" s="109"/>
      <c r="P42" s="109">
        <v>1120000</v>
      </c>
      <c r="Q42" s="109"/>
      <c r="R42" s="118">
        <f t="shared" si="6"/>
        <v>1537773.4089730699</v>
      </c>
      <c r="S42" s="233"/>
      <c r="T42" s="118">
        <f t="shared" si="7"/>
        <v>8498694.4089730699</v>
      </c>
      <c r="U42" s="116">
        <f t="shared" si="8"/>
        <v>0.22091522213412129</v>
      </c>
      <c r="V42" s="116">
        <f t="shared" si="9"/>
        <v>0.24001353558284988</v>
      </c>
    </row>
    <row r="43" spans="1:22" s="110" customFormat="1" ht="13.5" customHeight="1" x14ac:dyDescent="0.25">
      <c r="A43" s="111" t="s">
        <v>61</v>
      </c>
      <c r="B43" s="172">
        <v>5</v>
      </c>
      <c r="C43" s="112">
        <v>3649303</v>
      </c>
      <c r="D43" s="113">
        <v>1352</v>
      </c>
      <c r="E43" s="265">
        <v>58014</v>
      </c>
      <c r="F43" s="114">
        <f t="shared" si="5"/>
        <v>3708669</v>
      </c>
      <c r="G43" s="109">
        <v>49223.362985490887</v>
      </c>
      <c r="H43" s="109"/>
      <c r="I43" s="109"/>
      <c r="J43" s="109">
        <v>139009</v>
      </c>
      <c r="K43" s="109">
        <f>76377+108479</f>
        <v>184856</v>
      </c>
      <c r="L43" s="109"/>
      <c r="M43" s="109"/>
      <c r="N43" s="109"/>
      <c r="O43" s="109"/>
      <c r="P43" s="109">
        <v>150000</v>
      </c>
      <c r="Q43" s="109"/>
      <c r="R43" s="118">
        <f t="shared" si="6"/>
        <v>523088.36298549088</v>
      </c>
      <c r="S43" s="233"/>
      <c r="T43" s="118">
        <f t="shared" si="7"/>
        <v>4231757.3629854908</v>
      </c>
      <c r="U43" s="116">
        <f t="shared" si="8"/>
        <v>0.14104476915720721</v>
      </c>
      <c r="V43" s="116">
        <f t="shared" si="9"/>
        <v>0.15960701618514306</v>
      </c>
    </row>
    <row r="44" spans="1:22" s="110" customFormat="1" ht="13.5" customHeight="1" x14ac:dyDescent="0.25">
      <c r="A44" s="111" t="s">
        <v>77</v>
      </c>
      <c r="B44" s="172">
        <v>5</v>
      </c>
      <c r="C44" s="112">
        <v>6602454</v>
      </c>
      <c r="D44" s="113">
        <v>2367</v>
      </c>
      <c r="E44" s="265">
        <v>104156</v>
      </c>
      <c r="F44" s="114">
        <f t="shared" si="5"/>
        <v>6708977</v>
      </c>
      <c r="G44" s="109">
        <v>82902.799029837581</v>
      </c>
      <c r="H44" s="109"/>
      <c r="I44" s="109">
        <v>26399</v>
      </c>
      <c r="J44" s="109">
        <v>220971</v>
      </c>
      <c r="K44" s="109">
        <v>639542</v>
      </c>
      <c r="L44" s="109"/>
      <c r="M44" s="259">
        <v>110428</v>
      </c>
      <c r="N44" s="259">
        <v>541924</v>
      </c>
      <c r="O44" s="109"/>
      <c r="P44" s="109"/>
      <c r="Q44" s="109"/>
      <c r="R44" s="118">
        <f t="shared" si="6"/>
        <v>1622166.7990298376</v>
      </c>
      <c r="S44" s="233">
        <f>7+2</f>
        <v>9</v>
      </c>
      <c r="T44" s="118">
        <f t="shared" si="7"/>
        <v>8331143.7990298374</v>
      </c>
      <c r="U44" s="116">
        <f t="shared" si="8"/>
        <v>0.24179048445535556</v>
      </c>
      <c r="V44" s="116">
        <f t="shared" si="9"/>
        <v>0.26182534539882263</v>
      </c>
    </row>
    <row r="45" spans="1:22" s="110" customFormat="1" ht="13.5" customHeight="1" x14ac:dyDescent="0.25">
      <c r="A45" s="111" t="s">
        <v>81</v>
      </c>
      <c r="B45" s="172">
        <v>5</v>
      </c>
      <c r="C45" s="112">
        <v>6281452</v>
      </c>
      <c r="D45" s="113">
        <v>2095</v>
      </c>
      <c r="E45" s="265">
        <v>92707</v>
      </c>
      <c r="F45" s="114">
        <f t="shared" si="5"/>
        <v>6376254</v>
      </c>
      <c r="G45" s="109">
        <v>92650.172330449917</v>
      </c>
      <c r="H45" s="109"/>
      <c r="I45" s="109">
        <v>130</v>
      </c>
      <c r="J45" s="109">
        <v>121067</v>
      </c>
      <c r="K45" s="109">
        <v>247927</v>
      </c>
      <c r="L45" s="109"/>
      <c r="M45" s="109"/>
      <c r="N45" s="109"/>
      <c r="O45" s="109">
        <f>29940+50000</f>
        <v>79940</v>
      </c>
      <c r="P45" s="109"/>
      <c r="Q45" s="109"/>
      <c r="R45" s="118">
        <f t="shared" si="6"/>
        <v>541714.17233044992</v>
      </c>
      <c r="S45" s="233"/>
      <c r="T45" s="118">
        <f t="shared" si="7"/>
        <v>6917968.1723304503</v>
      </c>
      <c r="U45" s="116">
        <f t="shared" si="8"/>
        <v>8.4958060380036615E-2</v>
      </c>
      <c r="V45" s="116">
        <f t="shared" si="9"/>
        <v>0.10133264925537122</v>
      </c>
    </row>
    <row r="46" spans="1:22" s="110" customFormat="1" ht="13.5" customHeight="1" x14ac:dyDescent="0.25">
      <c r="A46" s="111" t="s">
        <v>91</v>
      </c>
      <c r="B46" s="172">
        <v>5</v>
      </c>
      <c r="C46" s="112">
        <v>6978601</v>
      </c>
      <c r="D46" s="113">
        <v>2651</v>
      </c>
      <c r="E46" s="265">
        <v>108014</v>
      </c>
      <c r="F46" s="114">
        <f t="shared" si="5"/>
        <v>7089266</v>
      </c>
      <c r="G46" s="109">
        <v>78810.259884315674</v>
      </c>
      <c r="H46" s="109"/>
      <c r="I46" s="109"/>
      <c r="J46" s="109"/>
      <c r="K46" s="109">
        <f>542971+198088</f>
        <v>741059</v>
      </c>
      <c r="L46" s="259">
        <v>58363</v>
      </c>
      <c r="M46" s="109"/>
      <c r="N46" s="109"/>
      <c r="O46" s="109"/>
      <c r="P46" s="109"/>
      <c r="Q46" s="109"/>
      <c r="R46" s="118">
        <f t="shared" si="6"/>
        <v>878232.25988431566</v>
      </c>
      <c r="S46" s="233">
        <v>0.75</v>
      </c>
      <c r="T46" s="118">
        <f t="shared" si="7"/>
        <v>7967498.2598843155</v>
      </c>
      <c r="U46" s="116">
        <f t="shared" si="8"/>
        <v>0.12388197309627191</v>
      </c>
      <c r="V46" s="116">
        <f t="shared" si="9"/>
        <v>0.14170422694811124</v>
      </c>
    </row>
    <row r="47" spans="1:22" s="110" customFormat="1" ht="13.5" customHeight="1" x14ac:dyDescent="0.25">
      <c r="A47" s="111" t="s">
        <v>97</v>
      </c>
      <c r="B47" s="172">
        <v>5</v>
      </c>
      <c r="C47" s="112">
        <v>3742987</v>
      </c>
      <c r="D47" s="113">
        <v>1862</v>
      </c>
      <c r="E47" s="265">
        <v>54722</v>
      </c>
      <c r="F47" s="114">
        <f t="shared" si="5"/>
        <v>3799571</v>
      </c>
      <c r="G47" s="109">
        <v>84477.602517344159</v>
      </c>
      <c r="H47" s="109"/>
      <c r="I47" s="109"/>
      <c r="J47" s="109"/>
      <c r="K47" s="109">
        <v>235000</v>
      </c>
      <c r="L47" s="109">
        <v>76000</v>
      </c>
      <c r="M47" s="109"/>
      <c r="N47" s="109"/>
      <c r="O47" s="109"/>
      <c r="P47" s="109"/>
      <c r="Q47" s="109"/>
      <c r="R47" s="118">
        <f t="shared" si="6"/>
        <v>395477.60251734417</v>
      </c>
      <c r="S47" s="233"/>
      <c r="T47" s="118">
        <f t="shared" si="7"/>
        <v>4195048.6025173441</v>
      </c>
      <c r="U47" s="116">
        <f t="shared" si="8"/>
        <v>0.10408480392058572</v>
      </c>
      <c r="V47" s="116">
        <f t="shared" si="9"/>
        <v>0.12077562719756818</v>
      </c>
    </row>
    <row r="48" spans="1:22" s="110" customFormat="1" ht="13.5" customHeight="1" x14ac:dyDescent="0.25">
      <c r="A48" s="111" t="s">
        <v>101</v>
      </c>
      <c r="B48" s="172">
        <v>5</v>
      </c>
      <c r="C48" s="112">
        <v>3905634</v>
      </c>
      <c r="D48" s="113">
        <v>1288</v>
      </c>
      <c r="E48" s="265">
        <v>69498</v>
      </c>
      <c r="F48" s="114">
        <f t="shared" si="5"/>
        <v>3976420</v>
      </c>
      <c r="G48" s="109">
        <v>41830.692545985155</v>
      </c>
      <c r="H48" s="109"/>
      <c r="I48" s="109">
        <v>38159</v>
      </c>
      <c r="J48" s="109"/>
      <c r="K48" s="109">
        <v>199790</v>
      </c>
      <c r="L48" s="109"/>
      <c r="M48" s="109"/>
      <c r="N48" s="109"/>
      <c r="O48" s="109"/>
      <c r="P48" s="109"/>
      <c r="Q48" s="109"/>
      <c r="R48" s="118">
        <f t="shared" si="6"/>
        <v>279779.69254598516</v>
      </c>
      <c r="S48" s="233"/>
      <c r="T48" s="118">
        <f t="shared" si="7"/>
        <v>4256199.6925459849</v>
      </c>
      <c r="U48" s="116">
        <f t="shared" si="8"/>
        <v>7.0359693529854717E-2</v>
      </c>
      <c r="V48" s="116">
        <f t="shared" si="9"/>
        <v>8.9758971922608399E-2</v>
      </c>
    </row>
    <row r="49" spans="1:22" s="110" customFormat="1" ht="13.5" customHeight="1" x14ac:dyDescent="0.25">
      <c r="A49" s="111" t="s">
        <v>119</v>
      </c>
      <c r="B49" s="172">
        <v>5</v>
      </c>
      <c r="C49" s="112">
        <v>3849915</v>
      </c>
      <c r="D49" s="113">
        <v>1715</v>
      </c>
      <c r="E49" s="265">
        <v>72359</v>
      </c>
      <c r="F49" s="114">
        <f t="shared" si="5"/>
        <v>3923989</v>
      </c>
      <c r="G49" s="109">
        <v>34186.726663965885</v>
      </c>
      <c r="H49" s="109"/>
      <c r="I49" s="109"/>
      <c r="J49" s="109">
        <v>41032</v>
      </c>
      <c r="K49" s="109">
        <v>313592</v>
      </c>
      <c r="L49" s="109"/>
      <c r="M49" s="259">
        <v>77075</v>
      </c>
      <c r="N49" s="109">
        <v>871788</v>
      </c>
      <c r="O49" s="109"/>
      <c r="P49" s="109"/>
      <c r="Q49" s="109"/>
      <c r="R49" s="118">
        <f t="shared" si="6"/>
        <v>1337673.7266639657</v>
      </c>
      <c r="S49" s="233">
        <v>1</v>
      </c>
      <c r="T49" s="118">
        <f t="shared" si="7"/>
        <v>5261662.7266639657</v>
      </c>
      <c r="U49" s="116">
        <f t="shared" si="8"/>
        <v>0.34089640074525329</v>
      </c>
      <c r="V49" s="116">
        <f t="shared" si="9"/>
        <v>0.36669581709309584</v>
      </c>
    </row>
    <row r="50" spans="1:22" s="110" customFormat="1" ht="13.5" customHeight="1" x14ac:dyDescent="0.25">
      <c r="A50" s="111" t="s">
        <v>121</v>
      </c>
      <c r="B50" s="172">
        <v>5</v>
      </c>
      <c r="C50" s="112">
        <v>7079178</v>
      </c>
      <c r="D50" s="113">
        <v>2458</v>
      </c>
      <c r="E50" s="265">
        <v>103980</v>
      </c>
      <c r="F50" s="114">
        <f t="shared" si="5"/>
        <v>7185616</v>
      </c>
      <c r="G50" s="109">
        <v>103470.47360740062</v>
      </c>
      <c r="H50" s="109"/>
      <c r="I50" s="109"/>
      <c r="J50" s="109">
        <v>208960</v>
      </c>
      <c r="K50" s="109">
        <f>1160710</f>
        <v>1160710</v>
      </c>
      <c r="L50" s="259">
        <f>73269+76644+151969</f>
        <v>301882</v>
      </c>
      <c r="M50" s="259">
        <v>151970</v>
      </c>
      <c r="N50" s="109">
        <f>453932+231439+696730</f>
        <v>1382101</v>
      </c>
      <c r="O50" s="109"/>
      <c r="P50" s="109"/>
      <c r="Q50" s="109"/>
      <c r="R50" s="118">
        <f t="shared" si="6"/>
        <v>3309093.4736074004</v>
      </c>
      <c r="S50" s="233">
        <f>1+1+2+2</f>
        <v>6</v>
      </c>
      <c r="T50" s="118">
        <f t="shared" si="7"/>
        <v>10494709.4736074</v>
      </c>
      <c r="U50" s="116">
        <f t="shared" si="8"/>
        <v>0.46051632505931295</v>
      </c>
      <c r="V50" s="116">
        <f t="shared" si="9"/>
        <v>0.48247571591043492</v>
      </c>
    </row>
    <row r="51" spans="1:22" s="110" customFormat="1" ht="13.5" customHeight="1" x14ac:dyDescent="0.25">
      <c r="A51" s="111" t="s">
        <v>123</v>
      </c>
      <c r="B51" s="172">
        <v>5</v>
      </c>
      <c r="C51" s="112">
        <v>3399223</v>
      </c>
      <c r="D51" s="113">
        <v>1494</v>
      </c>
      <c r="E51" s="265">
        <v>54083</v>
      </c>
      <c r="F51" s="114">
        <f t="shared" si="5"/>
        <v>3454800</v>
      </c>
      <c r="G51" s="109">
        <v>74413.200877486408</v>
      </c>
      <c r="H51" s="259">
        <v>515487</v>
      </c>
      <c r="I51" s="109"/>
      <c r="J51" s="109">
        <v>173010</v>
      </c>
      <c r="K51" s="109">
        <v>276340</v>
      </c>
      <c r="L51" s="109"/>
      <c r="M51" s="109"/>
      <c r="N51" s="109">
        <v>1124642</v>
      </c>
      <c r="O51" s="109"/>
      <c r="P51" s="109"/>
      <c r="Q51" s="109"/>
      <c r="R51" s="118">
        <f t="shared" si="6"/>
        <v>2163892.2008774863</v>
      </c>
      <c r="S51" s="233">
        <v>7.05</v>
      </c>
      <c r="T51" s="118">
        <f t="shared" si="7"/>
        <v>5618692.2008774858</v>
      </c>
      <c r="U51" s="116">
        <f t="shared" si="8"/>
        <v>0.6263436959816735</v>
      </c>
      <c r="V51" s="116">
        <f t="shared" si="9"/>
        <v>0.65293427376711843</v>
      </c>
    </row>
    <row r="52" spans="1:22" s="110" customFormat="1" ht="13.5" customHeight="1" x14ac:dyDescent="0.25">
      <c r="A52" s="111" t="s">
        <v>16</v>
      </c>
      <c r="B52" s="172">
        <v>6</v>
      </c>
      <c r="C52" s="112">
        <v>12007147</v>
      </c>
      <c r="D52" s="113">
        <v>3763</v>
      </c>
      <c r="E52" s="265">
        <v>175265</v>
      </c>
      <c r="F52" s="114">
        <f t="shared" si="5"/>
        <v>12186175</v>
      </c>
      <c r="G52" s="109">
        <v>165545.40421152423</v>
      </c>
      <c r="H52" s="109"/>
      <c r="I52" s="109"/>
      <c r="J52" s="109">
        <v>215000</v>
      </c>
      <c r="K52" s="109">
        <v>500000</v>
      </c>
      <c r="L52" s="109"/>
      <c r="M52" s="109"/>
      <c r="N52" s="109"/>
      <c r="O52" s="109"/>
      <c r="P52" s="109"/>
      <c r="Q52" s="109"/>
      <c r="R52" s="118">
        <f t="shared" si="6"/>
        <v>880545.40421152418</v>
      </c>
      <c r="S52" s="233"/>
      <c r="T52" s="118">
        <f t="shared" si="7"/>
        <v>13066720.404211525</v>
      </c>
      <c r="U52" s="116">
        <f t="shared" si="8"/>
        <v>7.2257735032651649E-2</v>
      </c>
      <c r="V52" s="116">
        <f t="shared" si="9"/>
        <v>8.8245226298264257E-2</v>
      </c>
    </row>
    <row r="53" spans="1:22" s="110" customFormat="1" ht="13.5" customHeight="1" x14ac:dyDescent="0.25">
      <c r="A53" s="111" t="s">
        <v>41</v>
      </c>
      <c r="B53" s="172">
        <v>6</v>
      </c>
      <c r="C53" s="112">
        <v>7404024</v>
      </c>
      <c r="D53" s="113">
        <v>2531</v>
      </c>
      <c r="E53" s="265">
        <v>111091</v>
      </c>
      <c r="F53" s="114">
        <f t="shared" si="5"/>
        <v>7517646</v>
      </c>
      <c r="G53" s="109">
        <v>98578.508702231091</v>
      </c>
      <c r="H53" s="109"/>
      <c r="I53" s="109"/>
      <c r="J53" s="109"/>
      <c r="K53" s="109">
        <v>391878</v>
      </c>
      <c r="L53" s="259">
        <v>163422</v>
      </c>
      <c r="M53" s="109"/>
      <c r="N53" s="109"/>
      <c r="O53" s="109"/>
      <c r="P53" s="109"/>
      <c r="Q53" s="109"/>
      <c r="R53" s="118">
        <f t="shared" si="6"/>
        <v>653878.50870223111</v>
      </c>
      <c r="S53" s="233">
        <f>3</f>
        <v>3</v>
      </c>
      <c r="T53" s="118">
        <f t="shared" si="7"/>
        <v>8171524.5087022316</v>
      </c>
      <c r="U53" s="116">
        <f t="shared" si="8"/>
        <v>8.6979156600647478E-2</v>
      </c>
      <c r="V53" s="116">
        <f t="shared" si="9"/>
        <v>0.10365991637820615</v>
      </c>
    </row>
    <row r="54" spans="1:22" s="110" customFormat="1" ht="13.5" customHeight="1" x14ac:dyDescent="0.25">
      <c r="A54" s="111" t="s">
        <v>89</v>
      </c>
      <c r="B54" s="172">
        <v>6</v>
      </c>
      <c r="C54" s="112">
        <v>6336095</v>
      </c>
      <c r="D54" s="113">
        <v>1748</v>
      </c>
      <c r="E54" s="265">
        <v>108299</v>
      </c>
      <c r="F54" s="114">
        <f t="shared" si="5"/>
        <v>6446142</v>
      </c>
      <c r="G54" s="109">
        <v>49072.594171657023</v>
      </c>
      <c r="H54" s="109"/>
      <c r="I54" s="109"/>
      <c r="J54" s="109">
        <v>10332</v>
      </c>
      <c r="K54" s="109">
        <f>265998+256974</f>
        <v>522972</v>
      </c>
      <c r="L54" s="259">
        <v>235330</v>
      </c>
      <c r="M54" s="109"/>
      <c r="N54" s="109"/>
      <c r="O54" s="109"/>
      <c r="P54" s="109"/>
      <c r="Q54" s="109"/>
      <c r="R54" s="118">
        <f t="shared" si="6"/>
        <v>817706.59417165699</v>
      </c>
      <c r="S54" s="233">
        <v>3</v>
      </c>
      <c r="T54" s="118">
        <f t="shared" si="7"/>
        <v>7263848.5941716572</v>
      </c>
      <c r="U54" s="116">
        <f t="shared" si="8"/>
        <v>0.12685209140159448</v>
      </c>
      <c r="V54" s="116">
        <f t="shared" si="9"/>
        <v>0.14642356122685296</v>
      </c>
    </row>
    <row r="55" spans="1:22" s="110" customFormat="1" ht="13.5" customHeight="1" x14ac:dyDescent="0.25">
      <c r="A55" s="111" t="s">
        <v>107</v>
      </c>
      <c r="B55" s="172">
        <v>6</v>
      </c>
      <c r="C55" s="112">
        <v>8245248</v>
      </c>
      <c r="D55" s="113">
        <v>2638</v>
      </c>
      <c r="E55" s="265">
        <v>131587</v>
      </c>
      <c r="F55" s="114">
        <f t="shared" si="5"/>
        <v>8379473</v>
      </c>
      <c r="G55" s="109">
        <v>119529.85608921187</v>
      </c>
      <c r="H55" s="109"/>
      <c r="I55" s="109"/>
      <c r="J55" s="109">
        <v>242259</v>
      </c>
      <c r="K55" s="109">
        <v>250076</v>
      </c>
      <c r="L55" s="109"/>
      <c r="M55" s="109"/>
      <c r="N55" s="109"/>
      <c r="O55" s="109"/>
      <c r="P55" s="109"/>
      <c r="Q55" s="109"/>
      <c r="R55" s="118">
        <f t="shared" si="6"/>
        <v>611864.85608921188</v>
      </c>
      <c r="S55" s="233"/>
      <c r="T55" s="118">
        <f t="shared" si="7"/>
        <v>8991337.856089212</v>
      </c>
      <c r="U55" s="116">
        <f t="shared" si="8"/>
        <v>7.3019491331878683E-2</v>
      </c>
      <c r="V55" s="116">
        <f t="shared" si="9"/>
        <v>9.0487254730144295E-2</v>
      </c>
    </row>
    <row r="56" spans="1:22" s="110" customFormat="1" ht="13.5" customHeight="1" x14ac:dyDescent="0.25">
      <c r="A56" s="111" t="s">
        <v>111</v>
      </c>
      <c r="B56" s="172">
        <v>6</v>
      </c>
      <c r="C56" s="112">
        <v>12307689</v>
      </c>
      <c r="D56" s="113">
        <v>5296</v>
      </c>
      <c r="E56" s="265">
        <v>150254</v>
      </c>
      <c r="F56" s="114">
        <f t="shared" si="5"/>
        <v>12463239</v>
      </c>
      <c r="G56" s="109">
        <v>111939.9205534983</v>
      </c>
      <c r="H56" s="109"/>
      <c r="I56" s="109"/>
      <c r="J56" s="109">
        <v>345266</v>
      </c>
      <c r="K56" s="109">
        <v>3375752</v>
      </c>
      <c r="L56" s="109"/>
      <c r="M56" s="109"/>
      <c r="N56" s="109">
        <f>2336576</f>
        <v>2336576</v>
      </c>
      <c r="O56" s="109"/>
      <c r="P56" s="109"/>
      <c r="Q56" s="109"/>
      <c r="R56" s="118">
        <f t="shared" si="6"/>
        <v>6169533.920553498</v>
      </c>
      <c r="S56" s="233"/>
      <c r="T56" s="118">
        <f t="shared" si="7"/>
        <v>18632772.920553498</v>
      </c>
      <c r="U56" s="116">
        <f t="shared" si="8"/>
        <v>0.49501850366132727</v>
      </c>
      <c r="V56" s="116">
        <f t="shared" si="9"/>
        <v>0.51391320665914608</v>
      </c>
    </row>
    <row r="57" spans="1:22" s="110" customFormat="1" ht="13.5" customHeight="1" x14ac:dyDescent="0.25">
      <c r="A57" s="111" t="s">
        <v>125</v>
      </c>
      <c r="B57" s="172">
        <v>6</v>
      </c>
      <c r="C57" s="112">
        <v>8647310</v>
      </c>
      <c r="D57" s="113">
        <v>2910</v>
      </c>
      <c r="E57" s="265">
        <v>137359</v>
      </c>
      <c r="F57" s="114">
        <f t="shared" si="5"/>
        <v>8787579</v>
      </c>
      <c r="G57" s="109">
        <v>142995.14493614613</v>
      </c>
      <c r="H57" s="109"/>
      <c r="I57" s="109"/>
      <c r="J57" s="109">
        <v>208379</v>
      </c>
      <c r="K57" s="109">
        <v>149132</v>
      </c>
      <c r="L57" s="259">
        <v>325034</v>
      </c>
      <c r="M57" s="109"/>
      <c r="N57" s="109"/>
      <c r="O57" s="109"/>
      <c r="P57" s="109"/>
      <c r="Q57" s="109"/>
      <c r="R57" s="118">
        <f t="shared" si="6"/>
        <v>825540.1449361461</v>
      </c>
      <c r="S57" s="233">
        <v>2.74</v>
      </c>
      <c r="T57" s="118">
        <f t="shared" si="7"/>
        <v>9613119.1449361462</v>
      </c>
      <c r="U57" s="116">
        <f t="shared" si="8"/>
        <v>9.3943979898917229E-2</v>
      </c>
      <c r="V57" s="116">
        <f t="shared" si="9"/>
        <v>0.11168896974158971</v>
      </c>
    </row>
    <row r="58" spans="1:22" s="110" customFormat="1" ht="13.5" customHeight="1" x14ac:dyDescent="0.25">
      <c r="A58" s="111" t="s">
        <v>127</v>
      </c>
      <c r="B58" s="172">
        <v>6</v>
      </c>
      <c r="C58" s="112">
        <v>9412788</v>
      </c>
      <c r="D58" s="113">
        <v>3298</v>
      </c>
      <c r="E58" s="265">
        <v>141213</v>
      </c>
      <c r="F58" s="114">
        <f t="shared" si="5"/>
        <v>9557299</v>
      </c>
      <c r="G58" s="109">
        <v>73005.130812842253</v>
      </c>
      <c r="H58" s="109"/>
      <c r="I58" s="109">
        <v>7760</v>
      </c>
      <c r="J58" s="109">
        <v>210885</v>
      </c>
      <c r="K58" s="109">
        <v>831588</v>
      </c>
      <c r="L58" s="109"/>
      <c r="M58" s="109"/>
      <c r="N58" s="109"/>
      <c r="O58" s="109"/>
      <c r="P58" s="109"/>
      <c r="Q58" s="109"/>
      <c r="R58" s="118">
        <f t="shared" si="6"/>
        <v>1123238.1308128424</v>
      </c>
      <c r="S58" s="233"/>
      <c r="T58" s="118">
        <f t="shared" si="7"/>
        <v>10680537.130812842</v>
      </c>
      <c r="U58" s="116">
        <f t="shared" si="8"/>
        <v>0.11752673331794283</v>
      </c>
      <c r="V58" s="116">
        <f t="shared" si="9"/>
        <v>0.13468370166340105</v>
      </c>
    </row>
    <row r="59" spans="1:22" s="110" customFormat="1" ht="13.5" customHeight="1" x14ac:dyDescent="0.25">
      <c r="A59" s="111" t="s">
        <v>79</v>
      </c>
      <c r="B59" s="172">
        <v>7</v>
      </c>
      <c r="C59" s="112">
        <v>12492314</v>
      </c>
      <c r="D59" s="113">
        <v>5284</v>
      </c>
      <c r="E59" s="265">
        <v>217805</v>
      </c>
      <c r="F59" s="114">
        <f t="shared" si="5"/>
        <v>12715403</v>
      </c>
      <c r="G59" s="109">
        <v>93422.157314775468</v>
      </c>
      <c r="H59" s="259">
        <v>326655.26646620443</v>
      </c>
      <c r="I59" s="109"/>
      <c r="J59" s="109"/>
      <c r="K59" s="109">
        <v>419140</v>
      </c>
      <c r="L59" s="259">
        <v>280000</v>
      </c>
      <c r="M59" s="109"/>
      <c r="N59" s="109"/>
      <c r="O59" s="109"/>
      <c r="P59" s="109"/>
      <c r="Q59" s="109"/>
      <c r="R59" s="118">
        <f t="shared" si="6"/>
        <v>1119217.4237809798</v>
      </c>
      <c r="S59" s="233">
        <f>4.47+4</f>
        <v>8.4699999999999989</v>
      </c>
      <c r="T59" s="118">
        <f t="shared" si="7"/>
        <v>13834620.42378098</v>
      </c>
      <c r="U59" s="116">
        <f t="shared" si="8"/>
        <v>8.8020601767869966E-2</v>
      </c>
      <c r="V59" s="116">
        <f t="shared" si="9"/>
        <v>0.10745058311702538</v>
      </c>
    </row>
    <row r="60" spans="1:22" s="110" customFormat="1" ht="13.5" customHeight="1" x14ac:dyDescent="0.25">
      <c r="A60" s="111" t="s">
        <v>113</v>
      </c>
      <c r="B60" s="172">
        <v>7</v>
      </c>
      <c r="C60" s="112">
        <v>23958734</v>
      </c>
      <c r="D60" s="113">
        <v>8360</v>
      </c>
      <c r="E60" s="265">
        <v>327336</v>
      </c>
      <c r="F60" s="114">
        <f t="shared" si="5"/>
        <v>24294430</v>
      </c>
      <c r="G60" s="109">
        <v>235453.41898355758</v>
      </c>
      <c r="H60" s="109"/>
      <c r="I60" s="109"/>
      <c r="J60" s="109">
        <v>1447976</v>
      </c>
      <c r="K60" s="109">
        <v>1337579</v>
      </c>
      <c r="L60" s="259">
        <f>1229241.04+379233</f>
        <v>1608474.04</v>
      </c>
      <c r="M60" s="259">
        <v>234177.26</v>
      </c>
      <c r="N60" s="109"/>
      <c r="O60" s="109"/>
      <c r="P60" s="109"/>
      <c r="Q60" s="109"/>
      <c r="R60" s="118">
        <f t="shared" si="6"/>
        <v>4863659.7189835571</v>
      </c>
      <c r="S60" s="233">
        <f>14+5+3</f>
        <v>22</v>
      </c>
      <c r="T60" s="118">
        <f t="shared" si="7"/>
        <v>29158089.718983557</v>
      </c>
      <c r="U60" s="116">
        <f t="shared" si="8"/>
        <v>0.2001964943809571</v>
      </c>
      <c r="V60" s="116">
        <f t="shared" si="9"/>
        <v>0.21701295732001347</v>
      </c>
    </row>
    <row r="61" spans="1:22" s="110" customFormat="1" ht="13.5" customHeight="1" x14ac:dyDescent="0.25">
      <c r="A61" s="111" t="s">
        <v>115</v>
      </c>
      <c r="B61" s="172">
        <v>7</v>
      </c>
      <c r="C61" s="112">
        <v>13278182</v>
      </c>
      <c r="D61" s="113">
        <v>5184</v>
      </c>
      <c r="E61" s="265">
        <v>257503</v>
      </c>
      <c r="F61" s="114">
        <f t="shared" si="5"/>
        <v>13540869</v>
      </c>
      <c r="G61" s="109">
        <v>203612.87710040365</v>
      </c>
      <c r="H61" s="109"/>
      <c r="I61" s="109"/>
      <c r="J61" s="109">
        <v>120539</v>
      </c>
      <c r="K61" s="109">
        <f>330286+444182+1555881</f>
        <v>2330349</v>
      </c>
      <c r="L61" s="259">
        <v>246486</v>
      </c>
      <c r="M61" s="109"/>
      <c r="N61" s="109">
        <v>353934</v>
      </c>
      <c r="O61" s="109"/>
      <c r="P61" s="109"/>
      <c r="Q61" s="109"/>
      <c r="R61" s="118">
        <f t="shared" si="6"/>
        <v>3254920.8771004034</v>
      </c>
      <c r="S61" s="233">
        <v>4.8600000000000003</v>
      </c>
      <c r="T61" s="118">
        <f t="shared" si="7"/>
        <v>16795789.877100404</v>
      </c>
      <c r="U61" s="116">
        <f t="shared" si="8"/>
        <v>0.24037754719437898</v>
      </c>
      <c r="V61" s="116">
        <f t="shared" si="9"/>
        <v>0.26491637764118647</v>
      </c>
    </row>
    <row r="62" spans="1:22" s="110" customFormat="1" ht="13.5" customHeight="1" x14ac:dyDescent="0.25">
      <c r="A62" s="111" t="s">
        <v>137</v>
      </c>
      <c r="B62" s="172">
        <v>7</v>
      </c>
      <c r="C62" s="112">
        <v>12454523</v>
      </c>
      <c r="D62" s="113">
        <v>4031</v>
      </c>
      <c r="E62" s="265">
        <v>241722</v>
      </c>
      <c r="F62" s="114">
        <f t="shared" si="5"/>
        <v>12700276</v>
      </c>
      <c r="G62" s="109">
        <v>87100.326080678278</v>
      </c>
      <c r="H62" s="109"/>
      <c r="I62" s="109"/>
      <c r="J62" s="109">
        <v>109998</v>
      </c>
      <c r="K62" s="109">
        <v>810465</v>
      </c>
      <c r="L62" s="259">
        <v>124134</v>
      </c>
      <c r="M62" s="259">
        <v>124134</v>
      </c>
      <c r="N62" s="109"/>
      <c r="O62" s="109"/>
      <c r="P62" s="109"/>
      <c r="Q62" s="109"/>
      <c r="R62" s="118">
        <f t="shared" si="6"/>
        <v>1255831.3260806783</v>
      </c>
      <c r="S62" s="233">
        <v>4</v>
      </c>
      <c r="T62" s="118">
        <f t="shared" si="7"/>
        <v>13956107.326080678</v>
      </c>
      <c r="U62" s="116">
        <f t="shared" si="8"/>
        <v>9.8882207448143467E-2</v>
      </c>
      <c r="V62" s="116">
        <f t="shared" si="9"/>
        <v>0.12056538223749547</v>
      </c>
    </row>
    <row r="63" spans="1:22" s="110" customFormat="1" ht="13.5" customHeight="1" x14ac:dyDescent="0.25">
      <c r="A63" s="111" t="s">
        <v>18</v>
      </c>
      <c r="B63" s="172">
        <v>8</v>
      </c>
      <c r="C63" s="112">
        <v>41479454</v>
      </c>
      <c r="D63" s="113">
        <v>13493</v>
      </c>
      <c r="E63" s="265">
        <v>682665</v>
      </c>
      <c r="F63" s="114">
        <f t="shared" si="5"/>
        <v>42175612</v>
      </c>
      <c r="G63" s="109">
        <v>307668.67141023639</v>
      </c>
      <c r="H63" s="109"/>
      <c r="I63" s="109"/>
      <c r="J63" s="109">
        <v>963545</v>
      </c>
      <c r="K63" s="109">
        <v>3151161</v>
      </c>
      <c r="L63" s="109"/>
      <c r="M63" s="109"/>
      <c r="N63" s="109"/>
      <c r="O63" s="109"/>
      <c r="P63" s="109"/>
      <c r="Q63" s="109"/>
      <c r="R63" s="118">
        <f t="shared" si="6"/>
        <v>4422374.6714102365</v>
      </c>
      <c r="S63" s="233"/>
      <c r="T63" s="118">
        <f t="shared" si="7"/>
        <v>46597986.671410233</v>
      </c>
      <c r="U63" s="116">
        <f t="shared" si="8"/>
        <v>0.10485620626940118</v>
      </c>
      <c r="V63" s="116">
        <f t="shared" si="9"/>
        <v>0.1233992296863462</v>
      </c>
    </row>
    <row r="64" spans="1:22" s="110" customFormat="1" ht="13.5" customHeight="1" x14ac:dyDescent="0.25">
      <c r="A64" s="111" t="s">
        <v>36</v>
      </c>
      <c r="B64" s="172">
        <v>8</v>
      </c>
      <c r="C64" s="112">
        <v>21034726</v>
      </c>
      <c r="D64" s="113">
        <v>6692</v>
      </c>
      <c r="E64" s="265">
        <v>456603</v>
      </c>
      <c r="F64" s="114">
        <f t="shared" si="5"/>
        <v>21498021</v>
      </c>
      <c r="G64" s="109">
        <v>194129.50391982446</v>
      </c>
      <c r="H64" s="109"/>
      <c r="I64" s="109">
        <v>381334</v>
      </c>
      <c r="J64" s="109"/>
      <c r="K64" s="109">
        <f>846309+451494</f>
        <v>1297803</v>
      </c>
      <c r="L64" s="259">
        <v>1859861</v>
      </c>
      <c r="M64" s="259">
        <v>323944</v>
      </c>
      <c r="N64" s="109"/>
      <c r="O64" s="109">
        <f>537316+146470+527424</f>
        <v>1211210</v>
      </c>
      <c r="P64" s="109">
        <f>100000+122177+48000</f>
        <v>270177</v>
      </c>
      <c r="Q64" s="109"/>
      <c r="R64" s="118">
        <f t="shared" si="6"/>
        <v>5538458.503919825</v>
      </c>
      <c r="S64" s="233">
        <f>5+27</f>
        <v>32</v>
      </c>
      <c r="T64" s="118">
        <f t="shared" si="7"/>
        <v>27036479.503919825</v>
      </c>
      <c r="U64" s="116">
        <f t="shared" si="8"/>
        <v>0.25762643472716973</v>
      </c>
      <c r="V64" s="116">
        <f t="shared" si="9"/>
        <v>0.28532596544969624</v>
      </c>
    </row>
    <row r="65" spans="1:22" s="110" customFormat="1" ht="13.5" customHeight="1" x14ac:dyDescent="0.25">
      <c r="A65" s="111" t="s">
        <v>65</v>
      </c>
      <c r="B65" s="172">
        <v>8</v>
      </c>
      <c r="C65" s="112">
        <v>32409825</v>
      </c>
      <c r="D65" s="113">
        <v>11229</v>
      </c>
      <c r="E65" s="265">
        <v>640728</v>
      </c>
      <c r="F65" s="114">
        <f t="shared" si="5"/>
        <v>33061782</v>
      </c>
      <c r="G65" s="109">
        <v>173006.27664403431</v>
      </c>
      <c r="H65" s="259">
        <v>801481.64062882529</v>
      </c>
      <c r="I65" s="109"/>
      <c r="J65" s="109">
        <v>418759</v>
      </c>
      <c r="K65" s="109">
        <f>1017531+3068258</f>
        <v>4085789</v>
      </c>
      <c r="L65" s="109"/>
      <c r="M65" s="109"/>
      <c r="N65" s="109"/>
      <c r="O65" s="109"/>
      <c r="P65" s="109">
        <v>816603</v>
      </c>
      <c r="Q65" s="109"/>
      <c r="R65" s="118">
        <f t="shared" si="6"/>
        <v>6295638.9172728602</v>
      </c>
      <c r="S65" s="233">
        <v>10.97</v>
      </c>
      <c r="T65" s="118">
        <f t="shared" si="7"/>
        <v>39357420.917272858</v>
      </c>
      <c r="U65" s="116">
        <f t="shared" si="8"/>
        <v>0.19042043521044505</v>
      </c>
      <c r="V65" s="116">
        <f t="shared" si="9"/>
        <v>0.21436696795718135</v>
      </c>
    </row>
    <row r="66" spans="1:22" s="110" customFormat="1" ht="13.5" customHeight="1" x14ac:dyDescent="0.25">
      <c r="A66" s="111" t="s">
        <v>95</v>
      </c>
      <c r="B66" s="172">
        <v>8</v>
      </c>
      <c r="C66" s="112">
        <v>75608322</v>
      </c>
      <c r="D66" s="113">
        <v>26516</v>
      </c>
      <c r="E66" s="265">
        <v>1425119</v>
      </c>
      <c r="F66" s="114">
        <f t="shared" ref="F66:F68" si="10">C66+D66+E66</f>
        <v>77059957</v>
      </c>
      <c r="G66" s="109">
        <v>620810.26676045347</v>
      </c>
      <c r="H66" s="109"/>
      <c r="I66" s="109"/>
      <c r="J66" s="109">
        <v>1154552</v>
      </c>
      <c r="K66" s="109">
        <f>5000000+2975404</f>
        <v>7975404</v>
      </c>
      <c r="L66" s="259">
        <v>3660745</v>
      </c>
      <c r="M66" s="109"/>
      <c r="N66" s="109"/>
      <c r="O66" s="109"/>
      <c r="P66" s="109"/>
      <c r="Q66" s="109"/>
      <c r="R66" s="118">
        <f t="shared" ref="R66:R68" si="11">SUM(G66:Q66)</f>
        <v>13411511.266760454</v>
      </c>
      <c r="S66" s="233">
        <v>49.04</v>
      </c>
      <c r="T66" s="118">
        <f t="shared" si="7"/>
        <v>90471468.266760454</v>
      </c>
      <c r="U66" s="116">
        <f t="shared" ref="U66:U68" si="12">T66/F66-1</f>
        <v>0.17403995264051919</v>
      </c>
      <c r="V66" s="116">
        <f t="shared" si="9"/>
        <v>0.19658082435370616</v>
      </c>
    </row>
    <row r="67" spans="1:22" ht="13.5" customHeight="1" x14ac:dyDescent="0.25">
      <c r="A67" s="111" t="s">
        <v>105</v>
      </c>
      <c r="B67" s="172">
        <v>8</v>
      </c>
      <c r="C67" s="112">
        <v>31053783</v>
      </c>
      <c r="D67" s="113">
        <v>9256</v>
      </c>
      <c r="E67" s="265">
        <v>612113</v>
      </c>
      <c r="F67" s="114">
        <f t="shared" si="10"/>
        <v>31675152</v>
      </c>
      <c r="G67" s="109">
        <v>215597.81003811257</v>
      </c>
      <c r="H67" s="259">
        <v>1109677.5019155063</v>
      </c>
      <c r="I67" s="109"/>
      <c r="J67" s="109">
        <v>376919</v>
      </c>
      <c r="K67" s="109">
        <f>5524521+834561</f>
        <v>6359082</v>
      </c>
      <c r="L67" s="259">
        <v>1274212</v>
      </c>
      <c r="M67" s="109"/>
      <c r="N67" s="109"/>
      <c r="O67" s="109">
        <v>2446080</v>
      </c>
      <c r="P67" s="109"/>
      <c r="Q67" s="109"/>
      <c r="R67" s="118">
        <f t="shared" si="11"/>
        <v>11781568.311953619</v>
      </c>
      <c r="S67" s="233">
        <f>15.18+15</f>
        <v>30.18</v>
      </c>
      <c r="T67" s="118">
        <f t="shared" si="7"/>
        <v>43456720.311953619</v>
      </c>
      <c r="U67" s="116">
        <f t="shared" si="12"/>
        <v>0.37194985873954511</v>
      </c>
      <c r="V67" s="116">
        <f t="shared" si="9"/>
        <v>0.39940181561626864</v>
      </c>
    </row>
    <row r="68" spans="1:22" ht="13.5" customHeight="1" thickBot="1" x14ac:dyDescent="0.3">
      <c r="A68" s="120" t="s">
        <v>109</v>
      </c>
      <c r="B68" s="173">
        <v>8</v>
      </c>
      <c r="C68" s="121">
        <v>32093204</v>
      </c>
      <c r="D68" s="122">
        <v>10519</v>
      </c>
      <c r="E68" s="266">
        <v>488985</v>
      </c>
      <c r="F68" s="123">
        <f t="shared" si="10"/>
        <v>32592708</v>
      </c>
      <c r="G68" s="124">
        <v>276668.53383317951</v>
      </c>
      <c r="H68" s="124"/>
      <c r="I68" s="124"/>
      <c r="J68" s="261">
        <v>360681</v>
      </c>
      <c r="K68" s="124">
        <v>1327314</v>
      </c>
      <c r="L68" s="124"/>
      <c r="M68" s="124"/>
      <c r="N68" s="124"/>
      <c r="O68" s="124"/>
      <c r="P68" s="124"/>
      <c r="Q68" s="124"/>
      <c r="R68" s="125">
        <f t="shared" si="11"/>
        <v>1964663.5338331796</v>
      </c>
      <c r="S68" s="262"/>
      <c r="T68" s="125">
        <f t="shared" si="7"/>
        <v>34557371.533833176</v>
      </c>
      <c r="U68" s="371">
        <f t="shared" si="12"/>
        <v>6.0279235890223548E-2</v>
      </c>
      <c r="V68" s="371">
        <f t="shared" si="9"/>
        <v>7.6781599426257952E-2</v>
      </c>
    </row>
    <row r="69" spans="1:22" ht="11.25" customHeight="1" thickBot="1" x14ac:dyDescent="0.3">
      <c r="A69" s="126"/>
      <c r="B69" s="127"/>
      <c r="C69" s="128"/>
      <c r="D69" s="128"/>
      <c r="E69" s="128"/>
      <c r="F69" s="128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30"/>
      <c r="S69" s="131"/>
      <c r="T69" s="130"/>
      <c r="U69" s="132"/>
      <c r="V69" s="132"/>
    </row>
    <row r="70" spans="1:22" s="110" customFormat="1" ht="14.25" thickBot="1" x14ac:dyDescent="0.3">
      <c r="A70" s="471" t="s">
        <v>171</v>
      </c>
      <c r="B70" s="471"/>
      <c r="C70" s="133">
        <f t="shared" ref="C70:M70" si="13">SUM(C2:C68)</f>
        <v>474436051</v>
      </c>
      <c r="D70" s="133">
        <f t="shared" si="13"/>
        <v>163861</v>
      </c>
      <c r="E70" s="133">
        <f t="shared" si="13"/>
        <v>8000000</v>
      </c>
      <c r="F70" s="152">
        <f t="shared" si="13"/>
        <v>482599912</v>
      </c>
      <c r="G70" s="134">
        <f t="shared" ref="G70" si="14">SUM(G2:G68)</f>
        <v>4720405.3649999965</v>
      </c>
      <c r="H70" s="134">
        <f t="shared" si="13"/>
        <v>2986198.0661388543</v>
      </c>
      <c r="I70" s="134">
        <f t="shared" si="13"/>
        <v>453782</v>
      </c>
      <c r="J70" s="134">
        <f t="shared" si="13"/>
        <v>8024385</v>
      </c>
      <c r="K70" s="134">
        <f t="shared" si="13"/>
        <v>42839066</v>
      </c>
      <c r="L70" s="134">
        <f t="shared" si="13"/>
        <v>11389363.039999999</v>
      </c>
      <c r="M70" s="134">
        <f t="shared" si="13"/>
        <v>1550184.26</v>
      </c>
      <c r="N70" s="134">
        <f>(SUM(N2:N68))</f>
        <v>10381441</v>
      </c>
      <c r="O70" s="134">
        <f t="shared" ref="O70:T70" si="15">SUM(O2:O68)</f>
        <v>3933253</v>
      </c>
      <c r="P70" s="134">
        <f t="shared" si="15"/>
        <v>2500326</v>
      </c>
      <c r="Q70" s="134">
        <f t="shared" si="15"/>
        <v>0</v>
      </c>
      <c r="R70" s="134">
        <f>SUM(R2:R68)</f>
        <v>88778403.73113884</v>
      </c>
      <c r="S70" s="135">
        <f t="shared" si="15"/>
        <v>230.43</v>
      </c>
      <c r="T70" s="179">
        <f t="shared" si="15"/>
        <v>571378315.73113883</v>
      </c>
      <c r="U70" s="180">
        <f>T70/F70-1</f>
        <v>0.18395859908722656</v>
      </c>
      <c r="V70" s="180">
        <f>T70/C70-1</f>
        <v>0.20433157330014717</v>
      </c>
    </row>
    <row r="71" spans="1:22" ht="7.5" customHeight="1" thickBot="1" x14ac:dyDescent="0.3"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</row>
    <row r="72" spans="1:22" ht="14.25" thickBot="1" x14ac:dyDescent="0.3">
      <c r="F72" s="139"/>
      <c r="G72" s="139"/>
      <c r="J72" s="140"/>
      <c r="K72" s="141" t="s">
        <v>172</v>
      </c>
      <c r="L72" s="167">
        <f>H70+L70+M2+M6+N6+N16+7844+M21+M25+M27+M31+N37+O41+M44+N44+M49+M50+M60+M62+M64</f>
        <v>16886791.366138853</v>
      </c>
      <c r="M72" s="140"/>
      <c r="N72" s="140"/>
      <c r="O72" s="140"/>
      <c r="P72" s="140"/>
      <c r="Q72" s="141" t="s">
        <v>216</v>
      </c>
      <c r="R72" s="296">
        <f>R70+D70+E70</f>
        <v>96942264.73113884</v>
      </c>
      <c r="S72" s="142"/>
      <c r="T72" s="143"/>
      <c r="V72" s="144" t="s">
        <v>218</v>
      </c>
    </row>
    <row r="73" spans="1:22" ht="7.5" customHeight="1" x14ac:dyDescent="0.25"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</row>
    <row r="74" spans="1:22" x14ac:dyDescent="0.25">
      <c r="H74" s="145">
        <v>5</v>
      </c>
      <c r="I74" s="145">
        <v>5</v>
      </c>
      <c r="J74" s="145">
        <v>55</v>
      </c>
      <c r="K74" s="145">
        <v>62</v>
      </c>
      <c r="L74" s="145">
        <v>24</v>
      </c>
      <c r="M74" s="145">
        <v>14</v>
      </c>
      <c r="N74" s="145">
        <v>20</v>
      </c>
      <c r="O74" s="145">
        <v>8</v>
      </c>
      <c r="P74" s="145">
        <v>9</v>
      </c>
      <c r="R74" s="145">
        <v>67</v>
      </c>
      <c r="S74" s="145">
        <v>34</v>
      </c>
      <c r="U74" s="146"/>
      <c r="V74" s="146"/>
    </row>
    <row r="75" spans="1:22" x14ac:dyDescent="0.25">
      <c r="U75" s="146"/>
      <c r="V75" s="146"/>
    </row>
    <row r="76" spans="1:22" ht="15" x14ac:dyDescent="0.25">
      <c r="L76" s="149"/>
      <c r="N76" s="147"/>
      <c r="U76" s="148"/>
      <c r="V76" s="148"/>
    </row>
    <row r="77" spans="1:22" ht="14.25" thickBot="1" x14ac:dyDescent="0.3">
      <c r="Q77" s="160"/>
      <c r="R77" s="119"/>
      <c r="S77" s="161" t="s">
        <v>182</v>
      </c>
      <c r="T77" s="162">
        <f>11700000</f>
        <v>11700000</v>
      </c>
    </row>
    <row r="78" spans="1:22" ht="14.25" thickBot="1" x14ac:dyDescent="0.3">
      <c r="J78" s="150"/>
      <c r="Q78" s="163"/>
      <c r="R78" s="164"/>
      <c r="S78" s="165" t="s">
        <v>219</v>
      </c>
      <c r="T78" s="166">
        <f>T70+T77</f>
        <v>583078315.73113883</v>
      </c>
    </row>
  </sheetData>
  <autoFilter ref="A1:V1" xr:uid="{9E11FCF2-DD73-4F32-9271-ACFE81C4F4E8}">
    <sortState xmlns:xlrd2="http://schemas.microsoft.com/office/spreadsheetml/2017/richdata2" ref="A2:V68">
      <sortCondition ref="B1"/>
    </sortState>
  </autoFilter>
  <mergeCells count="1">
    <mergeCell ref="A70:B70"/>
  </mergeCells>
  <conditionalFormatting sqref="U2:V68 R70:S70">
    <cfRule type="cellIs" dxfId="0" priority="1" operator="lessThan">
      <formula>0</formula>
    </cfRule>
  </conditionalFormatting>
  <printOptions horizontalCentered="1"/>
  <pageMargins left="0.2" right="0.2" top="0.16" bottom="0.16" header="0.25" footer="0.25"/>
  <pageSetup paperSize="5" scale="59" fitToHeight="0" pageOrder="overThenDown" orientation="landscape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88AC-F62C-48A3-8DB9-F8E7AA287A84}">
  <sheetPr>
    <pageSetUpPr fitToPage="1"/>
  </sheetPr>
  <dimension ref="A1:AAE76"/>
  <sheetViews>
    <sheetView zoomScaleNormal="100" zoomScaleSheetLayoutView="100" workbookViewId="0">
      <pane ySplit="4" topLeftCell="A50" activePane="bottomLeft" state="frozen"/>
      <selection pane="bottomLeft" activeCell="D76" sqref="D76"/>
    </sheetView>
  </sheetViews>
  <sheetFormatPr defaultColWidth="9.140625" defaultRowHeight="16.5" x14ac:dyDescent="0.3"/>
  <cols>
    <col min="1" max="1" width="15.28515625" style="234" customWidth="1"/>
    <col min="2" max="2" width="21.140625" style="234" customWidth="1"/>
    <col min="3" max="3" width="20" style="234" customWidth="1"/>
    <col min="4" max="4" width="19.5703125" style="234" customWidth="1"/>
    <col min="5" max="5" width="19.85546875" style="234" customWidth="1"/>
    <col min="6" max="6" width="4.28515625" style="234" customWidth="1"/>
    <col min="7" max="7" width="21.7109375" style="234" customWidth="1"/>
    <col min="8" max="8" width="4.28515625" style="234" customWidth="1"/>
    <col min="9" max="9" width="21.28515625" style="234" customWidth="1"/>
    <col min="10" max="10" width="20.7109375" style="234" customWidth="1"/>
    <col min="11" max="14" width="9.140625" style="234"/>
    <col min="15" max="15" width="18.5703125" style="234" hidden="1" customWidth="1"/>
    <col min="16" max="16384" width="9.140625" style="234"/>
  </cols>
  <sheetData>
    <row r="1" spans="1:707" x14ac:dyDescent="0.3">
      <c r="A1" s="473" t="s">
        <v>220</v>
      </c>
      <c r="B1" s="473"/>
      <c r="C1" s="473"/>
      <c r="D1" s="473"/>
      <c r="E1" s="473"/>
      <c r="F1" s="473"/>
      <c r="G1" s="473"/>
      <c r="I1" s="473" t="s">
        <v>221</v>
      </c>
      <c r="J1" s="473"/>
    </row>
    <row r="2" spans="1:707" ht="9" customHeight="1" thickBot="1" x14ac:dyDescent="0.35"/>
    <row r="3" spans="1:707" ht="16.5" customHeight="1" x14ac:dyDescent="0.3">
      <c r="A3" s="474" t="s">
        <v>0</v>
      </c>
      <c r="B3" s="476" t="s">
        <v>222</v>
      </c>
      <c r="C3" s="476" t="s">
        <v>223</v>
      </c>
      <c r="D3" s="476" t="s">
        <v>224</v>
      </c>
      <c r="E3" s="478" t="s">
        <v>225</v>
      </c>
      <c r="G3" s="480" t="s">
        <v>226</v>
      </c>
      <c r="I3" s="482" t="s">
        <v>227</v>
      </c>
      <c r="J3" s="482" t="s">
        <v>228</v>
      </c>
    </row>
    <row r="4" spans="1:707" ht="32.25" customHeight="1" thickBot="1" x14ac:dyDescent="0.35">
      <c r="A4" s="475"/>
      <c r="B4" s="477"/>
      <c r="C4" s="477"/>
      <c r="D4" s="477"/>
      <c r="E4" s="479"/>
      <c r="G4" s="481"/>
      <c r="I4" s="483"/>
      <c r="J4" s="483"/>
      <c r="O4" s="298" t="s">
        <v>229</v>
      </c>
    </row>
    <row r="5" spans="1:707" x14ac:dyDescent="0.3">
      <c r="A5" s="299" t="s">
        <v>4</v>
      </c>
      <c r="B5" s="300">
        <v>57533.48</v>
      </c>
      <c r="C5" s="300">
        <v>58165.890000000007</v>
      </c>
      <c r="D5" s="300">
        <v>63162.879999999997</v>
      </c>
      <c r="E5" s="301">
        <v>70691.12000000001</v>
      </c>
      <c r="G5" s="302">
        <f>SUM(B5:E5)</f>
        <v>249553.37</v>
      </c>
      <c r="I5" s="303">
        <f>G5*1.05</f>
        <v>262031.0385</v>
      </c>
      <c r="J5" s="304">
        <f>I5/$I$73*$J$73</f>
        <v>75326.564261826948</v>
      </c>
      <c r="O5" s="298" t="s">
        <v>230</v>
      </c>
    </row>
    <row r="6" spans="1:707" x14ac:dyDescent="0.3">
      <c r="A6" s="299" t="s">
        <v>10</v>
      </c>
      <c r="B6" s="305">
        <v>0</v>
      </c>
      <c r="C6" s="305">
        <v>0</v>
      </c>
      <c r="D6" s="305">
        <v>47549.19</v>
      </c>
      <c r="E6" s="306">
        <v>0</v>
      </c>
      <c r="G6" s="307">
        <f t="shared" ref="G6:G69" si="0">SUM(B6:E6)</f>
        <v>47549.19</v>
      </c>
      <c r="I6" s="308">
        <f t="shared" ref="I6:I69" si="1">G6*1.05</f>
        <v>49926.649500000007</v>
      </c>
      <c r="J6" s="309">
        <f t="shared" ref="J6:J69" si="2">I6/$I$73*$J$73</f>
        <v>14352.509509820764</v>
      </c>
      <c r="O6" s="298" t="s">
        <v>231</v>
      </c>
    </row>
    <row r="7" spans="1:707" x14ac:dyDescent="0.3">
      <c r="A7" s="299" t="s">
        <v>12</v>
      </c>
      <c r="B7" s="305">
        <v>56882.42</v>
      </c>
      <c r="C7" s="305">
        <v>47209.15</v>
      </c>
      <c r="D7" s="305">
        <v>55631.729999999996</v>
      </c>
      <c r="E7" s="306">
        <v>46304.47</v>
      </c>
      <c r="G7" s="307">
        <f t="shared" si="0"/>
        <v>206027.77</v>
      </c>
      <c r="I7" s="308">
        <f t="shared" si="1"/>
        <v>216329.15849999999</v>
      </c>
      <c r="J7" s="309">
        <f t="shared" si="2"/>
        <v>62188.557327941126</v>
      </c>
    </row>
    <row r="8" spans="1:707" x14ac:dyDescent="0.3">
      <c r="A8" s="299" t="s">
        <v>14</v>
      </c>
      <c r="B8" s="305">
        <v>19368.27</v>
      </c>
      <c r="C8" s="305">
        <v>14174.57</v>
      </c>
      <c r="D8" s="305">
        <v>6841.87</v>
      </c>
      <c r="E8" s="306">
        <v>7880.3499999999995</v>
      </c>
      <c r="G8" s="307">
        <f t="shared" si="0"/>
        <v>48265.06</v>
      </c>
      <c r="I8" s="308">
        <f t="shared" si="1"/>
        <v>50678.313000000002</v>
      </c>
      <c r="J8" s="309">
        <f t="shared" si="2"/>
        <v>14568.591655127453</v>
      </c>
    </row>
    <row r="9" spans="1:707" x14ac:dyDescent="0.3">
      <c r="A9" s="299" t="s">
        <v>16</v>
      </c>
      <c r="B9" s="305">
        <v>133432.29</v>
      </c>
      <c r="C9" s="305">
        <v>120947.56</v>
      </c>
      <c r="D9" s="305">
        <v>145341.95000000001</v>
      </c>
      <c r="E9" s="306">
        <v>148722.35</v>
      </c>
      <c r="G9" s="307">
        <f t="shared" si="0"/>
        <v>548444.15</v>
      </c>
      <c r="I9" s="308">
        <f t="shared" si="1"/>
        <v>575866.35750000004</v>
      </c>
      <c r="J9" s="309">
        <f t="shared" si="2"/>
        <v>165545.40421152423</v>
      </c>
    </row>
    <row r="10" spans="1:707" x14ac:dyDescent="0.3">
      <c r="A10" s="299" t="s">
        <v>18</v>
      </c>
      <c r="B10" s="305">
        <v>283746.24</v>
      </c>
      <c r="C10" s="305">
        <v>222589.40999999997</v>
      </c>
      <c r="D10" s="305">
        <v>255761.39</v>
      </c>
      <c r="E10" s="306">
        <v>257194.82</v>
      </c>
      <c r="G10" s="307">
        <f t="shared" si="0"/>
        <v>1019291.8600000001</v>
      </c>
      <c r="I10" s="308">
        <f t="shared" si="1"/>
        <v>1070256.4530000002</v>
      </c>
      <c r="J10" s="309">
        <f t="shared" si="2"/>
        <v>307668.67141023639</v>
      </c>
    </row>
    <row r="11" spans="1:707" x14ac:dyDescent="0.3">
      <c r="A11" s="299" t="s">
        <v>20</v>
      </c>
      <c r="B11" s="305">
        <v>2960.09</v>
      </c>
      <c r="C11" s="305">
        <v>1988.1699999999998</v>
      </c>
      <c r="D11" s="305">
        <v>2043.22</v>
      </c>
      <c r="E11" s="306">
        <v>1673.56</v>
      </c>
      <c r="G11" s="307">
        <f t="shared" si="0"/>
        <v>8665.0400000000009</v>
      </c>
      <c r="I11" s="308">
        <f t="shared" si="1"/>
        <v>9098.2920000000013</v>
      </c>
      <c r="J11" s="309">
        <f t="shared" si="2"/>
        <v>2615.5034187328392</v>
      </c>
    </row>
    <row r="12" spans="1:707" x14ac:dyDescent="0.3">
      <c r="A12" s="299" t="s">
        <v>22</v>
      </c>
      <c r="B12" s="305">
        <v>36875.480000000003</v>
      </c>
      <c r="C12" s="305">
        <v>38946.79</v>
      </c>
      <c r="D12" s="305">
        <v>44588.97</v>
      </c>
      <c r="E12" s="306">
        <v>36658.660000000003</v>
      </c>
      <c r="G12" s="307">
        <f t="shared" si="0"/>
        <v>157069.90000000002</v>
      </c>
      <c r="I12" s="308">
        <f t="shared" si="1"/>
        <v>164923.39500000002</v>
      </c>
      <c r="J12" s="309">
        <f t="shared" si="2"/>
        <v>47410.84408496962</v>
      </c>
    </row>
    <row r="13" spans="1:707" x14ac:dyDescent="0.3">
      <c r="A13" s="299" t="s">
        <v>24</v>
      </c>
      <c r="B13" s="305">
        <v>19888.72</v>
      </c>
      <c r="C13" s="305">
        <v>29142.190000000002</v>
      </c>
      <c r="D13" s="305">
        <v>30086.199999999997</v>
      </c>
      <c r="E13" s="306">
        <v>33634.43</v>
      </c>
      <c r="G13" s="307">
        <f t="shared" si="0"/>
        <v>112751.54000000001</v>
      </c>
      <c r="I13" s="308">
        <f t="shared" si="1"/>
        <v>118389.11700000001</v>
      </c>
      <c r="J13" s="309">
        <f t="shared" si="2"/>
        <v>34033.546104506437</v>
      </c>
    </row>
    <row r="14" spans="1:707" x14ac:dyDescent="0.3">
      <c r="A14" s="299" t="s">
        <v>26</v>
      </c>
      <c r="B14" s="305">
        <v>34254.619999999995</v>
      </c>
      <c r="C14" s="305">
        <v>16845.009999999998</v>
      </c>
      <c r="D14" s="305">
        <v>20664.129999999997</v>
      </c>
      <c r="E14" s="306">
        <v>17989.55</v>
      </c>
      <c r="G14" s="307">
        <f t="shared" si="0"/>
        <v>89753.309999999983</v>
      </c>
      <c r="I14" s="308">
        <f t="shared" si="1"/>
        <v>94240.975499999986</v>
      </c>
      <c r="J14" s="309">
        <f t="shared" si="2"/>
        <v>27091.63363903551</v>
      </c>
    </row>
    <row r="15" spans="1:707" x14ac:dyDescent="0.3">
      <c r="A15" s="299" t="s">
        <v>28</v>
      </c>
      <c r="B15" s="305">
        <v>48187.67</v>
      </c>
      <c r="C15" s="305">
        <v>56375.4</v>
      </c>
      <c r="D15" s="305">
        <v>69289.05</v>
      </c>
      <c r="E15" s="306">
        <v>58383.929999999993</v>
      </c>
      <c r="G15" s="307">
        <f t="shared" si="0"/>
        <v>232236.05</v>
      </c>
      <c r="I15" s="308">
        <f t="shared" si="1"/>
        <v>243847.85250000001</v>
      </c>
      <c r="J15" s="309">
        <f t="shared" si="2"/>
        <v>70099.408973070007</v>
      </c>
    </row>
    <row r="16" spans="1:707" x14ac:dyDescent="0.3">
      <c r="A16" s="299" t="s">
        <v>30</v>
      </c>
      <c r="B16" s="305">
        <v>14677.86</v>
      </c>
      <c r="C16" s="305">
        <v>16565.940000000002</v>
      </c>
      <c r="D16" s="305">
        <v>13890.18</v>
      </c>
      <c r="E16" s="306">
        <v>0</v>
      </c>
      <c r="G16" s="307">
        <f t="shared" si="0"/>
        <v>45133.98</v>
      </c>
      <c r="I16" s="308">
        <f t="shared" si="1"/>
        <v>47390.679000000004</v>
      </c>
      <c r="J16" s="309">
        <f t="shared" si="2"/>
        <v>13623.489215401149</v>
      </c>
      <c r="AAE16" s="310">
        <v>1</v>
      </c>
    </row>
    <row r="17" spans="1:10" x14ac:dyDescent="0.3">
      <c r="A17" s="299" t="s">
        <v>32</v>
      </c>
      <c r="B17" s="305">
        <v>17186.86</v>
      </c>
      <c r="C17" s="305">
        <v>16695.55</v>
      </c>
      <c r="D17" s="305">
        <v>11159.06</v>
      </c>
      <c r="E17" s="306">
        <v>16842.690000000002</v>
      </c>
      <c r="G17" s="307">
        <f t="shared" si="0"/>
        <v>61884.160000000003</v>
      </c>
      <c r="I17" s="308">
        <f t="shared" si="1"/>
        <v>64978.368000000009</v>
      </c>
      <c r="J17" s="309">
        <f t="shared" si="2"/>
        <v>18679.455841566803</v>
      </c>
    </row>
    <row r="18" spans="1:10" x14ac:dyDescent="0.3">
      <c r="A18" s="299" t="s">
        <v>34</v>
      </c>
      <c r="B18" s="305">
        <v>7395.79</v>
      </c>
      <c r="C18" s="305">
        <v>8093.49</v>
      </c>
      <c r="D18" s="305">
        <v>10667.810000000001</v>
      </c>
      <c r="E18" s="306">
        <v>12597.470000000001</v>
      </c>
      <c r="G18" s="307">
        <f t="shared" si="0"/>
        <v>38754.559999999998</v>
      </c>
      <c r="I18" s="308">
        <f t="shared" si="1"/>
        <v>40692.288</v>
      </c>
      <c r="J18" s="309">
        <f t="shared" si="2"/>
        <v>11697.889931435622</v>
      </c>
    </row>
    <row r="19" spans="1:10" x14ac:dyDescent="0.3">
      <c r="A19" s="299" t="s">
        <v>36</v>
      </c>
      <c r="B19" s="305">
        <v>150219.28999999998</v>
      </c>
      <c r="C19" s="305">
        <v>149827.04</v>
      </c>
      <c r="D19" s="305">
        <v>177769.15000000002</v>
      </c>
      <c r="E19" s="306">
        <v>165326.45000000001</v>
      </c>
      <c r="G19" s="307">
        <f t="shared" si="0"/>
        <v>643141.92999999993</v>
      </c>
      <c r="I19" s="308">
        <f t="shared" si="1"/>
        <v>675299.02649999992</v>
      </c>
      <c r="J19" s="309">
        <f t="shared" si="2"/>
        <v>194129.50391982446</v>
      </c>
    </row>
    <row r="20" spans="1:10" x14ac:dyDescent="0.3">
      <c r="A20" s="299" t="s">
        <v>41</v>
      </c>
      <c r="B20" s="305">
        <v>91756.92</v>
      </c>
      <c r="C20" s="305">
        <v>81735.49000000002</v>
      </c>
      <c r="D20" s="305">
        <v>80483.27</v>
      </c>
      <c r="E20" s="306">
        <v>72610.289999999994</v>
      </c>
      <c r="G20" s="307">
        <f t="shared" si="0"/>
        <v>326585.97000000003</v>
      </c>
      <c r="I20" s="308">
        <f t="shared" si="1"/>
        <v>342915.26850000006</v>
      </c>
      <c r="J20" s="309">
        <f t="shared" si="2"/>
        <v>98578.508702231091</v>
      </c>
    </row>
    <row r="21" spans="1:10" x14ac:dyDescent="0.3">
      <c r="A21" s="299" t="s">
        <v>43</v>
      </c>
      <c r="B21" s="305">
        <v>25869.97</v>
      </c>
      <c r="C21" s="305">
        <v>25313.809999999998</v>
      </c>
      <c r="D21" s="305">
        <v>25189.32</v>
      </c>
      <c r="E21" s="306">
        <v>24198.65</v>
      </c>
      <c r="G21" s="307">
        <f t="shared" si="0"/>
        <v>100571.75</v>
      </c>
      <c r="I21" s="308">
        <f t="shared" si="1"/>
        <v>105600.33750000001</v>
      </c>
      <c r="J21" s="309">
        <f t="shared" si="2"/>
        <v>30357.131179191834</v>
      </c>
    </row>
    <row r="22" spans="1:10" x14ac:dyDescent="0.3">
      <c r="A22" s="299" t="s">
        <v>45</v>
      </c>
      <c r="B22" s="305">
        <v>3199.9199999999996</v>
      </c>
      <c r="C22" s="305">
        <v>4240.09</v>
      </c>
      <c r="D22" s="305">
        <v>8992.41</v>
      </c>
      <c r="E22" s="306">
        <v>3813.1000000000004</v>
      </c>
      <c r="G22" s="307">
        <f t="shared" si="0"/>
        <v>20245.519999999997</v>
      </c>
      <c r="I22" s="308">
        <f t="shared" si="1"/>
        <v>21257.795999999998</v>
      </c>
      <c r="J22" s="309">
        <f t="shared" si="2"/>
        <v>6111.019311396607</v>
      </c>
    </row>
    <row r="23" spans="1:10" x14ac:dyDescent="0.3">
      <c r="A23" s="299" t="s">
        <v>47</v>
      </c>
      <c r="B23" s="305">
        <v>13357.779999999999</v>
      </c>
      <c r="C23" s="305">
        <v>10332.5</v>
      </c>
      <c r="D23" s="305">
        <v>12633.77</v>
      </c>
      <c r="E23" s="306">
        <v>14701.1</v>
      </c>
      <c r="G23" s="307">
        <f t="shared" si="0"/>
        <v>51025.15</v>
      </c>
      <c r="I23" s="308">
        <f t="shared" si="1"/>
        <v>53576.407500000001</v>
      </c>
      <c r="J23" s="309">
        <f t="shared" si="2"/>
        <v>15401.712429066214</v>
      </c>
    </row>
    <row r="24" spans="1:10" x14ac:dyDescent="0.3">
      <c r="A24" s="299" t="s">
        <v>49</v>
      </c>
      <c r="B24" s="305">
        <v>3386.46</v>
      </c>
      <c r="C24" s="305">
        <v>1133.81</v>
      </c>
      <c r="D24" s="305">
        <v>1332.88</v>
      </c>
      <c r="E24" s="306">
        <v>3831.0399999999995</v>
      </c>
      <c r="G24" s="307">
        <f t="shared" si="0"/>
        <v>9684.19</v>
      </c>
      <c r="I24" s="308">
        <f t="shared" si="1"/>
        <v>10168.399500000001</v>
      </c>
      <c r="J24" s="309">
        <f t="shared" si="2"/>
        <v>2923.1292703390145</v>
      </c>
    </row>
    <row r="25" spans="1:10" x14ac:dyDescent="0.3">
      <c r="A25" s="299" t="s">
        <v>51</v>
      </c>
      <c r="B25" s="305">
        <v>9101.32</v>
      </c>
      <c r="C25" s="305">
        <v>7106.3</v>
      </c>
      <c r="D25" s="305">
        <v>9257.630000000001</v>
      </c>
      <c r="E25" s="306">
        <v>7205.5599999999995</v>
      </c>
      <c r="G25" s="307">
        <f t="shared" si="0"/>
        <v>32670.809999999998</v>
      </c>
      <c r="I25" s="308">
        <f t="shared" si="1"/>
        <v>34304.3505</v>
      </c>
      <c r="J25" s="309">
        <f t="shared" si="2"/>
        <v>9861.5373094378101</v>
      </c>
    </row>
    <row r="26" spans="1:10" x14ac:dyDescent="0.3">
      <c r="A26" s="299" t="s">
        <v>53</v>
      </c>
      <c r="B26" s="305">
        <v>11134.3</v>
      </c>
      <c r="C26" s="305">
        <v>8352.7199999999993</v>
      </c>
      <c r="D26" s="305">
        <v>8865.35</v>
      </c>
      <c r="E26" s="306">
        <v>6601.49</v>
      </c>
      <c r="G26" s="307">
        <f t="shared" si="0"/>
        <v>34953.859999999993</v>
      </c>
      <c r="I26" s="308">
        <f t="shared" si="1"/>
        <v>36701.552999999993</v>
      </c>
      <c r="J26" s="309">
        <f t="shared" si="2"/>
        <v>10550.665701244196</v>
      </c>
    </row>
    <row r="27" spans="1:10" x14ac:dyDescent="0.3">
      <c r="A27" s="299" t="s">
        <v>55</v>
      </c>
      <c r="B27" s="305">
        <v>2290.35</v>
      </c>
      <c r="C27" s="305">
        <v>3968.83</v>
      </c>
      <c r="D27" s="305">
        <v>3833.64</v>
      </c>
      <c r="E27" s="306">
        <v>3764.31</v>
      </c>
      <c r="G27" s="307">
        <f t="shared" si="0"/>
        <v>13857.13</v>
      </c>
      <c r="I27" s="308">
        <f t="shared" si="1"/>
        <v>14549.986499999999</v>
      </c>
      <c r="J27" s="309">
        <f t="shared" si="2"/>
        <v>4182.7124732055909</v>
      </c>
    </row>
    <row r="28" spans="1:10" x14ac:dyDescent="0.3">
      <c r="A28" s="299" t="s">
        <v>57</v>
      </c>
      <c r="B28" s="305">
        <v>13039.38</v>
      </c>
      <c r="C28" s="305">
        <v>11421.59</v>
      </c>
      <c r="D28" s="305">
        <v>12430.640000000001</v>
      </c>
      <c r="E28" s="306">
        <v>8564.76</v>
      </c>
      <c r="G28" s="307">
        <f t="shared" si="0"/>
        <v>45456.37</v>
      </c>
      <c r="I28" s="308">
        <f t="shared" si="1"/>
        <v>47729.188500000004</v>
      </c>
      <c r="J28" s="309">
        <f t="shared" si="2"/>
        <v>13720.801189398417</v>
      </c>
    </row>
    <row r="29" spans="1:10" x14ac:dyDescent="0.3">
      <c r="A29" s="299" t="s">
        <v>59</v>
      </c>
      <c r="B29" s="305">
        <v>15588.04</v>
      </c>
      <c r="C29" s="305">
        <v>12987.63</v>
      </c>
      <c r="D29" s="305">
        <v>12895.229999999998</v>
      </c>
      <c r="E29" s="306">
        <v>14505.56</v>
      </c>
      <c r="G29" s="307">
        <f t="shared" si="0"/>
        <v>55976.459999999992</v>
      </c>
      <c r="I29" s="308">
        <f t="shared" si="1"/>
        <v>58775.282999999996</v>
      </c>
      <c r="J29" s="309">
        <f t="shared" si="2"/>
        <v>16896.24312161998</v>
      </c>
    </row>
    <row r="30" spans="1:10" x14ac:dyDescent="0.3">
      <c r="A30" s="299" t="s">
        <v>61</v>
      </c>
      <c r="B30" s="305">
        <v>42310</v>
      </c>
      <c r="C30" s="305">
        <v>30164.639999999999</v>
      </c>
      <c r="D30" s="305">
        <v>44769.22</v>
      </c>
      <c r="E30" s="306">
        <v>45830.829999999994</v>
      </c>
      <c r="G30" s="307">
        <f t="shared" si="0"/>
        <v>163074.69</v>
      </c>
      <c r="I30" s="308">
        <f t="shared" si="1"/>
        <v>171228.42450000002</v>
      </c>
      <c r="J30" s="309">
        <f t="shared" si="2"/>
        <v>49223.362985490887</v>
      </c>
    </row>
    <row r="31" spans="1:10" x14ac:dyDescent="0.3">
      <c r="A31" s="299" t="s">
        <v>63</v>
      </c>
      <c r="B31" s="305">
        <v>25882.739999999998</v>
      </c>
      <c r="C31" s="305">
        <v>23749.14</v>
      </c>
      <c r="D31" s="305">
        <v>23013.18</v>
      </c>
      <c r="E31" s="306">
        <v>36129.240000000005</v>
      </c>
      <c r="G31" s="307">
        <f t="shared" si="0"/>
        <v>108774.3</v>
      </c>
      <c r="I31" s="308">
        <f t="shared" si="1"/>
        <v>114213.01500000001</v>
      </c>
      <c r="J31" s="309">
        <f t="shared" si="2"/>
        <v>32833.034067964079</v>
      </c>
    </row>
    <row r="32" spans="1:10" x14ac:dyDescent="0.3">
      <c r="A32" s="299" t="s">
        <v>65</v>
      </c>
      <c r="B32" s="305">
        <v>146897.38</v>
      </c>
      <c r="C32" s="305">
        <v>125984.34</v>
      </c>
      <c r="D32" s="305">
        <v>153832.85</v>
      </c>
      <c r="E32" s="306">
        <v>146447.1</v>
      </c>
      <c r="G32" s="307">
        <f t="shared" si="0"/>
        <v>573161.66999999993</v>
      </c>
      <c r="I32" s="308">
        <f t="shared" si="1"/>
        <v>601819.75349999999</v>
      </c>
      <c r="J32" s="309">
        <f t="shared" si="2"/>
        <v>173006.27664403431</v>
      </c>
    </row>
    <row r="33" spans="1:10" x14ac:dyDescent="0.3">
      <c r="A33" s="299" t="s">
        <v>67</v>
      </c>
      <c r="B33" s="305">
        <v>8525.4499999999989</v>
      </c>
      <c r="C33" s="305">
        <v>2955.81</v>
      </c>
      <c r="D33" s="305">
        <v>5557.06</v>
      </c>
      <c r="E33" s="306">
        <v>5449.43</v>
      </c>
      <c r="G33" s="307">
        <f t="shared" si="0"/>
        <v>22487.75</v>
      </c>
      <c r="I33" s="308">
        <f t="shared" si="1"/>
        <v>23612.137500000001</v>
      </c>
      <c r="J33" s="309">
        <f t="shared" si="2"/>
        <v>6787.8263694812022</v>
      </c>
    </row>
    <row r="34" spans="1:10" x14ac:dyDescent="0.3">
      <c r="A34" s="299" t="s">
        <v>69</v>
      </c>
      <c r="B34" s="305">
        <v>56157.510000000009</v>
      </c>
      <c r="C34" s="305">
        <v>35928.26</v>
      </c>
      <c r="D34" s="305">
        <v>36234.17</v>
      </c>
      <c r="E34" s="306">
        <v>45825.909999999996</v>
      </c>
      <c r="G34" s="307">
        <f t="shared" si="0"/>
        <v>174145.85</v>
      </c>
      <c r="I34" s="308">
        <f t="shared" si="1"/>
        <v>182853.14250000002</v>
      </c>
      <c r="J34" s="309">
        <f t="shared" si="2"/>
        <v>52565.142922956635</v>
      </c>
    </row>
    <row r="35" spans="1:10" x14ac:dyDescent="0.3">
      <c r="A35" s="299" t="s">
        <v>71</v>
      </c>
      <c r="B35" s="305">
        <v>7528.38</v>
      </c>
      <c r="C35" s="305">
        <v>6348.07</v>
      </c>
      <c r="D35" s="305">
        <v>8820.73</v>
      </c>
      <c r="E35" s="306">
        <v>8803.89</v>
      </c>
      <c r="G35" s="307">
        <f t="shared" si="0"/>
        <v>31501.07</v>
      </c>
      <c r="I35" s="308">
        <f t="shared" si="1"/>
        <v>33076.123500000002</v>
      </c>
      <c r="J35" s="309">
        <f t="shared" si="2"/>
        <v>9508.4565424674856</v>
      </c>
    </row>
    <row r="36" spans="1:10" x14ac:dyDescent="0.3">
      <c r="A36" s="299" t="s">
        <v>73</v>
      </c>
      <c r="B36" s="305">
        <v>0</v>
      </c>
      <c r="C36" s="305">
        <v>0</v>
      </c>
      <c r="D36" s="305">
        <v>9500</v>
      </c>
      <c r="E36" s="306">
        <v>6356.6</v>
      </c>
      <c r="G36" s="307">
        <f t="shared" si="0"/>
        <v>15856.6</v>
      </c>
      <c r="I36" s="308">
        <f t="shared" si="1"/>
        <v>16649.43</v>
      </c>
      <c r="J36" s="309">
        <f t="shared" si="2"/>
        <v>4786.2435152612261</v>
      </c>
    </row>
    <row r="37" spans="1:10" x14ac:dyDescent="0.3">
      <c r="A37" s="299" t="s">
        <v>75</v>
      </c>
      <c r="B37" s="305">
        <v>1067.67</v>
      </c>
      <c r="C37" s="305">
        <v>462.32</v>
      </c>
      <c r="D37" s="305">
        <v>714.93000000000006</v>
      </c>
      <c r="E37" s="306">
        <v>3985.4300000000003</v>
      </c>
      <c r="G37" s="307">
        <f t="shared" si="0"/>
        <v>6230.35</v>
      </c>
      <c r="I37" s="308">
        <f t="shared" si="1"/>
        <v>6541.8675000000003</v>
      </c>
      <c r="J37" s="309">
        <f t="shared" si="2"/>
        <v>1880.6031737767098</v>
      </c>
    </row>
    <row r="38" spans="1:10" x14ac:dyDescent="0.3">
      <c r="A38" s="299" t="s">
        <v>77</v>
      </c>
      <c r="B38" s="305">
        <v>75731.759999999995</v>
      </c>
      <c r="C38" s="305">
        <v>65960.42</v>
      </c>
      <c r="D38" s="305">
        <v>59001.539999999994</v>
      </c>
      <c r="E38" s="306">
        <v>73959.360000000001</v>
      </c>
      <c r="G38" s="307">
        <f t="shared" si="0"/>
        <v>274653.07999999996</v>
      </c>
      <c r="I38" s="308">
        <f t="shared" si="1"/>
        <v>288385.734</v>
      </c>
      <c r="J38" s="309">
        <f t="shared" si="2"/>
        <v>82902.799029837581</v>
      </c>
    </row>
    <row r="39" spans="1:10" x14ac:dyDescent="0.3">
      <c r="A39" s="299" t="s">
        <v>79</v>
      </c>
      <c r="B39" s="305">
        <v>99822.98000000001</v>
      </c>
      <c r="C39" s="305">
        <v>76985.81</v>
      </c>
      <c r="D39" s="305">
        <v>65455.490000000005</v>
      </c>
      <c r="E39" s="306">
        <v>67238.94</v>
      </c>
      <c r="G39" s="307">
        <f t="shared" si="0"/>
        <v>309503.22000000003</v>
      </c>
      <c r="I39" s="308">
        <f t="shared" si="1"/>
        <v>324978.38100000005</v>
      </c>
      <c r="J39" s="309">
        <f t="shared" si="2"/>
        <v>93422.157314775468</v>
      </c>
    </row>
    <row r="40" spans="1:10" x14ac:dyDescent="0.3">
      <c r="A40" s="299" t="s">
        <v>81</v>
      </c>
      <c r="B40" s="305">
        <v>71117.31</v>
      </c>
      <c r="C40" s="305">
        <v>71402.12</v>
      </c>
      <c r="D40" s="305">
        <v>104774.92000000001</v>
      </c>
      <c r="E40" s="306">
        <v>59651.32</v>
      </c>
      <c r="G40" s="307">
        <f t="shared" si="0"/>
        <v>306945.67</v>
      </c>
      <c r="I40" s="308">
        <f t="shared" si="1"/>
        <v>322292.9535</v>
      </c>
      <c r="J40" s="309">
        <f t="shared" si="2"/>
        <v>92650.172330449917</v>
      </c>
    </row>
    <row r="41" spans="1:10" x14ac:dyDescent="0.3">
      <c r="A41" s="299" t="s">
        <v>83</v>
      </c>
      <c r="B41" s="305">
        <v>18470.520000000004</v>
      </c>
      <c r="C41" s="305">
        <v>18631.780000000002</v>
      </c>
      <c r="D41" s="305">
        <v>23171.56</v>
      </c>
      <c r="E41" s="306">
        <v>16618.080000000002</v>
      </c>
      <c r="G41" s="307">
        <f t="shared" si="0"/>
        <v>76891.94</v>
      </c>
      <c r="I41" s="308">
        <f t="shared" si="1"/>
        <v>80736.537000000011</v>
      </c>
      <c r="J41" s="309">
        <f t="shared" si="2"/>
        <v>23209.486850955142</v>
      </c>
    </row>
    <row r="42" spans="1:10" x14ac:dyDescent="0.3">
      <c r="A42" s="299" t="s">
        <v>85</v>
      </c>
      <c r="B42" s="305">
        <v>3485.96</v>
      </c>
      <c r="C42" s="305">
        <v>4685.2700000000004</v>
      </c>
      <c r="D42" s="305">
        <v>4643.8100000000004</v>
      </c>
      <c r="E42" s="306">
        <v>4108.37</v>
      </c>
      <c r="G42" s="307">
        <f t="shared" si="0"/>
        <v>16923.41</v>
      </c>
      <c r="I42" s="308">
        <f t="shared" si="1"/>
        <v>17769.5805</v>
      </c>
      <c r="J42" s="309">
        <f t="shared" si="2"/>
        <v>5108.2553238781938</v>
      </c>
    </row>
    <row r="43" spans="1:10" x14ac:dyDescent="0.3">
      <c r="A43" s="299" t="s">
        <v>87</v>
      </c>
      <c r="B43" s="305">
        <v>4138.01</v>
      </c>
      <c r="C43" s="305">
        <v>5100.0099999999993</v>
      </c>
      <c r="D43" s="305">
        <v>5575.04</v>
      </c>
      <c r="E43" s="306">
        <v>3974.3500000000004</v>
      </c>
      <c r="G43" s="307">
        <f t="shared" si="0"/>
        <v>18787.410000000003</v>
      </c>
      <c r="I43" s="308">
        <f t="shared" si="1"/>
        <v>19726.780500000004</v>
      </c>
      <c r="J43" s="309">
        <f t="shared" si="2"/>
        <v>5670.8953546822095</v>
      </c>
    </row>
    <row r="44" spans="1:10" x14ac:dyDescent="0.3">
      <c r="A44" s="299" t="s">
        <v>89</v>
      </c>
      <c r="B44" s="305">
        <v>50531.199999999997</v>
      </c>
      <c r="C44" s="305">
        <v>35887.129999999997</v>
      </c>
      <c r="D44" s="305">
        <v>42829.14</v>
      </c>
      <c r="E44" s="306">
        <v>33327.730000000003</v>
      </c>
      <c r="G44" s="307">
        <f t="shared" si="0"/>
        <v>162575.19999999998</v>
      </c>
      <c r="I44" s="308">
        <f t="shared" si="1"/>
        <v>170703.96</v>
      </c>
      <c r="J44" s="309">
        <f t="shared" si="2"/>
        <v>49072.594171657023</v>
      </c>
    </row>
    <row r="45" spans="1:10" x14ac:dyDescent="0.3">
      <c r="A45" s="299" t="s">
        <v>91</v>
      </c>
      <c r="B45" s="305">
        <v>91037.02</v>
      </c>
      <c r="C45" s="305">
        <v>56903.989999999991</v>
      </c>
      <c r="D45" s="305">
        <v>58769.43</v>
      </c>
      <c r="E45" s="306">
        <v>54384.25</v>
      </c>
      <c r="G45" s="307">
        <f t="shared" si="0"/>
        <v>261094.69</v>
      </c>
      <c r="I45" s="308">
        <f t="shared" si="1"/>
        <v>274149.42450000002</v>
      </c>
      <c r="J45" s="309">
        <f t="shared" si="2"/>
        <v>78810.259884315674</v>
      </c>
    </row>
    <row r="46" spans="1:10" x14ac:dyDescent="0.3">
      <c r="A46" s="299" t="s">
        <v>93</v>
      </c>
      <c r="B46" s="305">
        <v>52120.29</v>
      </c>
      <c r="C46" s="305">
        <v>41969.569999999992</v>
      </c>
      <c r="D46" s="305">
        <v>57220.649999999994</v>
      </c>
      <c r="E46" s="306">
        <v>58483.86</v>
      </c>
      <c r="G46" s="307">
        <f t="shared" si="0"/>
        <v>209794.37</v>
      </c>
      <c r="I46" s="308">
        <f t="shared" si="1"/>
        <v>220284.08850000001</v>
      </c>
      <c r="J46" s="309">
        <f t="shared" si="2"/>
        <v>63325.488626238555</v>
      </c>
    </row>
    <row r="47" spans="1:10" x14ac:dyDescent="0.3">
      <c r="A47" s="299" t="s">
        <v>95</v>
      </c>
      <c r="B47" s="305">
        <v>578522.18000000005</v>
      </c>
      <c r="C47" s="305">
        <v>467272.98</v>
      </c>
      <c r="D47" s="305">
        <v>437426.74</v>
      </c>
      <c r="E47" s="306">
        <v>573493.36</v>
      </c>
      <c r="G47" s="307">
        <f t="shared" si="0"/>
        <v>2056715.2599999998</v>
      </c>
      <c r="I47" s="308">
        <f t="shared" si="1"/>
        <v>2159551.023</v>
      </c>
      <c r="J47" s="309">
        <f t="shared" si="2"/>
        <v>620810.26676045347</v>
      </c>
    </row>
    <row r="48" spans="1:10" x14ac:dyDescent="0.3">
      <c r="A48" s="299" t="s">
        <v>97</v>
      </c>
      <c r="B48" s="305">
        <v>134728.81</v>
      </c>
      <c r="C48" s="305">
        <v>32866.47</v>
      </c>
      <c r="D48" s="305">
        <v>54466</v>
      </c>
      <c r="E48" s="306">
        <v>57809.05</v>
      </c>
      <c r="G48" s="307">
        <f t="shared" si="0"/>
        <v>279870.33</v>
      </c>
      <c r="I48" s="308">
        <f t="shared" si="1"/>
        <v>293863.84650000004</v>
      </c>
      <c r="J48" s="309">
        <f t="shared" si="2"/>
        <v>84477.602517344159</v>
      </c>
    </row>
    <row r="49" spans="1:10" x14ac:dyDescent="0.3">
      <c r="A49" s="299" t="s">
        <v>99</v>
      </c>
      <c r="B49" s="305">
        <v>21221.13</v>
      </c>
      <c r="C49" s="305">
        <v>18660.91</v>
      </c>
      <c r="D49" s="305">
        <v>18135.600000000002</v>
      </c>
      <c r="E49" s="306">
        <v>30432.81</v>
      </c>
      <c r="G49" s="307">
        <f t="shared" si="0"/>
        <v>88450.45</v>
      </c>
      <c r="I49" s="308">
        <f t="shared" si="1"/>
        <v>92872.972500000003</v>
      </c>
      <c r="J49" s="309">
        <f t="shared" si="2"/>
        <v>26698.371197762273</v>
      </c>
    </row>
    <row r="50" spans="1:10" x14ac:dyDescent="0.3">
      <c r="A50" s="299" t="s">
        <v>101</v>
      </c>
      <c r="B50" s="305">
        <v>25078.390000000003</v>
      </c>
      <c r="C50" s="305">
        <v>43136.800000000003</v>
      </c>
      <c r="D50" s="305">
        <v>23044.32</v>
      </c>
      <c r="E50" s="306">
        <v>47323.61</v>
      </c>
      <c r="G50" s="307">
        <f t="shared" si="0"/>
        <v>138583.12</v>
      </c>
      <c r="I50" s="308">
        <f t="shared" si="1"/>
        <v>145512.27600000001</v>
      </c>
      <c r="J50" s="309">
        <f t="shared" si="2"/>
        <v>41830.692545985155</v>
      </c>
    </row>
    <row r="51" spans="1:10" x14ac:dyDescent="0.3">
      <c r="A51" s="299" t="s">
        <v>103</v>
      </c>
      <c r="B51" s="305">
        <v>30203.11</v>
      </c>
      <c r="C51" s="305">
        <v>24506.76</v>
      </c>
      <c r="D51" s="305">
        <v>25828.23</v>
      </c>
      <c r="E51" s="306">
        <v>32052.879999999997</v>
      </c>
      <c r="G51" s="307">
        <f t="shared" si="0"/>
        <v>112590.97999999998</v>
      </c>
      <c r="I51" s="308">
        <f t="shared" si="1"/>
        <v>118220.52899999998</v>
      </c>
      <c r="J51" s="309">
        <f t="shared" si="2"/>
        <v>33985.0817894067</v>
      </c>
    </row>
    <row r="52" spans="1:10" x14ac:dyDescent="0.3">
      <c r="A52" s="299" t="s">
        <v>105</v>
      </c>
      <c r="B52" s="305">
        <v>173574.12999999998</v>
      </c>
      <c r="C52" s="305">
        <v>174017.11</v>
      </c>
      <c r="D52" s="305">
        <v>186339.5</v>
      </c>
      <c r="E52" s="306">
        <v>180334.68</v>
      </c>
      <c r="G52" s="307">
        <f t="shared" si="0"/>
        <v>714265.41999999993</v>
      </c>
      <c r="I52" s="308">
        <f t="shared" si="1"/>
        <v>749978.69099999999</v>
      </c>
      <c r="J52" s="309">
        <f t="shared" si="2"/>
        <v>215597.81003811257</v>
      </c>
    </row>
    <row r="53" spans="1:10" x14ac:dyDescent="0.3">
      <c r="A53" s="299" t="s">
        <v>107</v>
      </c>
      <c r="B53" s="305">
        <v>115773.98</v>
      </c>
      <c r="C53" s="305">
        <v>72029.47</v>
      </c>
      <c r="D53" s="305">
        <v>99703.959999999992</v>
      </c>
      <c r="E53" s="306">
        <v>108489.38999999998</v>
      </c>
      <c r="G53" s="307">
        <f t="shared" si="0"/>
        <v>395996.80000000005</v>
      </c>
      <c r="I53" s="308">
        <f t="shared" si="1"/>
        <v>415796.64000000007</v>
      </c>
      <c r="J53" s="309">
        <f t="shared" si="2"/>
        <v>119529.85608921187</v>
      </c>
    </row>
    <row r="54" spans="1:10" x14ac:dyDescent="0.3">
      <c r="A54" s="299" t="s">
        <v>109</v>
      </c>
      <c r="B54" s="305">
        <v>277376.73</v>
      </c>
      <c r="C54" s="305">
        <v>212696.43</v>
      </c>
      <c r="D54" s="305">
        <v>198947.81</v>
      </c>
      <c r="E54" s="306">
        <v>227568.89</v>
      </c>
      <c r="G54" s="307">
        <f t="shared" si="0"/>
        <v>916589.86</v>
      </c>
      <c r="I54" s="308">
        <f t="shared" si="1"/>
        <v>962419.353</v>
      </c>
      <c r="J54" s="309">
        <f t="shared" si="2"/>
        <v>276668.53383317951</v>
      </c>
    </row>
    <row r="55" spans="1:10" x14ac:dyDescent="0.3">
      <c r="A55" s="299" t="s">
        <v>111</v>
      </c>
      <c r="B55" s="305">
        <v>107067.84</v>
      </c>
      <c r="C55" s="305">
        <v>94530.79</v>
      </c>
      <c r="D55" s="305">
        <v>87796.85</v>
      </c>
      <c r="E55" s="306">
        <v>81456.22</v>
      </c>
      <c r="G55" s="307">
        <f t="shared" si="0"/>
        <v>370851.69999999995</v>
      </c>
      <c r="I55" s="308">
        <f t="shared" si="1"/>
        <v>389394.28499999997</v>
      </c>
      <c r="J55" s="309">
        <f t="shared" si="2"/>
        <v>111939.9205534983</v>
      </c>
    </row>
    <row r="56" spans="1:10" x14ac:dyDescent="0.3">
      <c r="A56" s="299" t="s">
        <v>113</v>
      </c>
      <c r="B56" s="305">
        <v>207767.07</v>
      </c>
      <c r="C56" s="305">
        <v>173126.37999999998</v>
      </c>
      <c r="D56" s="305">
        <v>208215.59</v>
      </c>
      <c r="E56" s="306">
        <v>190937.08000000002</v>
      </c>
      <c r="G56" s="307">
        <f t="shared" si="0"/>
        <v>780046.11999999988</v>
      </c>
      <c r="I56" s="308">
        <f t="shared" si="1"/>
        <v>819048.42599999986</v>
      </c>
      <c r="J56" s="309">
        <f t="shared" si="2"/>
        <v>235453.41898355758</v>
      </c>
    </row>
    <row r="57" spans="1:10" x14ac:dyDescent="0.3">
      <c r="A57" s="299" t="s">
        <v>115</v>
      </c>
      <c r="B57" s="305">
        <v>163000.19999999998</v>
      </c>
      <c r="C57" s="305">
        <v>130316.24</v>
      </c>
      <c r="D57" s="305">
        <v>181772.9</v>
      </c>
      <c r="E57" s="306">
        <v>199470.56</v>
      </c>
      <c r="G57" s="307">
        <f t="shared" si="0"/>
        <v>674559.89999999991</v>
      </c>
      <c r="I57" s="308">
        <f t="shared" si="1"/>
        <v>708287.8949999999</v>
      </c>
      <c r="J57" s="309">
        <f t="shared" si="2"/>
        <v>203612.87710040365</v>
      </c>
    </row>
    <row r="58" spans="1:10" x14ac:dyDescent="0.3">
      <c r="A58" s="299" t="s">
        <v>117</v>
      </c>
      <c r="B58" s="305">
        <v>25765.16</v>
      </c>
      <c r="C58" s="305">
        <v>28420.05</v>
      </c>
      <c r="D58" s="305">
        <v>31137.039999999997</v>
      </c>
      <c r="E58" s="306">
        <v>29304.300000000003</v>
      </c>
      <c r="G58" s="307">
        <f t="shared" si="0"/>
        <v>114626.55</v>
      </c>
      <c r="I58" s="308">
        <f t="shared" si="1"/>
        <v>120357.8775</v>
      </c>
      <c r="J58" s="309">
        <f t="shared" si="2"/>
        <v>34599.509454376515</v>
      </c>
    </row>
    <row r="59" spans="1:10" x14ac:dyDescent="0.3">
      <c r="A59" s="299" t="s">
        <v>123</v>
      </c>
      <c r="B59" s="305">
        <v>65376.54</v>
      </c>
      <c r="C59" s="305">
        <v>58273.43</v>
      </c>
      <c r="D59" s="305">
        <v>58652.6</v>
      </c>
      <c r="E59" s="306">
        <v>64224.87</v>
      </c>
      <c r="G59" s="307">
        <f t="shared" si="0"/>
        <v>246527.44</v>
      </c>
      <c r="I59" s="308">
        <f t="shared" si="1"/>
        <v>258853.81200000001</v>
      </c>
      <c r="J59" s="309">
        <f t="shared" si="2"/>
        <v>74413.200877486408</v>
      </c>
    </row>
    <row r="60" spans="1:10" x14ac:dyDescent="0.3">
      <c r="A60" s="299" t="s">
        <v>125</v>
      </c>
      <c r="B60" s="305">
        <v>151736.74</v>
      </c>
      <c r="C60" s="305">
        <v>97686.98000000001</v>
      </c>
      <c r="D60" s="305">
        <v>106958.5</v>
      </c>
      <c r="E60" s="306">
        <v>117353.98000000001</v>
      </c>
      <c r="G60" s="307">
        <f t="shared" si="0"/>
        <v>473736.19999999995</v>
      </c>
      <c r="I60" s="308">
        <f t="shared" si="1"/>
        <v>497423.00999999995</v>
      </c>
      <c r="J60" s="309">
        <f t="shared" si="2"/>
        <v>142995.14493614613</v>
      </c>
    </row>
    <row r="61" spans="1:10" x14ac:dyDescent="0.3">
      <c r="A61" s="299" t="s">
        <v>127</v>
      </c>
      <c r="B61" s="305">
        <v>59298.97</v>
      </c>
      <c r="C61" s="305">
        <v>62777.420000000006</v>
      </c>
      <c r="D61" s="305">
        <v>55167.640000000007</v>
      </c>
      <c r="E61" s="306">
        <v>64618.54</v>
      </c>
      <c r="G61" s="307">
        <f t="shared" si="0"/>
        <v>241862.57000000004</v>
      </c>
      <c r="I61" s="308">
        <f t="shared" si="1"/>
        <v>253955.69850000006</v>
      </c>
      <c r="J61" s="309">
        <f t="shared" si="2"/>
        <v>73005.130812842253</v>
      </c>
    </row>
    <row r="62" spans="1:10" x14ac:dyDescent="0.3">
      <c r="A62" s="299" t="s">
        <v>232</v>
      </c>
      <c r="B62" s="305">
        <v>29953.9</v>
      </c>
      <c r="C62" s="305">
        <v>27935.97</v>
      </c>
      <c r="D62" s="305">
        <v>26828.47</v>
      </c>
      <c r="E62" s="306">
        <v>28540.68</v>
      </c>
      <c r="G62" s="307">
        <f t="shared" si="0"/>
        <v>113259.01999999999</v>
      </c>
      <c r="I62" s="308">
        <f t="shared" si="1"/>
        <v>118921.97099999999</v>
      </c>
      <c r="J62" s="309">
        <f t="shared" si="2"/>
        <v>34186.726663965885</v>
      </c>
    </row>
    <row r="63" spans="1:10" x14ac:dyDescent="0.3">
      <c r="A63" s="299" t="s">
        <v>233</v>
      </c>
      <c r="B63" s="305">
        <v>85129.77</v>
      </c>
      <c r="C63" s="305">
        <v>67429.87</v>
      </c>
      <c r="D63" s="305">
        <v>87847.43</v>
      </c>
      <c r="E63" s="306">
        <v>102385.75</v>
      </c>
      <c r="G63" s="307">
        <f t="shared" si="0"/>
        <v>342792.82</v>
      </c>
      <c r="I63" s="308">
        <f t="shared" si="1"/>
        <v>359932.46100000001</v>
      </c>
      <c r="J63" s="309">
        <f t="shared" si="2"/>
        <v>103470.47360740062</v>
      </c>
    </row>
    <row r="64" spans="1:10" x14ac:dyDescent="0.3">
      <c r="A64" s="299" t="s">
        <v>129</v>
      </c>
      <c r="B64" s="305">
        <v>27933.85</v>
      </c>
      <c r="C64" s="305">
        <v>31040.510000000002</v>
      </c>
      <c r="D64" s="305">
        <v>35291.440000000002</v>
      </c>
      <c r="E64" s="306">
        <v>41483.159999999996</v>
      </c>
      <c r="G64" s="307">
        <f t="shared" si="0"/>
        <v>135748.96</v>
      </c>
      <c r="I64" s="308">
        <f t="shared" si="1"/>
        <v>142536.408</v>
      </c>
      <c r="J64" s="309">
        <f t="shared" si="2"/>
        <v>40975.214075114178</v>
      </c>
    </row>
    <row r="65" spans="1:15" x14ac:dyDescent="0.3">
      <c r="A65" s="299" t="s">
        <v>131</v>
      </c>
      <c r="B65" s="305">
        <v>7730.73</v>
      </c>
      <c r="C65" s="305">
        <v>8409.25</v>
      </c>
      <c r="D65" s="305">
        <v>9462.25</v>
      </c>
      <c r="E65" s="306">
        <v>12431.25</v>
      </c>
      <c r="G65" s="307">
        <f t="shared" si="0"/>
        <v>38033.479999999996</v>
      </c>
      <c r="I65" s="308">
        <f t="shared" si="1"/>
        <v>39935.153999999995</v>
      </c>
      <c r="J65" s="309">
        <f t="shared" si="2"/>
        <v>11480.235171021373</v>
      </c>
    </row>
    <row r="66" spans="1:15" x14ac:dyDescent="0.3">
      <c r="A66" s="299" t="s">
        <v>133</v>
      </c>
      <c r="B66" s="305">
        <v>3622.77</v>
      </c>
      <c r="C66" s="305">
        <v>2816.73</v>
      </c>
      <c r="D66" s="305">
        <v>3556.46</v>
      </c>
      <c r="E66" s="306">
        <v>4173.0200000000004</v>
      </c>
      <c r="G66" s="307">
        <f t="shared" si="0"/>
        <v>14168.98</v>
      </c>
      <c r="I66" s="308">
        <f t="shared" si="1"/>
        <v>14877.429</v>
      </c>
      <c r="J66" s="309">
        <f t="shared" si="2"/>
        <v>4276.8429955265319</v>
      </c>
    </row>
    <row r="67" spans="1:15" x14ac:dyDescent="0.3">
      <c r="A67" s="299" t="s">
        <v>135</v>
      </c>
      <c r="B67" s="305">
        <v>0</v>
      </c>
      <c r="C67" s="305">
        <v>0</v>
      </c>
      <c r="D67" s="305">
        <v>0</v>
      </c>
      <c r="E67" s="306">
        <v>13258.02</v>
      </c>
      <c r="G67" s="307">
        <f t="shared" si="0"/>
        <v>13258.02</v>
      </c>
      <c r="I67" s="308">
        <f t="shared" si="1"/>
        <v>13920.921</v>
      </c>
      <c r="J67" s="309">
        <f t="shared" si="2"/>
        <v>4001.8738096567758</v>
      </c>
    </row>
    <row r="68" spans="1:15" x14ac:dyDescent="0.3">
      <c r="A68" s="299" t="s">
        <v>137</v>
      </c>
      <c r="B68" s="305">
        <v>65881.159999999989</v>
      </c>
      <c r="C68" s="305">
        <v>65170.450000000004</v>
      </c>
      <c r="D68" s="305">
        <v>84535.959999999992</v>
      </c>
      <c r="E68" s="306">
        <v>72971.720000000016</v>
      </c>
      <c r="G68" s="307">
        <f t="shared" si="0"/>
        <v>288559.28999999998</v>
      </c>
      <c r="I68" s="308">
        <f t="shared" si="1"/>
        <v>302987.25449999998</v>
      </c>
      <c r="J68" s="309">
        <f t="shared" si="2"/>
        <v>87100.326080678278</v>
      </c>
    </row>
    <row r="69" spans="1:15" x14ac:dyDescent="0.3">
      <c r="A69" s="299" t="s">
        <v>139</v>
      </c>
      <c r="B69" s="305">
        <v>9945.39</v>
      </c>
      <c r="C69" s="305">
        <v>10555.96</v>
      </c>
      <c r="D69" s="305">
        <v>9834.01</v>
      </c>
      <c r="E69" s="306">
        <v>11915.27</v>
      </c>
      <c r="G69" s="307">
        <f t="shared" si="0"/>
        <v>42250.630000000005</v>
      </c>
      <c r="I69" s="308">
        <f t="shared" si="1"/>
        <v>44363.161500000009</v>
      </c>
      <c r="J69" s="309">
        <f t="shared" si="2"/>
        <v>12753.162963888944</v>
      </c>
    </row>
    <row r="70" spans="1:15" x14ac:dyDescent="0.3">
      <c r="A70" s="299" t="s">
        <v>141</v>
      </c>
      <c r="B70" s="305">
        <v>19029.939999999999</v>
      </c>
      <c r="C70" s="305">
        <v>17322.010000000002</v>
      </c>
      <c r="D70" s="305">
        <v>15111.470000000001</v>
      </c>
      <c r="E70" s="306">
        <v>15741.380000000001</v>
      </c>
      <c r="G70" s="307">
        <f t="shared" ref="G70:G71" si="3">SUM(B70:E70)</f>
        <v>67204.800000000003</v>
      </c>
      <c r="I70" s="308">
        <f t="shared" ref="I70:I71" si="4">G70*1.05</f>
        <v>70565.040000000008</v>
      </c>
      <c r="J70" s="309">
        <f t="shared" ref="J70:J71" si="5">I70/$I$73*$J$73</f>
        <v>20285.467136361363</v>
      </c>
    </row>
    <row r="71" spans="1:15" ht="17.25" thickBot="1" x14ac:dyDescent="0.35">
      <c r="A71" s="299" t="s">
        <v>143</v>
      </c>
      <c r="B71" s="311">
        <v>12453.51</v>
      </c>
      <c r="C71" s="311">
        <v>10509.53</v>
      </c>
      <c r="D71" s="311">
        <v>11863</v>
      </c>
      <c r="E71" s="312">
        <v>11156.21</v>
      </c>
      <c r="G71" s="313">
        <f t="shared" si="3"/>
        <v>45982.25</v>
      </c>
      <c r="I71" s="314">
        <f t="shared" si="4"/>
        <v>48281.362500000003</v>
      </c>
      <c r="J71" s="315">
        <f t="shared" si="5"/>
        <v>13879.535706243487</v>
      </c>
    </row>
    <row r="72" spans="1:15" ht="17.25" thickBot="1" x14ac:dyDescent="0.35">
      <c r="B72" s="316"/>
      <c r="C72" s="316"/>
      <c r="D72" s="316"/>
      <c r="E72" s="316"/>
    </row>
    <row r="73" spans="1:15" ht="17.25" thickBot="1" x14ac:dyDescent="0.35">
      <c r="A73" s="317" t="s">
        <v>234</v>
      </c>
      <c r="B73" s="318">
        <f>SUM(B5:B71)</f>
        <v>4224329.6999999993</v>
      </c>
      <c r="C73" s="318">
        <f>SUM(C5:C71)</f>
        <v>3498786.11</v>
      </c>
      <c r="D73" s="318">
        <f>SUM(D5:D72)</f>
        <v>3892168.4099999997</v>
      </c>
      <c r="E73" s="319">
        <f>SUM(E5:E72)</f>
        <v>4023197.0800000015</v>
      </c>
      <c r="G73" s="319">
        <f>SUM(G5:G72)</f>
        <v>15638481.299999999</v>
      </c>
      <c r="I73" s="320">
        <f>SUM(I5:I72)</f>
        <v>16420405.364999995</v>
      </c>
      <c r="J73" s="320">
        <f>I73-11700000</f>
        <v>4720405.3649999946</v>
      </c>
      <c r="O73" s="321"/>
    </row>
    <row r="74" spans="1:15" x14ac:dyDescent="0.3">
      <c r="A74" s="472"/>
      <c r="B74" s="472"/>
      <c r="C74" s="472"/>
    </row>
    <row r="75" spans="1:15" x14ac:dyDescent="0.3">
      <c r="F75" s="373" t="s">
        <v>267</v>
      </c>
      <c r="G75" s="316">
        <f>G73*1.05</f>
        <v>16420405.365</v>
      </c>
    </row>
    <row r="76" spans="1:15" x14ac:dyDescent="0.3">
      <c r="I76" s="322"/>
    </row>
  </sheetData>
  <mergeCells count="11">
    <mergeCell ref="A74:C74"/>
    <mergeCell ref="A1:G1"/>
    <mergeCell ref="I1:J1"/>
    <mergeCell ref="A3:A4"/>
    <mergeCell ref="B3:B4"/>
    <mergeCell ref="C3:C4"/>
    <mergeCell ref="D3:D4"/>
    <mergeCell ref="E3:E4"/>
    <mergeCell ref="G3:G4"/>
    <mergeCell ref="I3:I4"/>
    <mergeCell ref="J3:J4"/>
  </mergeCells>
  <printOptions horizontalCentered="1"/>
  <pageMargins left="0.45" right="0.45" top="0.6" bottom="0.3" header="0.3" footer="0.3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93BE-7CDE-4AA6-907C-D17DCF1C30A2}">
  <sheetPr>
    <pageSetUpPr fitToPage="1"/>
  </sheetPr>
  <dimension ref="A1:N14"/>
  <sheetViews>
    <sheetView zoomScale="130" zoomScaleNormal="130" workbookViewId="0">
      <pane ySplit="4" topLeftCell="A5" activePane="bottomLeft" state="frozen"/>
      <selection pane="bottomLeft" activeCell="I3" sqref="I3:N3"/>
    </sheetView>
  </sheetViews>
  <sheetFormatPr defaultRowHeight="15.75" outlineLevelRow="1" outlineLevelCol="1" x14ac:dyDescent="0.3"/>
  <cols>
    <col min="1" max="1" width="9.5703125" style="182" customWidth="1"/>
    <col min="2" max="2" width="14.5703125" style="6" customWidth="1"/>
    <col min="3" max="3" width="12.5703125" style="6" customWidth="1"/>
    <col min="4" max="4" width="13" style="229" hidden="1" customWidth="1" outlineLevel="1"/>
    <col min="5" max="5" width="13.28515625" style="6" hidden="1" customWidth="1" outlineLevel="1"/>
    <col min="6" max="6" width="13.5703125" style="6" hidden="1" customWidth="1" outlineLevel="1"/>
    <col min="7" max="7" width="14.85546875" style="6" customWidth="1" outlineLevel="1"/>
    <col min="8" max="8" width="13.28515625" style="6" customWidth="1" outlineLevel="1"/>
    <col min="9" max="9" width="11" style="6" customWidth="1"/>
    <col min="10" max="10" width="11.28515625" style="6" customWidth="1"/>
    <col min="11" max="11" width="12" style="6" customWidth="1"/>
    <col min="12" max="12" width="11.85546875" style="6" customWidth="1"/>
    <col min="13" max="13" width="11.42578125" style="6" customWidth="1"/>
    <col min="14" max="14" width="17" style="6" customWidth="1"/>
    <col min="15" max="16384" width="9.140625" style="6"/>
  </cols>
  <sheetData>
    <row r="1" spans="1:14" ht="42.75" customHeight="1" thickBot="1" x14ac:dyDescent="0.35">
      <c r="A1" s="484" t="s">
        <v>288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6"/>
    </row>
    <row r="3" spans="1:14" ht="51" customHeight="1" thickBot="1" x14ac:dyDescent="0.35">
      <c r="C3" s="183"/>
      <c r="D3" s="487" t="s">
        <v>188</v>
      </c>
      <c r="E3" s="487"/>
      <c r="F3" s="487"/>
      <c r="G3" s="487"/>
      <c r="H3" s="487"/>
      <c r="I3" s="488" t="s">
        <v>189</v>
      </c>
      <c r="J3" s="488"/>
      <c r="K3" s="488"/>
      <c r="L3" s="488"/>
      <c r="M3" s="488"/>
      <c r="N3" s="488"/>
    </row>
    <row r="4" spans="1:14" s="9" customFormat="1" ht="48" thickBot="1" x14ac:dyDescent="0.35">
      <c r="A4" s="184" t="s">
        <v>190</v>
      </c>
      <c r="B4" s="185" t="s">
        <v>0</v>
      </c>
      <c r="C4" s="186" t="s">
        <v>191</v>
      </c>
      <c r="D4" s="187" t="s">
        <v>192</v>
      </c>
      <c r="E4" s="188" t="s">
        <v>193</v>
      </c>
      <c r="F4" s="189" t="s">
        <v>194</v>
      </c>
      <c r="G4" s="190" t="s">
        <v>195</v>
      </c>
      <c r="H4" s="191" t="s">
        <v>196</v>
      </c>
      <c r="I4" s="192" t="s">
        <v>197</v>
      </c>
      <c r="J4" s="193" t="s">
        <v>198</v>
      </c>
      <c r="K4" s="193" t="s">
        <v>199</v>
      </c>
      <c r="L4" s="193" t="s">
        <v>200</v>
      </c>
      <c r="M4" s="193" t="s">
        <v>201</v>
      </c>
      <c r="N4" s="194" t="s">
        <v>202</v>
      </c>
    </row>
    <row r="5" spans="1:14" x14ac:dyDescent="0.3">
      <c r="A5" s="199">
        <v>1</v>
      </c>
      <c r="B5" s="200" t="s">
        <v>123</v>
      </c>
      <c r="C5" s="199">
        <v>6</v>
      </c>
      <c r="D5" s="201">
        <v>12964</v>
      </c>
      <c r="E5" s="201">
        <v>13317</v>
      </c>
      <c r="F5" s="202">
        <v>14184</v>
      </c>
      <c r="G5" s="203">
        <f t="shared" ref="G5:G9" si="0">SUM(D5:F5)/3</f>
        <v>13488.333333333334</v>
      </c>
      <c r="H5" s="204">
        <f t="shared" ref="H5" si="1">G5/J5</f>
        <v>1686.0416666666667</v>
      </c>
      <c r="I5" s="205">
        <v>2</v>
      </c>
      <c r="J5" s="195">
        <f>C5+I5</f>
        <v>8</v>
      </c>
      <c r="K5" s="196">
        <f>((H5*$G$13)/$G$14)*2</f>
        <v>5.0531110885824999</v>
      </c>
      <c r="L5" s="206">
        <v>2</v>
      </c>
      <c r="M5" s="197">
        <f>K5+L5</f>
        <v>7.0531110885824999</v>
      </c>
      <c r="N5" s="198">
        <f>M5*$N$13</f>
        <v>515487.3446379067</v>
      </c>
    </row>
    <row r="6" spans="1:14" x14ac:dyDescent="0.3">
      <c r="A6" s="199">
        <v>3</v>
      </c>
      <c r="B6" s="200" t="s">
        <v>30</v>
      </c>
      <c r="C6" s="199">
        <v>3.67</v>
      </c>
      <c r="D6" s="201">
        <v>6678</v>
      </c>
      <c r="E6" s="201">
        <v>7002</v>
      </c>
      <c r="F6" s="202">
        <v>6763</v>
      </c>
      <c r="G6" s="203">
        <f t="shared" si="0"/>
        <v>6814.333333333333</v>
      </c>
      <c r="H6" s="204">
        <f>G6/J6</f>
        <v>1459.1720199857245</v>
      </c>
      <c r="I6" s="205">
        <v>1</v>
      </c>
      <c r="J6" s="195">
        <f t="shared" ref="J6:J9" si="2">C6+I6</f>
        <v>4.67</v>
      </c>
      <c r="K6" s="196">
        <f>((H6*$G$13)/$G$14)</f>
        <v>2.1865884041040475</v>
      </c>
      <c r="L6" s="206">
        <v>1</v>
      </c>
      <c r="M6" s="197">
        <f t="shared" ref="M6:M9" si="3">K6+L6</f>
        <v>3.1865884041040475</v>
      </c>
      <c r="N6" s="198">
        <f>M6*$N$13</f>
        <v>232896.65712831856</v>
      </c>
    </row>
    <row r="7" spans="1:14" x14ac:dyDescent="0.3">
      <c r="A7" s="199">
        <v>9</v>
      </c>
      <c r="B7" s="200" t="s">
        <v>105</v>
      </c>
      <c r="C7" s="199">
        <v>55</v>
      </c>
      <c r="D7" s="201">
        <v>162623</v>
      </c>
      <c r="E7" s="201">
        <v>143150</v>
      </c>
      <c r="F7" s="202">
        <v>165773</v>
      </c>
      <c r="G7" s="203">
        <f t="shared" si="0"/>
        <v>157182</v>
      </c>
      <c r="H7" s="204">
        <f t="shared" ref="H7:H8" si="4">G7/J7</f>
        <v>2710.0344827586205</v>
      </c>
      <c r="I7" s="205">
        <v>3</v>
      </c>
      <c r="J7" s="195">
        <f t="shared" si="2"/>
        <v>58</v>
      </c>
      <c r="K7" s="196">
        <f>((H7*$G$13)/$G$14)*3</f>
        <v>12.183066616326872</v>
      </c>
      <c r="L7" s="206">
        <v>3</v>
      </c>
      <c r="M7" s="197">
        <f>K7+L7</f>
        <v>15.183066616326872</v>
      </c>
      <c r="N7" s="198">
        <f>M7*$N$13</f>
        <v>1109677.5019155063</v>
      </c>
    </row>
    <row r="8" spans="1:14" x14ac:dyDescent="0.3">
      <c r="A8" s="199">
        <v>13</v>
      </c>
      <c r="B8" s="200" t="s">
        <v>65</v>
      </c>
      <c r="C8" s="207">
        <v>68</v>
      </c>
      <c r="D8" s="201">
        <v>213095</v>
      </c>
      <c r="E8" s="201">
        <v>184373</v>
      </c>
      <c r="F8" s="202">
        <v>230789</v>
      </c>
      <c r="G8" s="203">
        <f t="shared" si="0"/>
        <v>209419</v>
      </c>
      <c r="H8" s="204">
        <f t="shared" si="4"/>
        <v>2991.7</v>
      </c>
      <c r="I8" s="208">
        <v>2</v>
      </c>
      <c r="J8" s="209">
        <f t="shared" si="2"/>
        <v>70</v>
      </c>
      <c r="K8" s="196">
        <f>((H8*$G$13)/$G$14)*2</f>
        <v>8.9662033522573683</v>
      </c>
      <c r="L8" s="206">
        <v>2</v>
      </c>
      <c r="M8" s="197">
        <f t="shared" si="3"/>
        <v>10.966203352257368</v>
      </c>
      <c r="N8" s="198">
        <f>M8*$N$13</f>
        <v>801481.64062882529</v>
      </c>
    </row>
    <row r="9" spans="1:14" ht="16.5" thickBot="1" x14ac:dyDescent="0.35">
      <c r="A9" s="199">
        <v>20</v>
      </c>
      <c r="B9" s="200" t="s">
        <v>79</v>
      </c>
      <c r="C9" s="199">
        <v>27</v>
      </c>
      <c r="D9" s="201">
        <v>62553</v>
      </c>
      <c r="E9" s="201">
        <v>60467</v>
      </c>
      <c r="F9" s="202">
        <v>71461</v>
      </c>
      <c r="G9" s="210">
        <f t="shared" si="0"/>
        <v>64827</v>
      </c>
      <c r="H9" s="211">
        <f>G9/J9</f>
        <v>2315.25</v>
      </c>
      <c r="I9" s="212">
        <v>1</v>
      </c>
      <c r="J9" s="213">
        <f t="shared" si="2"/>
        <v>28</v>
      </c>
      <c r="K9" s="214">
        <f>((H9*$G$13)/$G$14)</f>
        <v>3.4694324817518254</v>
      </c>
      <c r="L9" s="215">
        <v>1</v>
      </c>
      <c r="M9" s="216">
        <f t="shared" si="3"/>
        <v>4.4694324817518254</v>
      </c>
      <c r="N9" s="217">
        <f>M9*$N$13</f>
        <v>326655.26646620443</v>
      </c>
    </row>
    <row r="10" spans="1:14" ht="16.5" thickBot="1" x14ac:dyDescent="0.35">
      <c r="C10" s="218">
        <v>941</v>
      </c>
      <c r="D10" s="219"/>
      <c r="E10" s="219"/>
      <c r="F10" s="219"/>
      <c r="G10" s="16"/>
      <c r="H10" s="16"/>
      <c r="I10" s="220">
        <f>SUM(I5:I9)</f>
        <v>9</v>
      </c>
      <c r="J10" s="221">
        <f>C10+I10</f>
        <v>950</v>
      </c>
      <c r="K10" s="222">
        <f>K5+K6+K7+K8+K9</f>
        <v>31.858401943022614</v>
      </c>
      <c r="L10" s="222">
        <f>SUM(L5:L9)</f>
        <v>9</v>
      </c>
      <c r="M10" s="222">
        <f>M5+M6+M7+M8+M9</f>
        <v>40.858401943022614</v>
      </c>
      <c r="N10" s="223">
        <f>N5+N6+N7+N8+N9</f>
        <v>2986198.4107767614</v>
      </c>
    </row>
    <row r="11" spans="1:14" s="16" customFormat="1" ht="16.5" outlineLevel="1" thickTop="1" x14ac:dyDescent="0.3">
      <c r="A11" s="224"/>
      <c r="C11" s="225"/>
      <c r="D11" s="226"/>
      <c r="E11" s="226"/>
    </row>
    <row r="13" spans="1:14" x14ac:dyDescent="0.3">
      <c r="B13" s="227" t="s">
        <v>203</v>
      </c>
      <c r="C13" s="228"/>
      <c r="G13" s="230">
        <v>2.566203703703704</v>
      </c>
      <c r="N13" s="231">
        <v>73086.52</v>
      </c>
    </row>
    <row r="14" spans="1:14" x14ac:dyDescent="0.3">
      <c r="B14" s="227" t="s">
        <v>204</v>
      </c>
      <c r="C14" s="228"/>
      <c r="G14" s="232">
        <v>1712.5</v>
      </c>
    </row>
  </sheetData>
  <autoFilter ref="A4:N4" xr:uid="{DDCFBB4D-E20F-4007-B52E-7460A1E5A859}"/>
  <mergeCells count="3">
    <mergeCell ref="A1:N1"/>
    <mergeCell ref="D3:H3"/>
    <mergeCell ref="I3:N3"/>
  </mergeCells>
  <printOptions horizontalCentered="1"/>
  <pageMargins left="0.45" right="0.45" top="0.75" bottom="0.5" header="0.3" footer="0.3"/>
  <pageSetup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FCBF0-98C0-4C78-98CB-C15B71C95DBF}">
  <sheetPr>
    <pageSetUpPr fitToPage="1"/>
  </sheetPr>
  <dimension ref="A1:S81"/>
  <sheetViews>
    <sheetView zoomScale="120" zoomScaleNormal="120" zoomScalePageLayoutView="55" workbookViewId="0">
      <pane xSplit="2" ySplit="1" topLeftCell="C52" activePane="bottomRight" state="frozen"/>
      <selection pane="topRight" activeCell="C1" sqref="C1"/>
      <selection pane="bottomLeft" activeCell="A2" sqref="A2"/>
      <selection pane="bottomRight" activeCell="K1" sqref="K1"/>
    </sheetView>
  </sheetViews>
  <sheetFormatPr defaultColWidth="2.28515625" defaultRowHeight="13.5" x14ac:dyDescent="0.25"/>
  <cols>
    <col min="1" max="1" width="12.42578125" style="119" customWidth="1"/>
    <col min="2" max="2" width="7.140625" style="119" customWidth="1"/>
    <col min="3" max="3" width="16.42578125" style="119" customWidth="1"/>
    <col min="4" max="4" width="12" style="119" customWidth="1"/>
    <col min="5" max="5" width="13.85546875" style="119" customWidth="1"/>
    <col min="6" max="6" width="17.140625" style="119" customWidth="1"/>
    <col min="7" max="7" width="12.42578125" style="119" customWidth="1"/>
    <col min="8" max="8" width="14.7109375" style="119" customWidth="1"/>
    <col min="9" max="9" width="15.140625" style="119" customWidth="1"/>
    <col min="10" max="10" width="18" style="119" customWidth="1"/>
    <col min="11" max="11" width="14.7109375" style="119" customWidth="1"/>
    <col min="12" max="12" width="13" style="119" customWidth="1"/>
    <col min="13" max="13" width="12.7109375" style="119" customWidth="1"/>
    <col min="14" max="14" width="15.140625" style="119" customWidth="1"/>
    <col min="15" max="15" width="13.85546875" style="119" customWidth="1"/>
    <col min="16" max="16" width="14" style="119" customWidth="1"/>
    <col min="17" max="17" width="17.7109375" style="119" customWidth="1"/>
    <col min="18" max="18" width="15.5703125" style="119" customWidth="1"/>
    <col min="19" max="19" width="8.28515625" style="119" customWidth="1"/>
    <col min="20" max="16384" width="2.28515625" style="119"/>
  </cols>
  <sheetData>
    <row r="1" spans="1:19" s="108" customFormat="1" ht="93" thickBot="1" x14ac:dyDescent="0.3">
      <c r="A1" s="336" t="s">
        <v>0</v>
      </c>
      <c r="B1" s="337" t="s">
        <v>164</v>
      </c>
      <c r="C1" s="103" t="s">
        <v>180</v>
      </c>
      <c r="D1" s="338" t="s">
        <v>165</v>
      </c>
      <c r="E1" s="338" t="s">
        <v>210</v>
      </c>
      <c r="F1" s="339" t="s">
        <v>246</v>
      </c>
      <c r="G1" s="340" t="s">
        <v>247</v>
      </c>
      <c r="H1" s="291" t="s">
        <v>254</v>
      </c>
      <c r="I1" s="105" t="s">
        <v>248</v>
      </c>
      <c r="J1" s="105" t="s">
        <v>255</v>
      </c>
      <c r="K1" s="105" t="s">
        <v>256</v>
      </c>
      <c r="L1" s="374" t="s">
        <v>257</v>
      </c>
      <c r="M1" s="105" t="s">
        <v>258</v>
      </c>
      <c r="N1" s="181" t="s">
        <v>249</v>
      </c>
      <c r="O1" s="291" t="s">
        <v>250</v>
      </c>
      <c r="P1" s="341" t="s">
        <v>251</v>
      </c>
      <c r="Q1" s="342" t="s">
        <v>252</v>
      </c>
      <c r="R1" s="104" t="s">
        <v>253</v>
      </c>
      <c r="S1" s="154" t="s">
        <v>170</v>
      </c>
    </row>
    <row r="2" spans="1:19" s="110" customFormat="1" ht="13.5" customHeight="1" x14ac:dyDescent="0.25">
      <c r="A2" s="111" t="s">
        <v>53</v>
      </c>
      <c r="B2" s="172">
        <v>1</v>
      </c>
      <c r="C2" s="112">
        <v>520062</v>
      </c>
      <c r="D2" s="113">
        <v>176</v>
      </c>
      <c r="E2" s="113">
        <v>5009</v>
      </c>
      <c r="F2" s="375">
        <f t="shared" ref="F2:F65" si="0">C2+D2+E2</f>
        <v>525247</v>
      </c>
      <c r="G2" s="343"/>
      <c r="H2" s="292">
        <v>11386</v>
      </c>
      <c r="I2" s="109">
        <v>10186</v>
      </c>
      <c r="J2" s="109">
        <v>12367</v>
      </c>
      <c r="K2" s="109">
        <v>10257</v>
      </c>
      <c r="L2" s="109"/>
      <c r="M2" s="109"/>
      <c r="N2" s="344">
        <f t="shared" ref="N2:N65" si="1">G2+I2+J2+K2+L2+M2</f>
        <v>32810</v>
      </c>
      <c r="O2" s="345">
        <v>68431.665701244201</v>
      </c>
      <c r="P2" s="345">
        <f>'[4]Issue Requests '!R2-N2</f>
        <v>35621.665701244201</v>
      </c>
      <c r="Q2" s="344">
        <f t="shared" ref="Q2:Q65" si="2">F2+G2+I2+J2+K2+L2+M2</f>
        <v>558057</v>
      </c>
      <c r="R2" s="376">
        <f t="shared" ref="R2:R65" si="3">Q2-C2</f>
        <v>37995</v>
      </c>
      <c r="S2" s="155">
        <f t="shared" ref="S2:S65" si="4">R2/C2</f>
        <v>7.3058596859605196E-2</v>
      </c>
    </row>
    <row r="3" spans="1:19" customFormat="1" ht="13.5" customHeight="1" x14ac:dyDescent="0.25">
      <c r="A3" s="111" t="s">
        <v>75</v>
      </c>
      <c r="B3" s="172">
        <v>1</v>
      </c>
      <c r="C3" s="112">
        <v>324489</v>
      </c>
      <c r="D3" s="113">
        <v>78</v>
      </c>
      <c r="E3" s="113">
        <v>2047</v>
      </c>
      <c r="F3" s="375">
        <f t="shared" si="0"/>
        <v>326614</v>
      </c>
      <c r="G3" s="343"/>
      <c r="H3" s="292">
        <v>3795.5</v>
      </c>
      <c r="I3" s="109">
        <v>3396</v>
      </c>
      <c r="J3" s="109">
        <v>5940</v>
      </c>
      <c r="K3" s="109">
        <v>1828</v>
      </c>
      <c r="L3" s="109">
        <v>6180</v>
      </c>
      <c r="M3" s="109"/>
      <c r="N3" s="344">
        <f t="shared" si="1"/>
        <v>17344</v>
      </c>
      <c r="O3" s="345">
        <v>32760.603173776712</v>
      </c>
      <c r="P3" s="345">
        <f>'[4]Issue Requests '!R3-N3</f>
        <v>15416.603173776712</v>
      </c>
      <c r="Q3" s="344">
        <f t="shared" si="2"/>
        <v>343958</v>
      </c>
      <c r="R3" s="376">
        <f t="shared" si="3"/>
        <v>19469</v>
      </c>
      <c r="S3" s="155">
        <f t="shared" si="4"/>
        <v>5.9998952198687783E-2</v>
      </c>
    </row>
    <row r="4" spans="1:19" s="117" customFormat="1" ht="13.5" customHeight="1" x14ac:dyDescent="0.25">
      <c r="A4" s="111" t="s">
        <v>85</v>
      </c>
      <c r="B4" s="172">
        <v>1</v>
      </c>
      <c r="C4" s="112">
        <v>335293</v>
      </c>
      <c r="D4" s="113">
        <v>73</v>
      </c>
      <c r="E4" s="113">
        <v>3224</v>
      </c>
      <c r="F4" s="375">
        <f t="shared" si="0"/>
        <v>338590</v>
      </c>
      <c r="G4" s="343"/>
      <c r="H4" s="292">
        <v>5861.5</v>
      </c>
      <c r="I4" s="109">
        <v>5244</v>
      </c>
      <c r="J4" s="109">
        <v>11805</v>
      </c>
      <c r="K4" s="109">
        <v>4966</v>
      </c>
      <c r="L4" s="109"/>
      <c r="M4" s="109"/>
      <c r="N4" s="344">
        <f t="shared" si="1"/>
        <v>22015</v>
      </c>
      <c r="O4" s="345">
        <v>44465.255323878198</v>
      </c>
      <c r="P4" s="345">
        <f>'[4]Issue Requests '!R4-N4</f>
        <v>22450.255323878198</v>
      </c>
      <c r="Q4" s="344">
        <f t="shared" si="2"/>
        <v>360605</v>
      </c>
      <c r="R4" s="376">
        <f t="shared" si="3"/>
        <v>25312</v>
      </c>
      <c r="S4" s="155">
        <f t="shared" si="4"/>
        <v>7.5492181465166286E-2</v>
      </c>
    </row>
    <row r="5" spans="1:19" s="110" customFormat="1" ht="13.5" customHeight="1" x14ac:dyDescent="0.25">
      <c r="A5" s="111" t="s">
        <v>135</v>
      </c>
      <c r="B5" s="172">
        <v>1</v>
      </c>
      <c r="C5" s="112">
        <v>513694</v>
      </c>
      <c r="D5" s="113">
        <v>160</v>
      </c>
      <c r="E5" s="113">
        <v>3546</v>
      </c>
      <c r="F5" s="375">
        <f t="shared" si="0"/>
        <v>517400</v>
      </c>
      <c r="G5" s="343"/>
      <c r="H5" s="292">
        <v>7200</v>
      </c>
      <c r="I5" s="109">
        <v>6441</v>
      </c>
      <c r="J5" s="109">
        <v>13776</v>
      </c>
      <c r="K5" s="109">
        <v>3890</v>
      </c>
      <c r="L5" s="109">
        <v>3008</v>
      </c>
      <c r="M5" s="109"/>
      <c r="N5" s="344">
        <f t="shared" si="1"/>
        <v>27115</v>
      </c>
      <c r="O5" s="345">
        <v>84038.873809656769</v>
      </c>
      <c r="P5" s="345">
        <f>'[4]Issue Requests '!R5-N5</f>
        <v>56923.873809656769</v>
      </c>
      <c r="Q5" s="344">
        <f t="shared" si="2"/>
        <v>544515</v>
      </c>
      <c r="R5" s="376">
        <f t="shared" si="3"/>
        <v>30821</v>
      </c>
      <c r="S5" s="155">
        <f t="shared" si="4"/>
        <v>5.9998754122103821E-2</v>
      </c>
    </row>
    <row r="6" spans="1:19" s="110" customFormat="1" ht="13.5" customHeight="1" x14ac:dyDescent="0.25">
      <c r="A6" s="111" t="s">
        <v>10</v>
      </c>
      <c r="B6" s="172">
        <v>2</v>
      </c>
      <c r="C6" s="176">
        <v>756419</v>
      </c>
      <c r="D6" s="297">
        <v>163</v>
      </c>
      <c r="E6" s="297">
        <v>8836</v>
      </c>
      <c r="F6" s="377">
        <f t="shared" si="0"/>
        <v>765418</v>
      </c>
      <c r="G6" s="346"/>
      <c r="H6" s="292">
        <v>21348.5</v>
      </c>
      <c r="I6" s="156">
        <v>19099</v>
      </c>
      <c r="J6" s="156">
        <v>18260</v>
      </c>
      <c r="K6" s="156">
        <v>13953</v>
      </c>
      <c r="L6" s="156"/>
      <c r="M6" s="156"/>
      <c r="N6" s="347">
        <f t="shared" si="1"/>
        <v>51312</v>
      </c>
      <c r="O6" s="348">
        <v>129352.50950982077</v>
      </c>
      <c r="P6" s="348">
        <f>'[4]Issue Requests '!R6-N6</f>
        <v>78040.509509820768</v>
      </c>
      <c r="Q6" s="344">
        <f t="shared" si="2"/>
        <v>816730</v>
      </c>
      <c r="R6" s="349">
        <f t="shared" si="3"/>
        <v>60311</v>
      </c>
      <c r="S6" s="155">
        <f t="shared" si="4"/>
        <v>7.9732264789752774E-2</v>
      </c>
    </row>
    <row r="7" spans="1:19" s="110" customFormat="1" ht="13.5" customHeight="1" x14ac:dyDescent="0.25">
      <c r="A7" s="174" t="s">
        <v>20</v>
      </c>
      <c r="B7" s="175">
        <v>2</v>
      </c>
      <c r="C7" s="112">
        <v>477087</v>
      </c>
      <c r="D7" s="113">
        <v>162</v>
      </c>
      <c r="E7" s="113">
        <v>5968</v>
      </c>
      <c r="F7" s="375">
        <f t="shared" si="0"/>
        <v>483217</v>
      </c>
      <c r="G7" s="343"/>
      <c r="H7" s="293">
        <v>12926.5</v>
      </c>
      <c r="I7" s="109">
        <v>11565</v>
      </c>
      <c r="J7" s="109">
        <v>12092</v>
      </c>
      <c r="K7" s="109">
        <v>2543</v>
      </c>
      <c r="L7" s="109"/>
      <c r="M7" s="109"/>
      <c r="N7" s="344">
        <f t="shared" si="1"/>
        <v>26200</v>
      </c>
      <c r="O7" s="345">
        <v>56303.503418732842</v>
      </c>
      <c r="P7" s="345">
        <f>'[4]Issue Requests '!R7-N7</f>
        <v>30103.503418732842</v>
      </c>
      <c r="Q7" s="344">
        <f t="shared" si="2"/>
        <v>509417</v>
      </c>
      <c r="R7" s="376">
        <f t="shared" si="3"/>
        <v>32330</v>
      </c>
      <c r="S7" s="350">
        <f t="shared" si="4"/>
        <v>6.7765418047442086E-2</v>
      </c>
    </row>
    <row r="8" spans="1:19" s="110" customFormat="1" ht="13.5" customHeight="1" x14ac:dyDescent="0.25">
      <c r="A8" s="111" t="s">
        <v>34</v>
      </c>
      <c r="B8" s="172">
        <v>2</v>
      </c>
      <c r="C8" s="112">
        <v>520945</v>
      </c>
      <c r="D8" s="113">
        <v>123</v>
      </c>
      <c r="E8" s="113">
        <v>5755</v>
      </c>
      <c r="F8" s="375">
        <f t="shared" si="0"/>
        <v>526823</v>
      </c>
      <c r="G8" s="343"/>
      <c r="H8" s="292">
        <v>14764.5</v>
      </c>
      <c r="I8" s="109">
        <v>13209</v>
      </c>
      <c r="J8" s="109">
        <v>9703</v>
      </c>
      <c r="K8" s="109">
        <v>11372</v>
      </c>
      <c r="L8" s="109"/>
      <c r="M8" s="109"/>
      <c r="N8" s="344">
        <f t="shared" si="1"/>
        <v>34284</v>
      </c>
      <c r="O8" s="345">
        <v>35482.889931435624</v>
      </c>
      <c r="P8" s="345">
        <f>'[4]Issue Requests '!R8-N8</f>
        <v>1198.889931435624</v>
      </c>
      <c r="Q8" s="344">
        <f t="shared" si="2"/>
        <v>561107</v>
      </c>
      <c r="R8" s="376">
        <f t="shared" si="3"/>
        <v>40162</v>
      </c>
      <c r="S8" s="155">
        <f t="shared" si="4"/>
        <v>7.709451093685514E-2</v>
      </c>
    </row>
    <row r="9" spans="1:19" s="110" customFormat="1" ht="13.5" customHeight="1" x14ac:dyDescent="0.25">
      <c r="A9" s="111" t="s">
        <v>45</v>
      </c>
      <c r="B9" s="172">
        <v>2</v>
      </c>
      <c r="C9" s="112">
        <v>696031</v>
      </c>
      <c r="D9" s="113">
        <v>205</v>
      </c>
      <c r="E9" s="113">
        <v>5526</v>
      </c>
      <c r="F9" s="375">
        <f t="shared" si="0"/>
        <v>701762</v>
      </c>
      <c r="G9" s="343"/>
      <c r="H9" s="292">
        <v>13394.5</v>
      </c>
      <c r="I9" s="156">
        <v>11983</v>
      </c>
      <c r="J9" s="109">
        <v>17481</v>
      </c>
      <c r="K9" s="109">
        <v>5941</v>
      </c>
      <c r="L9" s="109"/>
      <c r="M9" s="109">
        <v>-7934</v>
      </c>
      <c r="N9" s="344">
        <f t="shared" si="1"/>
        <v>27471</v>
      </c>
      <c r="O9" s="345">
        <v>27471.019311396609</v>
      </c>
      <c r="P9" s="351">
        <f>'[4]Issue Requests '!R9-N9</f>
        <v>1.9311396608827636E-2</v>
      </c>
      <c r="Q9" s="344">
        <f t="shared" si="2"/>
        <v>729233</v>
      </c>
      <c r="R9" s="376">
        <f t="shared" si="3"/>
        <v>33202</v>
      </c>
      <c r="S9" s="155">
        <f t="shared" si="4"/>
        <v>4.7701898334987954E-2</v>
      </c>
    </row>
    <row r="10" spans="1:19" s="110" customFormat="1" ht="13.5" customHeight="1" x14ac:dyDescent="0.25">
      <c r="A10" s="111" t="s">
        <v>49</v>
      </c>
      <c r="B10" s="172">
        <v>2</v>
      </c>
      <c r="C10" s="112">
        <v>577120</v>
      </c>
      <c r="D10" s="113">
        <v>248</v>
      </c>
      <c r="E10" s="113">
        <v>5594</v>
      </c>
      <c r="F10" s="375">
        <f t="shared" si="0"/>
        <v>582962</v>
      </c>
      <c r="G10" s="343"/>
      <c r="H10" s="292">
        <v>12098</v>
      </c>
      <c r="I10" s="109">
        <v>10823</v>
      </c>
      <c r="J10" s="109">
        <v>17869</v>
      </c>
      <c r="K10" s="109">
        <v>2842</v>
      </c>
      <c r="L10" s="109"/>
      <c r="M10" s="109"/>
      <c r="N10" s="344">
        <f t="shared" si="1"/>
        <v>31534</v>
      </c>
      <c r="O10" s="345">
        <v>122335.12927033901</v>
      </c>
      <c r="P10" s="345">
        <f>'[4]Issue Requests '!R10-N10</f>
        <v>90801.129270339006</v>
      </c>
      <c r="Q10" s="344">
        <f t="shared" si="2"/>
        <v>614496</v>
      </c>
      <c r="R10" s="376">
        <f t="shared" si="3"/>
        <v>37376</v>
      </c>
      <c r="S10" s="155">
        <f t="shared" si="4"/>
        <v>6.4762960909342943E-2</v>
      </c>
    </row>
    <row r="11" spans="1:19" s="110" customFormat="1" ht="13.5" customHeight="1" x14ac:dyDescent="0.25">
      <c r="A11" s="111" t="s">
        <v>51</v>
      </c>
      <c r="B11" s="172">
        <v>2</v>
      </c>
      <c r="C11" s="112">
        <v>597059</v>
      </c>
      <c r="D11" s="113">
        <v>179</v>
      </c>
      <c r="E11" s="113">
        <v>5213</v>
      </c>
      <c r="F11" s="375">
        <f t="shared" si="0"/>
        <v>602451</v>
      </c>
      <c r="G11" s="343"/>
      <c r="H11" s="292">
        <v>11258.5</v>
      </c>
      <c r="I11" s="109">
        <v>10072</v>
      </c>
      <c r="J11" s="109">
        <v>16017</v>
      </c>
      <c r="K11" s="109">
        <v>9587</v>
      </c>
      <c r="L11" s="109"/>
      <c r="M11" s="109"/>
      <c r="N11" s="344">
        <f t="shared" si="1"/>
        <v>35676</v>
      </c>
      <c r="O11" s="345">
        <v>60273.537309437808</v>
      </c>
      <c r="P11" s="345">
        <f>'[4]Issue Requests '!R11-N11</f>
        <v>24597.537309437808</v>
      </c>
      <c r="Q11" s="344">
        <f t="shared" si="2"/>
        <v>638127</v>
      </c>
      <c r="R11" s="376">
        <f t="shared" si="3"/>
        <v>41068</v>
      </c>
      <c r="S11" s="155">
        <f t="shared" si="4"/>
        <v>6.8783822034338318E-2</v>
      </c>
    </row>
    <row r="12" spans="1:19" s="110" customFormat="1" ht="13.5" customHeight="1" x14ac:dyDescent="0.25">
      <c r="A12" s="111" t="s">
        <v>55</v>
      </c>
      <c r="B12" s="172">
        <v>2</v>
      </c>
      <c r="C12" s="112">
        <v>630879</v>
      </c>
      <c r="D12" s="113">
        <v>165</v>
      </c>
      <c r="E12" s="113">
        <v>6931</v>
      </c>
      <c r="F12" s="375">
        <f t="shared" si="0"/>
        <v>637975</v>
      </c>
      <c r="G12" s="343"/>
      <c r="H12" s="292">
        <v>13582.5</v>
      </c>
      <c r="I12" s="109">
        <v>12152</v>
      </c>
      <c r="J12" s="109">
        <v>15446</v>
      </c>
      <c r="K12" s="109">
        <v>4066</v>
      </c>
      <c r="L12" s="109"/>
      <c r="M12" s="109"/>
      <c r="N12" s="344">
        <f t="shared" si="1"/>
        <v>31664</v>
      </c>
      <c r="O12" s="345">
        <v>60018.712473205589</v>
      </c>
      <c r="P12" s="345">
        <f>'[4]Issue Requests '!R12-N12</f>
        <v>28354.712473205589</v>
      </c>
      <c r="Q12" s="344">
        <f t="shared" si="2"/>
        <v>669639</v>
      </c>
      <c r="R12" s="376">
        <f t="shared" si="3"/>
        <v>38760</v>
      </c>
      <c r="S12" s="155">
        <f t="shared" si="4"/>
        <v>6.1438088761870339E-2</v>
      </c>
    </row>
    <row r="13" spans="1:19" s="110" customFormat="1" ht="13.5" customHeight="1" x14ac:dyDescent="0.25">
      <c r="A13" s="111" t="s">
        <v>57</v>
      </c>
      <c r="B13" s="172">
        <v>2</v>
      </c>
      <c r="C13" s="112">
        <v>953613</v>
      </c>
      <c r="D13" s="113">
        <v>241</v>
      </c>
      <c r="E13" s="113">
        <v>9193</v>
      </c>
      <c r="F13" s="375">
        <f t="shared" si="0"/>
        <v>963047</v>
      </c>
      <c r="G13" s="343"/>
      <c r="H13" s="292">
        <v>24591.5</v>
      </c>
      <c r="I13" s="109">
        <v>22001</v>
      </c>
      <c r="J13" s="109">
        <v>25087</v>
      </c>
      <c r="K13" s="109">
        <v>13339</v>
      </c>
      <c r="L13" s="109"/>
      <c r="M13" s="109">
        <v>-1546</v>
      </c>
      <c r="N13" s="344">
        <f t="shared" si="1"/>
        <v>58881</v>
      </c>
      <c r="O13" s="345">
        <v>58880.801189398415</v>
      </c>
      <c r="P13" s="351">
        <f>'[4]Issue Requests '!R13-N13</f>
        <v>-0.19881060158513719</v>
      </c>
      <c r="Q13" s="344">
        <f t="shared" si="2"/>
        <v>1021928</v>
      </c>
      <c r="R13" s="376">
        <f t="shared" si="3"/>
        <v>68315</v>
      </c>
      <c r="S13" s="155">
        <f t="shared" si="4"/>
        <v>7.1638075403753929E-2</v>
      </c>
    </row>
    <row r="14" spans="1:19" s="110" customFormat="1" ht="13.5" customHeight="1" x14ac:dyDescent="0.25">
      <c r="A14" s="111" t="s">
        <v>67</v>
      </c>
      <c r="B14" s="172">
        <v>2</v>
      </c>
      <c r="C14" s="112">
        <v>628002</v>
      </c>
      <c r="D14" s="113">
        <v>120</v>
      </c>
      <c r="E14" s="113">
        <v>7521</v>
      </c>
      <c r="F14" s="375">
        <f t="shared" si="0"/>
        <v>635643</v>
      </c>
      <c r="G14" s="343"/>
      <c r="H14" s="292">
        <v>15217</v>
      </c>
      <c r="I14" s="109">
        <v>13614</v>
      </c>
      <c r="J14" s="109">
        <v>14197</v>
      </c>
      <c r="K14" s="109">
        <v>6599</v>
      </c>
      <c r="L14" s="109"/>
      <c r="M14" s="109"/>
      <c r="N14" s="344">
        <f t="shared" si="1"/>
        <v>34410</v>
      </c>
      <c r="O14" s="345">
        <v>57024.826369481205</v>
      </c>
      <c r="P14" s="345">
        <f>'[4]Issue Requests '!R14-N14</f>
        <v>22614.826369481205</v>
      </c>
      <c r="Q14" s="344">
        <f t="shared" si="2"/>
        <v>670053</v>
      </c>
      <c r="R14" s="376">
        <f t="shared" si="3"/>
        <v>42051</v>
      </c>
      <c r="S14" s="155">
        <f t="shared" si="4"/>
        <v>6.6959977834465501E-2</v>
      </c>
    </row>
    <row r="15" spans="1:19" s="110" customFormat="1" ht="13.5" customHeight="1" x14ac:dyDescent="0.25">
      <c r="A15" s="111" t="s">
        <v>73</v>
      </c>
      <c r="B15" s="172">
        <v>2</v>
      </c>
      <c r="C15" s="112">
        <v>530898</v>
      </c>
      <c r="D15" s="113">
        <v>157</v>
      </c>
      <c r="E15" s="113">
        <v>5636</v>
      </c>
      <c r="F15" s="375">
        <f t="shared" si="0"/>
        <v>536691</v>
      </c>
      <c r="G15" s="343"/>
      <c r="H15" s="292">
        <v>13633.5</v>
      </c>
      <c r="I15" s="109">
        <v>12197</v>
      </c>
      <c r="J15" s="109">
        <v>12415</v>
      </c>
      <c r="K15" s="109">
        <v>4653</v>
      </c>
      <c r="L15" s="109"/>
      <c r="M15" s="109"/>
      <c r="N15" s="344">
        <f t="shared" si="1"/>
        <v>29265</v>
      </c>
      <c r="O15" s="345">
        <v>164086.24351526122</v>
      </c>
      <c r="P15" s="345">
        <f>'[4]Issue Requests '!R15-N15</f>
        <v>134821.24351526122</v>
      </c>
      <c r="Q15" s="344">
        <f t="shared" si="2"/>
        <v>565956</v>
      </c>
      <c r="R15" s="376">
        <f t="shared" si="3"/>
        <v>35058</v>
      </c>
      <c r="S15" s="155">
        <f t="shared" si="4"/>
        <v>6.6035283613801524E-2</v>
      </c>
    </row>
    <row r="16" spans="1:19" s="110" customFormat="1" ht="13.5" customHeight="1" x14ac:dyDescent="0.25">
      <c r="A16" s="111" t="s">
        <v>133</v>
      </c>
      <c r="B16" s="172">
        <v>2</v>
      </c>
      <c r="C16" s="112">
        <v>598530</v>
      </c>
      <c r="D16" s="113">
        <v>109</v>
      </c>
      <c r="E16" s="113">
        <v>8803</v>
      </c>
      <c r="F16" s="375">
        <f t="shared" si="0"/>
        <v>607442</v>
      </c>
      <c r="G16" s="343"/>
      <c r="H16" s="292">
        <v>18856</v>
      </c>
      <c r="I16" s="109">
        <v>16870</v>
      </c>
      <c r="J16" s="109">
        <v>20355</v>
      </c>
      <c r="K16" s="109">
        <v>4158</v>
      </c>
      <c r="L16" s="109"/>
      <c r="M16" s="109"/>
      <c r="N16" s="344">
        <f t="shared" si="1"/>
        <v>41383</v>
      </c>
      <c r="O16" s="345">
        <v>171982.84299552653</v>
      </c>
      <c r="P16" s="345">
        <f>'[4]Issue Requests '!R16-N16</f>
        <v>130599.84299552653</v>
      </c>
      <c r="Q16" s="344">
        <f t="shared" si="2"/>
        <v>648825</v>
      </c>
      <c r="R16" s="376">
        <f t="shared" si="3"/>
        <v>50295</v>
      </c>
      <c r="S16" s="155">
        <f t="shared" si="4"/>
        <v>8.4030875645331057E-2</v>
      </c>
    </row>
    <row r="17" spans="1:19" s="110" customFormat="1" ht="13.5" customHeight="1" x14ac:dyDescent="0.25">
      <c r="A17" s="111" t="s">
        <v>143</v>
      </c>
      <c r="B17" s="172">
        <v>2</v>
      </c>
      <c r="C17" s="112">
        <v>836178</v>
      </c>
      <c r="D17" s="113">
        <v>216</v>
      </c>
      <c r="E17" s="113">
        <v>9183</v>
      </c>
      <c r="F17" s="375">
        <f t="shared" si="0"/>
        <v>845577</v>
      </c>
      <c r="G17" s="343"/>
      <c r="H17" s="292">
        <v>20625</v>
      </c>
      <c r="I17" s="109">
        <v>18452</v>
      </c>
      <c r="J17" s="109">
        <v>22231</v>
      </c>
      <c r="K17" s="109">
        <v>13493</v>
      </c>
      <c r="L17" s="109"/>
      <c r="M17" s="109"/>
      <c r="N17" s="344">
        <f t="shared" si="1"/>
        <v>54176</v>
      </c>
      <c r="O17" s="345">
        <v>69905.535706243478</v>
      </c>
      <c r="P17" s="345">
        <f>'[4]Issue Requests '!R17-N17</f>
        <v>15729.535706243478</v>
      </c>
      <c r="Q17" s="344">
        <f t="shared" si="2"/>
        <v>899753</v>
      </c>
      <c r="R17" s="376">
        <f t="shared" si="3"/>
        <v>63575</v>
      </c>
      <c r="S17" s="155">
        <f t="shared" si="4"/>
        <v>7.6030462413505265E-2</v>
      </c>
    </row>
    <row r="18" spans="1:19" s="110" customFormat="1" ht="13.5" customHeight="1" x14ac:dyDescent="0.25">
      <c r="A18" s="111" t="s">
        <v>14</v>
      </c>
      <c r="B18" s="172">
        <v>3</v>
      </c>
      <c r="C18" s="112">
        <v>913622</v>
      </c>
      <c r="D18" s="113">
        <v>313</v>
      </c>
      <c r="E18" s="113">
        <v>13973</v>
      </c>
      <c r="F18" s="375">
        <f t="shared" si="0"/>
        <v>927908</v>
      </c>
      <c r="G18" s="343"/>
      <c r="H18" s="292">
        <v>34291</v>
      </c>
      <c r="I18" s="109">
        <v>30678</v>
      </c>
      <c r="J18" s="109">
        <v>28202</v>
      </c>
      <c r="K18" s="109">
        <v>14163</v>
      </c>
      <c r="L18" s="109"/>
      <c r="M18" s="109"/>
      <c r="N18" s="344">
        <f t="shared" si="1"/>
        <v>73043</v>
      </c>
      <c r="O18" s="345">
        <v>74564.591655127457</v>
      </c>
      <c r="P18" s="345">
        <f>'[4]Issue Requests '!R18-N18</f>
        <v>1521.5916551274568</v>
      </c>
      <c r="Q18" s="344">
        <f t="shared" si="2"/>
        <v>1000951</v>
      </c>
      <c r="R18" s="376">
        <f t="shared" si="3"/>
        <v>87329</v>
      </c>
      <c r="S18" s="155">
        <f t="shared" si="4"/>
        <v>9.5585482836446578E-2</v>
      </c>
    </row>
    <row r="19" spans="1:19" s="110" customFormat="1" ht="13.5" customHeight="1" x14ac:dyDescent="0.25">
      <c r="A19" s="111" t="s">
        <v>32</v>
      </c>
      <c r="B19" s="172">
        <v>3</v>
      </c>
      <c r="C19" s="112">
        <v>857813</v>
      </c>
      <c r="D19" s="113">
        <v>277</v>
      </c>
      <c r="E19" s="113">
        <v>11950</v>
      </c>
      <c r="F19" s="375">
        <f t="shared" si="0"/>
        <v>870040</v>
      </c>
      <c r="G19" s="343"/>
      <c r="H19" s="292">
        <v>30928</v>
      </c>
      <c r="I19" s="109">
        <v>27670</v>
      </c>
      <c r="J19" s="109">
        <v>23435</v>
      </c>
      <c r="K19" s="109">
        <v>18159</v>
      </c>
      <c r="L19" s="109"/>
      <c r="M19" s="109"/>
      <c r="N19" s="344">
        <f t="shared" si="1"/>
        <v>69264</v>
      </c>
      <c r="O19" s="345">
        <v>199492.45584156679</v>
      </c>
      <c r="P19" s="345">
        <f>'[4]Issue Requests '!R19-N19</f>
        <v>130228.45584156679</v>
      </c>
      <c r="Q19" s="344">
        <f t="shared" si="2"/>
        <v>939304</v>
      </c>
      <c r="R19" s="376">
        <f t="shared" si="3"/>
        <v>81491</v>
      </c>
      <c r="S19" s="155">
        <f t="shared" si="4"/>
        <v>9.4998560292278156E-2</v>
      </c>
    </row>
    <row r="20" spans="1:19" s="110" customFormat="1" ht="13.5" customHeight="1" x14ac:dyDescent="0.25">
      <c r="A20" s="111" t="s">
        <v>47</v>
      </c>
      <c r="B20" s="172">
        <v>3</v>
      </c>
      <c r="C20" s="112">
        <v>1419926</v>
      </c>
      <c r="D20" s="113">
        <v>323</v>
      </c>
      <c r="E20" s="113">
        <v>15987</v>
      </c>
      <c r="F20" s="375">
        <f t="shared" si="0"/>
        <v>1436236</v>
      </c>
      <c r="G20" s="343"/>
      <c r="H20" s="292">
        <v>34195.5</v>
      </c>
      <c r="I20" s="109">
        <v>30593</v>
      </c>
      <c r="J20" s="109">
        <v>44447</v>
      </c>
      <c r="K20" s="109">
        <v>14973</v>
      </c>
      <c r="L20" s="109"/>
      <c r="M20" s="109"/>
      <c r="N20" s="344">
        <f t="shared" si="1"/>
        <v>90013</v>
      </c>
      <c r="O20" s="345">
        <v>109617.71242906622</v>
      </c>
      <c r="P20" s="345">
        <f>'[4]Issue Requests '!R20-N20</f>
        <v>19604.712429066218</v>
      </c>
      <c r="Q20" s="344">
        <f t="shared" si="2"/>
        <v>1526249</v>
      </c>
      <c r="R20" s="376">
        <f t="shared" si="3"/>
        <v>106323</v>
      </c>
      <c r="S20" s="155">
        <f t="shared" si="4"/>
        <v>7.4879254270997217E-2</v>
      </c>
    </row>
    <row r="21" spans="1:19" s="110" customFormat="1" ht="13.5" customHeight="1" x14ac:dyDescent="0.25">
      <c r="A21" s="111" t="s">
        <v>59</v>
      </c>
      <c r="B21" s="172">
        <v>3</v>
      </c>
      <c r="C21" s="112">
        <v>1346679</v>
      </c>
      <c r="D21" s="113">
        <v>398</v>
      </c>
      <c r="E21" s="113">
        <v>12727</v>
      </c>
      <c r="F21" s="375">
        <f t="shared" si="0"/>
        <v>1359804</v>
      </c>
      <c r="G21" s="343"/>
      <c r="H21" s="292">
        <v>31110.5</v>
      </c>
      <c r="I21" s="109">
        <v>27833</v>
      </c>
      <c r="J21" s="109">
        <v>34823</v>
      </c>
      <c r="K21" s="109">
        <v>16426</v>
      </c>
      <c r="L21" s="109"/>
      <c r="M21" s="109"/>
      <c r="N21" s="344">
        <f t="shared" si="1"/>
        <v>79082</v>
      </c>
      <c r="O21" s="345">
        <v>175040.24312161998</v>
      </c>
      <c r="P21" s="345">
        <f>'[4]Issue Requests '!R21-N21</f>
        <v>95958.243121619977</v>
      </c>
      <c r="Q21" s="344">
        <f t="shared" si="2"/>
        <v>1438886</v>
      </c>
      <c r="R21" s="376">
        <f t="shared" si="3"/>
        <v>92207</v>
      </c>
      <c r="S21" s="155">
        <f t="shared" si="4"/>
        <v>6.846991747847854E-2</v>
      </c>
    </row>
    <row r="22" spans="1:19" s="110" customFormat="1" ht="13.5" customHeight="1" x14ac:dyDescent="0.25">
      <c r="A22" s="111" t="s">
        <v>71</v>
      </c>
      <c r="B22" s="172">
        <v>3</v>
      </c>
      <c r="C22" s="112">
        <v>1173541</v>
      </c>
      <c r="D22" s="113">
        <v>377</v>
      </c>
      <c r="E22" s="113">
        <v>14580</v>
      </c>
      <c r="F22" s="375">
        <f t="shared" si="0"/>
        <v>1188498</v>
      </c>
      <c r="G22" s="343"/>
      <c r="H22" s="292">
        <v>35224</v>
      </c>
      <c r="I22" s="109">
        <v>31513</v>
      </c>
      <c r="J22" s="109">
        <v>33317</v>
      </c>
      <c r="K22" s="109">
        <v>9244</v>
      </c>
      <c r="L22" s="109"/>
      <c r="M22" s="109">
        <v>-6748</v>
      </c>
      <c r="N22" s="344">
        <f t="shared" si="1"/>
        <v>67326</v>
      </c>
      <c r="O22" s="345">
        <v>67326.456542467495</v>
      </c>
      <c r="P22" s="351">
        <f>'[4]Issue Requests '!R22-N22</f>
        <v>0.45654246749472804</v>
      </c>
      <c r="Q22" s="344">
        <f t="shared" si="2"/>
        <v>1255824</v>
      </c>
      <c r="R22" s="376">
        <f t="shared" si="3"/>
        <v>82283</v>
      </c>
      <c r="S22" s="155">
        <f t="shared" si="4"/>
        <v>7.0115147233884456E-2</v>
      </c>
    </row>
    <row r="23" spans="1:19" s="110" customFormat="1" ht="13.5" customHeight="1" x14ac:dyDescent="0.25">
      <c r="A23" s="111" t="s">
        <v>83</v>
      </c>
      <c r="B23" s="172">
        <v>3</v>
      </c>
      <c r="C23" s="112">
        <v>1199087</v>
      </c>
      <c r="D23" s="113">
        <v>365</v>
      </c>
      <c r="E23" s="113">
        <v>17921</v>
      </c>
      <c r="F23" s="375">
        <f t="shared" si="0"/>
        <v>1217373</v>
      </c>
      <c r="G23" s="343"/>
      <c r="H23" s="292">
        <v>37420</v>
      </c>
      <c r="I23" s="109">
        <v>33478</v>
      </c>
      <c r="J23" s="109">
        <v>34246</v>
      </c>
      <c r="K23" s="109">
        <v>22563</v>
      </c>
      <c r="L23" s="109"/>
      <c r="M23" s="109"/>
      <c r="N23" s="344">
        <f t="shared" si="1"/>
        <v>90287</v>
      </c>
      <c r="O23" s="345">
        <v>216873.48685095515</v>
      </c>
      <c r="P23" s="345">
        <f>'[4]Issue Requests '!R23-N23</f>
        <v>126586.48685095515</v>
      </c>
      <c r="Q23" s="344">
        <f t="shared" si="2"/>
        <v>1307660</v>
      </c>
      <c r="R23" s="376">
        <f t="shared" si="3"/>
        <v>108573</v>
      </c>
      <c r="S23" s="155">
        <f t="shared" si="4"/>
        <v>9.0546390712266916E-2</v>
      </c>
    </row>
    <row r="24" spans="1:19" s="110" customFormat="1" ht="13.5" customHeight="1" x14ac:dyDescent="0.25">
      <c r="A24" s="111" t="s">
        <v>87</v>
      </c>
      <c r="B24" s="172">
        <v>3</v>
      </c>
      <c r="C24" s="112">
        <v>596369</v>
      </c>
      <c r="D24" s="113">
        <v>187</v>
      </c>
      <c r="E24" s="113">
        <v>10841</v>
      </c>
      <c r="F24" s="375">
        <f t="shared" si="0"/>
        <v>607397</v>
      </c>
      <c r="G24" s="343"/>
      <c r="H24" s="292">
        <v>23380</v>
      </c>
      <c r="I24" s="109">
        <v>20917</v>
      </c>
      <c r="J24" s="109">
        <v>14237</v>
      </c>
      <c r="K24" s="109">
        <v>5513</v>
      </c>
      <c r="L24" s="109"/>
      <c r="M24" s="109"/>
      <c r="N24" s="344">
        <f t="shared" si="1"/>
        <v>40667</v>
      </c>
      <c r="O24" s="345">
        <v>43860.895354682209</v>
      </c>
      <c r="P24" s="345">
        <f>'[4]Issue Requests '!R24-N24</f>
        <v>3193.8953546822086</v>
      </c>
      <c r="Q24" s="344">
        <f t="shared" si="2"/>
        <v>648064</v>
      </c>
      <c r="R24" s="376">
        <f t="shared" si="3"/>
        <v>51695</v>
      </c>
      <c r="S24" s="155">
        <f t="shared" si="4"/>
        <v>8.6682909406759906E-2</v>
      </c>
    </row>
    <row r="25" spans="1:19" s="110" customFormat="1" ht="13.5" customHeight="1" x14ac:dyDescent="0.25">
      <c r="A25" s="111" t="s">
        <v>103</v>
      </c>
      <c r="B25" s="172">
        <v>3</v>
      </c>
      <c r="C25" s="112">
        <v>1346684</v>
      </c>
      <c r="D25" s="113">
        <v>613</v>
      </c>
      <c r="E25" s="113">
        <v>15546</v>
      </c>
      <c r="F25" s="375">
        <f t="shared" si="0"/>
        <v>1362843</v>
      </c>
      <c r="G25" s="343"/>
      <c r="H25" s="292">
        <v>36190</v>
      </c>
      <c r="I25" s="109">
        <v>32377</v>
      </c>
      <c r="J25" s="109">
        <v>44679</v>
      </c>
      <c r="K25" s="109">
        <v>33038</v>
      </c>
      <c r="L25" s="109"/>
      <c r="M25" s="109"/>
      <c r="N25" s="344">
        <f t="shared" si="1"/>
        <v>110094</v>
      </c>
      <c r="O25" s="345">
        <v>455162.08178940671</v>
      </c>
      <c r="P25" s="345">
        <f>'[4]Issue Requests '!R25-N25</f>
        <v>345068.08178940671</v>
      </c>
      <c r="Q25" s="344">
        <f t="shared" si="2"/>
        <v>1472937</v>
      </c>
      <c r="R25" s="376">
        <f t="shared" si="3"/>
        <v>126253</v>
      </c>
      <c r="S25" s="155">
        <f t="shared" si="4"/>
        <v>9.3751021026462031E-2</v>
      </c>
    </row>
    <row r="26" spans="1:19" s="110" customFormat="1" ht="13.5" customHeight="1" x14ac:dyDescent="0.25">
      <c r="A26" s="111" t="s">
        <v>131</v>
      </c>
      <c r="B26" s="172">
        <v>3</v>
      </c>
      <c r="C26" s="112">
        <v>1247899</v>
      </c>
      <c r="D26" s="113">
        <v>450</v>
      </c>
      <c r="E26" s="113">
        <v>13880</v>
      </c>
      <c r="F26" s="375">
        <f t="shared" si="0"/>
        <v>1262229</v>
      </c>
      <c r="G26" s="343"/>
      <c r="H26" s="292">
        <v>33002</v>
      </c>
      <c r="I26" s="109">
        <v>29525</v>
      </c>
      <c r="J26" s="109">
        <v>42045</v>
      </c>
      <c r="K26" s="109">
        <v>11160</v>
      </c>
      <c r="L26" s="109"/>
      <c r="M26" s="109"/>
      <c r="N26" s="344">
        <f t="shared" si="1"/>
        <v>82730</v>
      </c>
      <c r="O26" s="345">
        <v>167879.23517102137</v>
      </c>
      <c r="P26" s="345">
        <f>'[4]Issue Requests '!R26-N26</f>
        <v>85149.23517102137</v>
      </c>
      <c r="Q26" s="344">
        <f t="shared" si="2"/>
        <v>1344959</v>
      </c>
      <c r="R26" s="376">
        <f t="shared" si="3"/>
        <v>97060</v>
      </c>
      <c r="S26" s="155">
        <f t="shared" si="4"/>
        <v>7.7778730490207948E-2</v>
      </c>
    </row>
    <row r="27" spans="1:19" s="110" customFormat="1" ht="13.5" customHeight="1" x14ac:dyDescent="0.25">
      <c r="A27" s="111" t="s">
        <v>139</v>
      </c>
      <c r="B27" s="172">
        <v>3</v>
      </c>
      <c r="C27" s="112">
        <v>735015</v>
      </c>
      <c r="D27" s="113">
        <v>222</v>
      </c>
      <c r="E27" s="113">
        <v>10547</v>
      </c>
      <c r="F27" s="375">
        <f t="shared" si="0"/>
        <v>745784</v>
      </c>
      <c r="G27" s="343"/>
      <c r="H27" s="292">
        <v>25698.5</v>
      </c>
      <c r="I27" s="109">
        <v>22991</v>
      </c>
      <c r="J27" s="109">
        <v>23706</v>
      </c>
      <c r="K27" s="109">
        <v>12398</v>
      </c>
      <c r="L27" s="109"/>
      <c r="M27" s="109"/>
      <c r="N27" s="344">
        <f t="shared" si="1"/>
        <v>59095</v>
      </c>
      <c r="O27" s="345">
        <v>285359.16296388896</v>
      </c>
      <c r="P27" s="345">
        <f>'[4]Issue Requests '!R27-N27</f>
        <v>226264.16296388896</v>
      </c>
      <c r="Q27" s="344">
        <f t="shared" si="2"/>
        <v>804879</v>
      </c>
      <c r="R27" s="376">
        <f t="shared" si="3"/>
        <v>69864</v>
      </c>
      <c r="S27" s="155">
        <f t="shared" si="4"/>
        <v>9.5051121405685599E-2</v>
      </c>
    </row>
    <row r="28" spans="1:19" s="110" customFormat="1" ht="13.5" customHeight="1" x14ac:dyDescent="0.25">
      <c r="A28" s="111" t="s">
        <v>24</v>
      </c>
      <c r="B28" s="172">
        <v>4</v>
      </c>
      <c r="C28" s="112">
        <v>3208689</v>
      </c>
      <c r="D28" s="113">
        <v>1733</v>
      </c>
      <c r="E28" s="113">
        <v>46289</v>
      </c>
      <c r="F28" s="375">
        <f t="shared" si="0"/>
        <v>3256711</v>
      </c>
      <c r="G28" s="343"/>
      <c r="H28" s="292">
        <v>107520.5</v>
      </c>
      <c r="I28" s="109">
        <v>96193</v>
      </c>
      <c r="J28" s="109">
        <v>139794</v>
      </c>
      <c r="K28" s="109">
        <v>33086</v>
      </c>
      <c r="L28" s="109"/>
      <c r="M28" s="109"/>
      <c r="N28" s="344">
        <f t="shared" si="1"/>
        <v>269073</v>
      </c>
      <c r="O28" s="345">
        <v>2185924.5461045066</v>
      </c>
      <c r="P28" s="345">
        <f>'[4]Issue Requests '!R28-N28</f>
        <v>1916851.5461045066</v>
      </c>
      <c r="Q28" s="344">
        <f t="shared" si="2"/>
        <v>3525784</v>
      </c>
      <c r="R28" s="376">
        <f t="shared" si="3"/>
        <v>317095</v>
      </c>
      <c r="S28" s="155">
        <f t="shared" si="4"/>
        <v>9.8823849865163002E-2</v>
      </c>
    </row>
    <row r="29" spans="1:19" s="110" customFormat="1" ht="13.5" customHeight="1" x14ac:dyDescent="0.25">
      <c r="A29" s="111" t="s">
        <v>30</v>
      </c>
      <c r="B29" s="172">
        <v>4</v>
      </c>
      <c r="C29" s="112">
        <v>1634421</v>
      </c>
      <c r="D29" s="113">
        <v>535</v>
      </c>
      <c r="E29" s="113">
        <v>29435</v>
      </c>
      <c r="F29" s="375">
        <f t="shared" si="0"/>
        <v>1664391</v>
      </c>
      <c r="G29" s="343">
        <v>73087</v>
      </c>
      <c r="H29" s="292">
        <v>59413.5</v>
      </c>
      <c r="I29" s="109">
        <v>53154</v>
      </c>
      <c r="J29" s="109">
        <v>42960</v>
      </c>
      <c r="K29" s="109">
        <v>13244</v>
      </c>
      <c r="L29" s="109"/>
      <c r="M29" s="109"/>
      <c r="N29" s="344">
        <f t="shared" si="1"/>
        <v>182445</v>
      </c>
      <c r="O29" s="345">
        <v>246520.14634371971</v>
      </c>
      <c r="P29" s="345">
        <f>'[4]Issue Requests '!R29-N29</f>
        <v>64075.146343719709</v>
      </c>
      <c r="Q29" s="344">
        <f t="shared" si="2"/>
        <v>1846836</v>
      </c>
      <c r="R29" s="376">
        <f t="shared" si="3"/>
        <v>212415</v>
      </c>
      <c r="S29" s="155">
        <f t="shared" si="4"/>
        <v>0.12996345494826608</v>
      </c>
    </row>
    <row r="30" spans="1:19" s="110" customFormat="1" ht="13.5" customHeight="1" x14ac:dyDescent="0.25">
      <c r="A30" s="111" t="s">
        <v>43</v>
      </c>
      <c r="B30" s="172">
        <v>4</v>
      </c>
      <c r="C30" s="112">
        <v>1946668</v>
      </c>
      <c r="D30" s="113">
        <v>777</v>
      </c>
      <c r="E30" s="113">
        <v>32282</v>
      </c>
      <c r="F30" s="375">
        <f t="shared" si="0"/>
        <v>1979727</v>
      </c>
      <c r="G30" s="343"/>
      <c r="H30" s="292">
        <v>75935.5</v>
      </c>
      <c r="I30" s="109">
        <v>67936</v>
      </c>
      <c r="J30" s="109">
        <v>63215</v>
      </c>
      <c r="K30" s="109">
        <v>29512</v>
      </c>
      <c r="L30" s="109"/>
      <c r="M30" s="109"/>
      <c r="N30" s="344">
        <f t="shared" si="1"/>
        <v>160663</v>
      </c>
      <c r="O30" s="345">
        <v>643007.13117919187</v>
      </c>
      <c r="P30" s="345">
        <f>'[4]Issue Requests '!R30-N30</f>
        <v>482344.13117919187</v>
      </c>
      <c r="Q30" s="344">
        <f t="shared" si="2"/>
        <v>2140390</v>
      </c>
      <c r="R30" s="376">
        <f t="shared" si="3"/>
        <v>193722</v>
      </c>
      <c r="S30" s="155">
        <f t="shared" si="4"/>
        <v>9.9514657866672698E-2</v>
      </c>
    </row>
    <row r="31" spans="1:19" s="110" customFormat="1" ht="13.5" customHeight="1" x14ac:dyDescent="0.25">
      <c r="A31" s="111" t="s">
        <v>63</v>
      </c>
      <c r="B31" s="172">
        <v>4</v>
      </c>
      <c r="C31" s="112">
        <v>2098910</v>
      </c>
      <c r="D31" s="113">
        <v>721</v>
      </c>
      <c r="E31" s="113">
        <v>27846</v>
      </c>
      <c r="F31" s="375">
        <f t="shared" si="0"/>
        <v>2127477</v>
      </c>
      <c r="G31" s="343"/>
      <c r="H31" s="292">
        <v>67616</v>
      </c>
      <c r="I31" s="109">
        <v>60493</v>
      </c>
      <c r="J31" s="109">
        <v>67759</v>
      </c>
      <c r="K31" s="109">
        <v>31918</v>
      </c>
      <c r="L31" s="109"/>
      <c r="M31" s="109"/>
      <c r="N31" s="344">
        <f t="shared" si="1"/>
        <v>160170</v>
      </c>
      <c r="O31" s="345">
        <v>447052.03406796406</v>
      </c>
      <c r="P31" s="345">
        <f>'[4]Issue Requests '!R31-N31</f>
        <v>286882.03406796406</v>
      </c>
      <c r="Q31" s="344">
        <f t="shared" si="2"/>
        <v>2287647</v>
      </c>
      <c r="R31" s="376">
        <f t="shared" si="3"/>
        <v>188737</v>
      </c>
      <c r="S31" s="155">
        <f t="shared" si="4"/>
        <v>8.9921435411713699E-2</v>
      </c>
    </row>
    <row r="32" spans="1:19" s="110" customFormat="1" ht="13.5" customHeight="1" x14ac:dyDescent="0.25">
      <c r="A32" s="111" t="s">
        <v>69</v>
      </c>
      <c r="B32" s="172">
        <v>4</v>
      </c>
      <c r="C32" s="112">
        <v>3153394</v>
      </c>
      <c r="D32" s="113">
        <v>1175</v>
      </c>
      <c r="E32" s="113">
        <v>39643</v>
      </c>
      <c r="F32" s="375">
        <f t="shared" si="0"/>
        <v>3194212</v>
      </c>
      <c r="G32" s="343"/>
      <c r="H32" s="292">
        <v>96387.5</v>
      </c>
      <c r="I32" s="109">
        <v>86233</v>
      </c>
      <c r="J32" s="109">
        <v>96611</v>
      </c>
      <c r="K32" s="109">
        <v>51101</v>
      </c>
      <c r="L32" s="109"/>
      <c r="M32" s="109">
        <v>-128881</v>
      </c>
      <c r="N32" s="344">
        <f t="shared" si="1"/>
        <v>105064</v>
      </c>
      <c r="O32" s="345">
        <v>105064.14292295664</v>
      </c>
      <c r="P32" s="351">
        <f>'[4]Issue Requests '!R32-N32</f>
        <v>0.14292295664199628</v>
      </c>
      <c r="Q32" s="344">
        <f t="shared" si="2"/>
        <v>3299276</v>
      </c>
      <c r="R32" s="376">
        <f t="shared" si="3"/>
        <v>145882</v>
      </c>
      <c r="S32" s="155">
        <f t="shared" si="4"/>
        <v>4.6261900669564288E-2</v>
      </c>
    </row>
    <row r="33" spans="1:19" s="110" customFormat="1" ht="13.5" customHeight="1" x14ac:dyDescent="0.25">
      <c r="A33" s="111" t="s">
        <v>93</v>
      </c>
      <c r="B33" s="172">
        <v>4</v>
      </c>
      <c r="C33" s="112">
        <v>3707306</v>
      </c>
      <c r="D33" s="113">
        <v>1074</v>
      </c>
      <c r="E33" s="113">
        <v>46903</v>
      </c>
      <c r="F33" s="375">
        <f t="shared" si="0"/>
        <v>3755283</v>
      </c>
      <c r="G33" s="343"/>
      <c r="H33" s="292">
        <v>112597</v>
      </c>
      <c r="I33" s="109">
        <v>100735</v>
      </c>
      <c r="J33" s="109">
        <v>90460</v>
      </c>
      <c r="K33" s="109">
        <v>61562</v>
      </c>
      <c r="L33" s="109"/>
      <c r="M33" s="109"/>
      <c r="N33" s="344">
        <f t="shared" si="1"/>
        <v>252757</v>
      </c>
      <c r="O33" s="345">
        <v>317313.48862623854</v>
      </c>
      <c r="P33" s="345">
        <f>'[4]Issue Requests '!R33-N33</f>
        <v>64556.488626238541</v>
      </c>
      <c r="Q33" s="344">
        <f t="shared" si="2"/>
        <v>4008040</v>
      </c>
      <c r="R33" s="376">
        <f t="shared" si="3"/>
        <v>300734</v>
      </c>
      <c r="S33" s="155">
        <f t="shared" si="4"/>
        <v>8.1119281764170534E-2</v>
      </c>
    </row>
    <row r="34" spans="1:19" s="110" customFormat="1" ht="13.5" customHeight="1" x14ac:dyDescent="0.25">
      <c r="A34" s="111" t="s">
        <v>99</v>
      </c>
      <c r="B34" s="172">
        <v>4</v>
      </c>
      <c r="C34" s="112">
        <v>1663309</v>
      </c>
      <c r="D34" s="113">
        <v>666</v>
      </c>
      <c r="E34" s="113">
        <v>24318</v>
      </c>
      <c r="F34" s="375">
        <f t="shared" si="0"/>
        <v>1688293</v>
      </c>
      <c r="G34" s="343"/>
      <c r="H34" s="292">
        <v>59277</v>
      </c>
      <c r="I34" s="109">
        <v>53032</v>
      </c>
      <c r="J34" s="109">
        <v>53479</v>
      </c>
      <c r="K34" s="109">
        <v>25955</v>
      </c>
      <c r="L34" s="109"/>
      <c r="M34" s="109"/>
      <c r="N34" s="344">
        <f t="shared" si="1"/>
        <v>132466</v>
      </c>
      <c r="O34" s="345">
        <v>252197.37119776226</v>
      </c>
      <c r="P34" s="345">
        <f>'[4]Issue Requests '!R34-N34</f>
        <v>119731.37119776226</v>
      </c>
      <c r="Q34" s="344">
        <f t="shared" si="2"/>
        <v>1820759</v>
      </c>
      <c r="R34" s="376">
        <f t="shared" si="3"/>
        <v>157450</v>
      </c>
      <c r="S34" s="155">
        <f t="shared" si="4"/>
        <v>9.4660703453176773E-2</v>
      </c>
    </row>
    <row r="35" spans="1:19" s="110" customFormat="1" ht="13.5" customHeight="1" x14ac:dyDescent="0.25">
      <c r="A35" s="111" t="s">
        <v>117</v>
      </c>
      <c r="B35" s="172">
        <v>4</v>
      </c>
      <c r="C35" s="112">
        <v>2282612</v>
      </c>
      <c r="D35" s="113">
        <v>702</v>
      </c>
      <c r="E35" s="113">
        <v>27030</v>
      </c>
      <c r="F35" s="375">
        <f t="shared" si="0"/>
        <v>2310344</v>
      </c>
      <c r="G35" s="343"/>
      <c r="H35" s="292">
        <v>68744</v>
      </c>
      <c r="I35" s="109">
        <v>61502</v>
      </c>
      <c r="J35" s="109">
        <v>63835</v>
      </c>
      <c r="K35" s="109">
        <v>33636</v>
      </c>
      <c r="L35" s="109"/>
      <c r="M35" s="109"/>
      <c r="N35" s="344">
        <f t="shared" si="1"/>
        <v>158973</v>
      </c>
      <c r="O35" s="345">
        <v>163431.50945437653</v>
      </c>
      <c r="P35" s="345">
        <f>'[4]Issue Requests '!R35-N35</f>
        <v>4458.5094543765299</v>
      </c>
      <c r="Q35" s="344">
        <f t="shared" si="2"/>
        <v>2469317</v>
      </c>
      <c r="R35" s="376">
        <f t="shared" si="3"/>
        <v>186705</v>
      </c>
      <c r="S35" s="155">
        <f t="shared" si="4"/>
        <v>8.1794453021363248E-2</v>
      </c>
    </row>
    <row r="36" spans="1:19" s="110" customFormat="1" ht="13.5" customHeight="1" x14ac:dyDescent="0.25">
      <c r="A36" s="111" t="s">
        <v>129</v>
      </c>
      <c r="B36" s="172">
        <v>4</v>
      </c>
      <c r="C36" s="112">
        <v>2037216</v>
      </c>
      <c r="D36" s="113">
        <v>907</v>
      </c>
      <c r="E36" s="113">
        <v>32556</v>
      </c>
      <c r="F36" s="375">
        <f t="shared" si="0"/>
        <v>2070679</v>
      </c>
      <c r="G36" s="343"/>
      <c r="H36" s="292">
        <v>79327</v>
      </c>
      <c r="I36" s="109">
        <v>70970</v>
      </c>
      <c r="J36" s="109">
        <v>74348</v>
      </c>
      <c r="K36" s="109">
        <v>39834</v>
      </c>
      <c r="L36" s="109"/>
      <c r="M36" s="109"/>
      <c r="N36" s="344">
        <f t="shared" si="1"/>
        <v>185152</v>
      </c>
      <c r="O36" s="345">
        <v>518598.21407511417</v>
      </c>
      <c r="P36" s="345">
        <f>'[4]Issue Requests '!R36-N36</f>
        <v>333446.21407511417</v>
      </c>
      <c r="Q36" s="344">
        <f t="shared" si="2"/>
        <v>2255831</v>
      </c>
      <c r="R36" s="376">
        <f t="shared" si="3"/>
        <v>218615</v>
      </c>
      <c r="S36" s="155">
        <f t="shared" si="4"/>
        <v>0.10731066317955484</v>
      </c>
    </row>
    <row r="37" spans="1:19" s="110" customFormat="1" ht="13.5" customHeight="1" x14ac:dyDescent="0.25">
      <c r="A37" s="111" t="s">
        <v>141</v>
      </c>
      <c r="B37" s="172">
        <v>4</v>
      </c>
      <c r="C37" s="112">
        <v>1773887</v>
      </c>
      <c r="D37" s="113">
        <v>630</v>
      </c>
      <c r="E37" s="113">
        <v>31733</v>
      </c>
      <c r="F37" s="375">
        <f t="shared" si="0"/>
        <v>1806250</v>
      </c>
      <c r="G37" s="343"/>
      <c r="H37" s="292">
        <v>87634.5</v>
      </c>
      <c r="I37" s="109">
        <v>78402</v>
      </c>
      <c r="J37" s="109">
        <v>54270</v>
      </c>
      <c r="K37" s="109">
        <v>19720</v>
      </c>
      <c r="L37" s="109"/>
      <c r="M37" s="109"/>
      <c r="N37" s="344">
        <f t="shared" si="1"/>
        <v>152392</v>
      </c>
      <c r="O37" s="345">
        <v>350346.68298987136</v>
      </c>
      <c r="P37" s="345">
        <f>'[4]Issue Requests '!R37-N37</f>
        <v>100013.46713636135</v>
      </c>
      <c r="Q37" s="344">
        <f t="shared" si="2"/>
        <v>1958642</v>
      </c>
      <c r="R37" s="376">
        <f t="shared" si="3"/>
        <v>184755</v>
      </c>
      <c r="S37" s="155">
        <f t="shared" si="4"/>
        <v>0.10415263204476947</v>
      </c>
    </row>
    <row r="38" spans="1:19" s="110" customFormat="1" ht="13.5" customHeight="1" x14ac:dyDescent="0.25">
      <c r="A38" s="111" t="s">
        <v>4</v>
      </c>
      <c r="B38" s="172">
        <v>5</v>
      </c>
      <c r="C38" s="112">
        <v>6171388</v>
      </c>
      <c r="D38" s="113">
        <v>1922</v>
      </c>
      <c r="E38" s="113">
        <v>83592</v>
      </c>
      <c r="F38" s="375">
        <f t="shared" si="0"/>
        <v>6256902</v>
      </c>
      <c r="G38" s="343"/>
      <c r="H38" s="292">
        <v>187429.5</v>
      </c>
      <c r="I38" s="109">
        <v>167684</v>
      </c>
      <c r="J38" s="109">
        <v>178315</v>
      </c>
      <c r="K38" s="109">
        <v>73228</v>
      </c>
      <c r="L38" s="109"/>
      <c r="M38" s="109"/>
      <c r="N38" s="344">
        <f t="shared" si="1"/>
        <v>419227</v>
      </c>
      <c r="O38" s="345">
        <v>463066.56426182692</v>
      </c>
      <c r="P38" s="345">
        <f>'[4]Issue Requests '!R38-N38</f>
        <v>43839.564261826919</v>
      </c>
      <c r="Q38" s="344">
        <f t="shared" si="2"/>
        <v>6676129</v>
      </c>
      <c r="R38" s="376">
        <f t="shared" si="3"/>
        <v>504741</v>
      </c>
      <c r="S38" s="155">
        <f t="shared" si="4"/>
        <v>8.1787273786707304E-2</v>
      </c>
    </row>
    <row r="39" spans="1:19" s="110" customFormat="1" ht="13.5" customHeight="1" x14ac:dyDescent="0.25">
      <c r="A39" s="111" t="s">
        <v>12</v>
      </c>
      <c r="B39" s="172">
        <v>5</v>
      </c>
      <c r="C39" s="112">
        <v>4163012</v>
      </c>
      <c r="D39" s="113">
        <v>1155</v>
      </c>
      <c r="E39" s="113">
        <v>87733</v>
      </c>
      <c r="F39" s="375">
        <f t="shared" si="0"/>
        <v>4251900</v>
      </c>
      <c r="G39" s="343"/>
      <c r="H39" s="292">
        <v>206616</v>
      </c>
      <c r="I39" s="109">
        <v>184849</v>
      </c>
      <c r="J39" s="109">
        <v>120646</v>
      </c>
      <c r="K39" s="109">
        <v>60456</v>
      </c>
      <c r="L39" s="109"/>
      <c r="M39" s="109">
        <v>-64119</v>
      </c>
      <c r="N39" s="344">
        <f t="shared" si="1"/>
        <v>301832</v>
      </c>
      <c r="O39" s="345">
        <v>301831.55732794112</v>
      </c>
      <c r="P39" s="351">
        <f>'[4]Issue Requests '!R39-N39</f>
        <v>-0.44267205888172612</v>
      </c>
      <c r="Q39" s="344">
        <f t="shared" si="2"/>
        <v>4553732</v>
      </c>
      <c r="R39" s="376">
        <f t="shared" si="3"/>
        <v>390720</v>
      </c>
      <c r="S39" s="155">
        <f t="shared" si="4"/>
        <v>9.3855122204788269E-2</v>
      </c>
    </row>
    <row r="40" spans="1:19" s="110" customFormat="1" ht="13.5" customHeight="1" x14ac:dyDescent="0.25">
      <c r="A40" s="111" t="s">
        <v>22</v>
      </c>
      <c r="B40" s="172">
        <v>5</v>
      </c>
      <c r="C40" s="112">
        <v>3774623</v>
      </c>
      <c r="D40" s="113">
        <v>1302</v>
      </c>
      <c r="E40" s="113">
        <v>63306</v>
      </c>
      <c r="F40" s="375">
        <f t="shared" si="0"/>
        <v>3839231</v>
      </c>
      <c r="G40" s="343"/>
      <c r="H40" s="292">
        <v>155263</v>
      </c>
      <c r="I40" s="109">
        <v>138906</v>
      </c>
      <c r="J40" s="109">
        <v>90823</v>
      </c>
      <c r="K40" s="109">
        <v>46090</v>
      </c>
      <c r="L40" s="109"/>
      <c r="M40" s="109"/>
      <c r="N40" s="344">
        <f t="shared" si="1"/>
        <v>275819</v>
      </c>
      <c r="O40" s="345">
        <v>300310.84408496961</v>
      </c>
      <c r="P40" s="345">
        <f>'[4]Issue Requests '!R40-N40</f>
        <v>24491.844084969605</v>
      </c>
      <c r="Q40" s="344">
        <f t="shared" si="2"/>
        <v>4115050</v>
      </c>
      <c r="R40" s="376">
        <f t="shared" si="3"/>
        <v>340427</v>
      </c>
      <c r="S40" s="155">
        <f t="shared" si="4"/>
        <v>9.0188344637331996E-2</v>
      </c>
    </row>
    <row r="41" spans="1:19" s="110" customFormat="1" ht="13.5" customHeight="1" x14ac:dyDescent="0.25">
      <c r="A41" s="111" t="s">
        <v>26</v>
      </c>
      <c r="B41" s="172">
        <v>5</v>
      </c>
      <c r="C41" s="112">
        <v>3921856</v>
      </c>
      <c r="D41" s="113">
        <v>1317</v>
      </c>
      <c r="E41" s="113">
        <v>64122</v>
      </c>
      <c r="F41" s="375">
        <f t="shared" si="0"/>
        <v>3987295</v>
      </c>
      <c r="G41" s="343"/>
      <c r="H41" s="292">
        <v>149779.5</v>
      </c>
      <c r="I41" s="109">
        <v>134000</v>
      </c>
      <c r="J41" s="109">
        <v>129106</v>
      </c>
      <c r="K41" s="109">
        <v>26337</v>
      </c>
      <c r="L41" s="109"/>
      <c r="M41" s="109"/>
      <c r="N41" s="344">
        <f t="shared" si="1"/>
        <v>289443</v>
      </c>
      <c r="O41" s="345">
        <v>1964646.6336390355</v>
      </c>
      <c r="P41" s="345">
        <f>'[4]Issue Requests '!R41-N41</f>
        <v>1675203.6336390355</v>
      </c>
      <c r="Q41" s="344">
        <f t="shared" si="2"/>
        <v>4276738</v>
      </c>
      <c r="R41" s="376">
        <f t="shared" si="3"/>
        <v>354882</v>
      </c>
      <c r="S41" s="155">
        <f t="shared" si="4"/>
        <v>9.0488279018913501E-2</v>
      </c>
    </row>
    <row r="42" spans="1:19" s="110" customFormat="1" ht="13.5" customHeight="1" x14ac:dyDescent="0.25">
      <c r="A42" s="111" t="s">
        <v>28</v>
      </c>
      <c r="B42" s="172">
        <v>5</v>
      </c>
      <c r="C42" s="112">
        <v>6853711</v>
      </c>
      <c r="D42" s="113">
        <v>3115</v>
      </c>
      <c r="E42" s="113">
        <v>104095</v>
      </c>
      <c r="F42" s="375">
        <f t="shared" si="0"/>
        <v>6960921</v>
      </c>
      <c r="G42" s="343"/>
      <c r="H42" s="292">
        <v>229643</v>
      </c>
      <c r="I42" s="109">
        <v>205450</v>
      </c>
      <c r="J42" s="109">
        <v>242713</v>
      </c>
      <c r="K42" s="109">
        <v>68147</v>
      </c>
      <c r="L42" s="109"/>
      <c r="M42" s="109"/>
      <c r="N42" s="344">
        <f t="shared" si="1"/>
        <v>516310</v>
      </c>
      <c r="O42" s="345">
        <v>1537773.4089730699</v>
      </c>
      <c r="P42" s="345">
        <f>'[4]Issue Requests '!R42-N42</f>
        <v>1021463.4089730699</v>
      </c>
      <c r="Q42" s="344">
        <f t="shared" si="2"/>
        <v>7477231</v>
      </c>
      <c r="R42" s="376">
        <f t="shared" si="3"/>
        <v>623520</v>
      </c>
      <c r="S42" s="155">
        <f t="shared" si="4"/>
        <v>9.097553135812117E-2</v>
      </c>
    </row>
    <row r="43" spans="1:19" s="110" customFormat="1" ht="13.5" customHeight="1" x14ac:dyDescent="0.25">
      <c r="A43" s="111" t="s">
        <v>61</v>
      </c>
      <c r="B43" s="172">
        <v>5</v>
      </c>
      <c r="C43" s="112">
        <v>3649303</v>
      </c>
      <c r="D43" s="113">
        <v>1352</v>
      </c>
      <c r="E43" s="113">
        <v>58014</v>
      </c>
      <c r="F43" s="375">
        <f t="shared" si="0"/>
        <v>3708669</v>
      </c>
      <c r="G43" s="343"/>
      <c r="H43" s="292">
        <v>143303.5</v>
      </c>
      <c r="I43" s="109">
        <v>128206</v>
      </c>
      <c r="J43" s="109">
        <v>118680</v>
      </c>
      <c r="K43" s="109">
        <v>47852</v>
      </c>
      <c r="L43" s="109"/>
      <c r="M43" s="109"/>
      <c r="N43" s="344">
        <f t="shared" si="1"/>
        <v>294738</v>
      </c>
      <c r="O43" s="345">
        <v>523088.36298549088</v>
      </c>
      <c r="P43" s="345">
        <f>'[4]Issue Requests '!R43-N43</f>
        <v>228350.36298549088</v>
      </c>
      <c r="Q43" s="344">
        <f t="shared" si="2"/>
        <v>4003407</v>
      </c>
      <c r="R43" s="376">
        <f t="shared" si="3"/>
        <v>354104</v>
      </c>
      <c r="S43" s="155">
        <f t="shared" si="4"/>
        <v>9.7033323897741566E-2</v>
      </c>
    </row>
    <row r="44" spans="1:19" s="110" customFormat="1" ht="13.5" customHeight="1" x14ac:dyDescent="0.25">
      <c r="A44" s="111" t="s">
        <v>77</v>
      </c>
      <c r="B44" s="172">
        <v>5</v>
      </c>
      <c r="C44" s="112">
        <v>6602454</v>
      </c>
      <c r="D44" s="113">
        <v>2367</v>
      </c>
      <c r="E44" s="113">
        <v>104156</v>
      </c>
      <c r="F44" s="375">
        <f t="shared" si="0"/>
        <v>6708977</v>
      </c>
      <c r="G44" s="343"/>
      <c r="H44" s="292">
        <v>245441.5</v>
      </c>
      <c r="I44" s="109">
        <v>219584</v>
      </c>
      <c r="J44" s="109">
        <v>205643</v>
      </c>
      <c r="K44" s="109">
        <v>80594</v>
      </c>
      <c r="L44" s="109"/>
      <c r="M44" s="109"/>
      <c r="N44" s="344">
        <f t="shared" si="1"/>
        <v>505821</v>
      </c>
      <c r="O44" s="345">
        <v>1622166.7990298376</v>
      </c>
      <c r="P44" s="345">
        <f>'[4]Issue Requests '!R44-N44</f>
        <v>1116345.7990298376</v>
      </c>
      <c r="Q44" s="344">
        <f t="shared" si="2"/>
        <v>7214798</v>
      </c>
      <c r="R44" s="376">
        <f t="shared" si="3"/>
        <v>612344</v>
      </c>
      <c r="S44" s="155">
        <f t="shared" si="4"/>
        <v>9.2744909695698E-2</v>
      </c>
    </row>
    <row r="45" spans="1:19" s="110" customFormat="1" ht="13.5" customHeight="1" x14ac:dyDescent="0.25">
      <c r="A45" s="111" t="s">
        <v>81</v>
      </c>
      <c r="B45" s="172">
        <v>5</v>
      </c>
      <c r="C45" s="112">
        <v>6281452</v>
      </c>
      <c r="D45" s="113">
        <v>2095</v>
      </c>
      <c r="E45" s="113">
        <v>92707</v>
      </c>
      <c r="F45" s="375">
        <f t="shared" si="0"/>
        <v>6376254</v>
      </c>
      <c r="G45" s="343"/>
      <c r="H45" s="292">
        <v>204552.5</v>
      </c>
      <c r="I45" s="109">
        <v>183003</v>
      </c>
      <c r="J45" s="109">
        <v>161085</v>
      </c>
      <c r="K45" s="109">
        <v>90069</v>
      </c>
      <c r="L45" s="109"/>
      <c r="M45" s="109"/>
      <c r="N45" s="344">
        <f t="shared" si="1"/>
        <v>434157</v>
      </c>
      <c r="O45" s="345">
        <v>541714.17233044992</v>
      </c>
      <c r="P45" s="345">
        <f>'[4]Issue Requests '!R45-N45</f>
        <v>107557.17233044992</v>
      </c>
      <c r="Q45" s="344">
        <f t="shared" si="2"/>
        <v>6810411</v>
      </c>
      <c r="R45" s="376">
        <f t="shared" si="3"/>
        <v>528959</v>
      </c>
      <c r="S45" s="155">
        <f t="shared" si="4"/>
        <v>8.4209669993498312E-2</v>
      </c>
    </row>
    <row r="46" spans="1:19" s="110" customFormat="1" ht="13.5" customHeight="1" x14ac:dyDescent="0.25">
      <c r="A46" s="111" t="s">
        <v>91</v>
      </c>
      <c r="B46" s="172">
        <v>5</v>
      </c>
      <c r="C46" s="112">
        <v>6978601</v>
      </c>
      <c r="D46" s="113">
        <v>2651</v>
      </c>
      <c r="E46" s="113">
        <v>108014</v>
      </c>
      <c r="F46" s="375">
        <f t="shared" si="0"/>
        <v>7089266</v>
      </c>
      <c r="G46" s="343"/>
      <c r="H46" s="292">
        <v>261608.5</v>
      </c>
      <c r="I46" s="109">
        <v>234048</v>
      </c>
      <c r="J46" s="109">
        <v>212209</v>
      </c>
      <c r="K46" s="109">
        <v>76615</v>
      </c>
      <c r="L46" s="109"/>
      <c r="M46" s="109"/>
      <c r="N46" s="344">
        <f t="shared" si="1"/>
        <v>522872</v>
      </c>
      <c r="O46" s="345">
        <v>878232.25988431566</v>
      </c>
      <c r="P46" s="345">
        <f>'[4]Issue Requests '!R46-N46</f>
        <v>355360.25988431566</v>
      </c>
      <c r="Q46" s="344">
        <f t="shared" si="2"/>
        <v>7612138</v>
      </c>
      <c r="R46" s="376">
        <f t="shared" si="3"/>
        <v>633537</v>
      </c>
      <c r="S46" s="155">
        <f t="shared" si="4"/>
        <v>9.0782808760667077E-2</v>
      </c>
    </row>
    <row r="47" spans="1:19" s="110" customFormat="1" ht="13.5" customHeight="1" x14ac:dyDescent="0.25">
      <c r="A47" s="111" t="s">
        <v>97</v>
      </c>
      <c r="B47" s="172">
        <v>5</v>
      </c>
      <c r="C47" s="112">
        <v>3742987</v>
      </c>
      <c r="D47" s="113">
        <v>1862</v>
      </c>
      <c r="E47" s="113">
        <v>54722</v>
      </c>
      <c r="F47" s="375">
        <f t="shared" si="0"/>
        <v>3799571</v>
      </c>
      <c r="G47" s="343"/>
      <c r="H47" s="292">
        <v>127445.5</v>
      </c>
      <c r="I47" s="109">
        <v>114019</v>
      </c>
      <c r="J47" s="109">
        <v>134672</v>
      </c>
      <c r="K47" s="109">
        <v>82124</v>
      </c>
      <c r="L47" s="109"/>
      <c r="M47" s="109"/>
      <c r="N47" s="344">
        <f t="shared" si="1"/>
        <v>330815</v>
      </c>
      <c r="O47" s="345">
        <v>395477.60251734417</v>
      </c>
      <c r="P47" s="345">
        <f>'[4]Issue Requests '!R47-N47</f>
        <v>64662.602517344174</v>
      </c>
      <c r="Q47" s="344">
        <f t="shared" si="2"/>
        <v>4130386</v>
      </c>
      <c r="R47" s="376">
        <f t="shared" si="3"/>
        <v>387399</v>
      </c>
      <c r="S47" s="155">
        <f t="shared" si="4"/>
        <v>0.10349995872280614</v>
      </c>
    </row>
    <row r="48" spans="1:19" s="110" customFormat="1" ht="13.5" customHeight="1" x14ac:dyDescent="0.25">
      <c r="A48" s="111" t="s">
        <v>101</v>
      </c>
      <c r="B48" s="172">
        <v>5</v>
      </c>
      <c r="C48" s="112">
        <v>3905634</v>
      </c>
      <c r="D48" s="113">
        <v>1288</v>
      </c>
      <c r="E48" s="113">
        <v>69498</v>
      </c>
      <c r="F48" s="375">
        <f t="shared" si="0"/>
        <v>3976420</v>
      </c>
      <c r="G48" s="343"/>
      <c r="H48" s="292">
        <v>159894</v>
      </c>
      <c r="I48" s="109">
        <v>143049</v>
      </c>
      <c r="J48" s="109">
        <v>113978</v>
      </c>
      <c r="K48" s="109">
        <v>40665</v>
      </c>
      <c r="L48" s="109"/>
      <c r="M48" s="109"/>
      <c r="N48" s="344">
        <f t="shared" si="1"/>
        <v>297692</v>
      </c>
      <c r="O48" s="345">
        <v>349810.40641945688</v>
      </c>
      <c r="P48" s="345">
        <f>'[4]Issue Requests '!R48-N48</f>
        <v>-17912.307454014837</v>
      </c>
      <c r="Q48" s="344">
        <f t="shared" si="2"/>
        <v>4274112</v>
      </c>
      <c r="R48" s="376">
        <f t="shared" si="3"/>
        <v>368478</v>
      </c>
      <c r="S48" s="155">
        <f t="shared" si="4"/>
        <v>9.4345245867892377E-2</v>
      </c>
    </row>
    <row r="49" spans="1:19" s="110" customFormat="1" ht="13.5" customHeight="1" x14ac:dyDescent="0.25">
      <c r="A49" s="111" t="s">
        <v>119</v>
      </c>
      <c r="B49" s="172">
        <v>5</v>
      </c>
      <c r="C49" s="112">
        <v>3849915</v>
      </c>
      <c r="D49" s="113">
        <v>1715</v>
      </c>
      <c r="E49" s="113">
        <v>72359</v>
      </c>
      <c r="F49" s="375">
        <f t="shared" si="0"/>
        <v>3923989</v>
      </c>
      <c r="G49" s="343"/>
      <c r="H49" s="292">
        <v>193082</v>
      </c>
      <c r="I49" s="109">
        <v>172741</v>
      </c>
      <c r="J49" s="109">
        <v>119325</v>
      </c>
      <c r="K49" s="109">
        <v>33234</v>
      </c>
      <c r="L49" s="109"/>
      <c r="M49" s="109"/>
      <c r="N49" s="344">
        <f t="shared" si="1"/>
        <v>325300</v>
      </c>
      <c r="O49" s="345">
        <v>1337673.7266639657</v>
      </c>
      <c r="P49" s="345">
        <f>'[4]Issue Requests '!R49-N49</f>
        <v>1012373.7266639657</v>
      </c>
      <c r="Q49" s="344">
        <f t="shared" si="2"/>
        <v>4249289</v>
      </c>
      <c r="R49" s="376">
        <f t="shared" si="3"/>
        <v>399374</v>
      </c>
      <c r="S49" s="155">
        <f t="shared" si="4"/>
        <v>0.10373579676434415</v>
      </c>
    </row>
    <row r="50" spans="1:19" s="110" customFormat="1" ht="13.5" customHeight="1" x14ac:dyDescent="0.25">
      <c r="A50" s="111" t="s">
        <v>121</v>
      </c>
      <c r="B50" s="172">
        <v>5</v>
      </c>
      <c r="C50" s="112">
        <v>7079178</v>
      </c>
      <c r="D50" s="113">
        <v>2458</v>
      </c>
      <c r="E50" s="113">
        <v>103980</v>
      </c>
      <c r="F50" s="375">
        <f t="shared" si="0"/>
        <v>7185616</v>
      </c>
      <c r="G50" s="343"/>
      <c r="H50" s="292">
        <v>247758</v>
      </c>
      <c r="I50" s="109">
        <v>221657</v>
      </c>
      <c r="J50" s="109">
        <v>204452</v>
      </c>
      <c r="K50" s="109">
        <v>100588</v>
      </c>
      <c r="L50" s="109"/>
      <c r="M50" s="109"/>
      <c r="N50" s="344">
        <f t="shared" si="1"/>
        <v>526697</v>
      </c>
      <c r="O50" s="345">
        <v>3309093.4736074004</v>
      </c>
      <c r="P50" s="345">
        <f>'[4]Issue Requests '!R50-N50</f>
        <v>2782396.4736074004</v>
      </c>
      <c r="Q50" s="344">
        <f t="shared" si="2"/>
        <v>7712313</v>
      </c>
      <c r="R50" s="376">
        <f t="shared" si="3"/>
        <v>633135</v>
      </c>
      <c r="S50" s="155">
        <f t="shared" si="4"/>
        <v>8.9436231155651122E-2</v>
      </c>
    </row>
    <row r="51" spans="1:19" s="110" customFormat="1" ht="13.5" customHeight="1" x14ac:dyDescent="0.25">
      <c r="A51" s="111" t="s">
        <v>123</v>
      </c>
      <c r="B51" s="172">
        <v>5</v>
      </c>
      <c r="C51" s="112">
        <v>3399223</v>
      </c>
      <c r="D51" s="113">
        <v>1494</v>
      </c>
      <c r="E51" s="113">
        <v>54083</v>
      </c>
      <c r="F51" s="375">
        <f t="shared" si="0"/>
        <v>3454800</v>
      </c>
      <c r="G51" s="343">
        <v>146173</v>
      </c>
      <c r="H51" s="292">
        <v>131651.5</v>
      </c>
      <c r="I51" s="109">
        <v>117782</v>
      </c>
      <c r="J51" s="109">
        <v>123851</v>
      </c>
      <c r="K51" s="109">
        <f>72340-1</f>
        <v>72339</v>
      </c>
      <c r="L51" s="109"/>
      <c r="M51" s="109"/>
      <c r="N51" s="344">
        <f t="shared" si="1"/>
        <v>460145</v>
      </c>
      <c r="O51" s="345">
        <v>1994462.871317422</v>
      </c>
      <c r="P51" s="345">
        <f>'[4]Issue Requests '!R51-N51</f>
        <v>1703747.2008774863</v>
      </c>
      <c r="Q51" s="344">
        <f t="shared" si="2"/>
        <v>3914945</v>
      </c>
      <c r="R51" s="376">
        <f t="shared" si="3"/>
        <v>515722</v>
      </c>
      <c r="S51" s="155">
        <f t="shared" si="4"/>
        <v>0.15171761311334972</v>
      </c>
    </row>
    <row r="52" spans="1:19" s="110" customFormat="1" ht="13.5" customHeight="1" x14ac:dyDescent="0.25">
      <c r="A52" s="111" t="s">
        <v>16</v>
      </c>
      <c r="B52" s="172">
        <v>6</v>
      </c>
      <c r="C52" s="112">
        <v>12007147</v>
      </c>
      <c r="D52" s="113">
        <v>3763</v>
      </c>
      <c r="E52" s="113">
        <v>175265</v>
      </c>
      <c r="F52" s="375">
        <f t="shared" si="0"/>
        <v>12186175</v>
      </c>
      <c r="G52" s="343"/>
      <c r="H52" s="292">
        <v>394059</v>
      </c>
      <c r="I52" s="109">
        <v>352545</v>
      </c>
      <c r="J52" s="109">
        <v>343287</v>
      </c>
      <c r="K52" s="109">
        <v>160934</v>
      </c>
      <c r="L52" s="109"/>
      <c r="M52" s="109"/>
      <c r="N52" s="344">
        <f t="shared" si="1"/>
        <v>856766</v>
      </c>
      <c r="O52" s="345">
        <v>880545.40421152418</v>
      </c>
      <c r="P52" s="345">
        <f>'[4]Issue Requests '!R52-N52</f>
        <v>23779.404211524175</v>
      </c>
      <c r="Q52" s="344">
        <f t="shared" si="2"/>
        <v>13042941</v>
      </c>
      <c r="R52" s="376">
        <f t="shared" si="3"/>
        <v>1035794</v>
      </c>
      <c r="S52" s="155">
        <f t="shared" si="4"/>
        <v>8.6264788796206124E-2</v>
      </c>
    </row>
    <row r="53" spans="1:19" s="110" customFormat="1" ht="13.5" customHeight="1" x14ac:dyDescent="0.25">
      <c r="A53" s="111" t="s">
        <v>41</v>
      </c>
      <c r="B53" s="172">
        <v>6</v>
      </c>
      <c r="C53" s="112">
        <v>7404024</v>
      </c>
      <c r="D53" s="113">
        <v>2531</v>
      </c>
      <c r="E53" s="113">
        <v>111091</v>
      </c>
      <c r="F53" s="375">
        <f t="shared" si="0"/>
        <v>7517646</v>
      </c>
      <c r="G53" s="343"/>
      <c r="H53" s="292">
        <v>249165.5</v>
      </c>
      <c r="I53" s="109">
        <v>222916</v>
      </c>
      <c r="J53" s="109">
        <v>176310</v>
      </c>
      <c r="K53" s="109">
        <v>95833</v>
      </c>
      <c r="L53" s="109"/>
      <c r="M53" s="109"/>
      <c r="N53" s="344">
        <f t="shared" si="1"/>
        <v>495059</v>
      </c>
      <c r="O53" s="345">
        <v>717817.94046688732</v>
      </c>
      <c r="P53" s="345">
        <f>'[4]Issue Requests '!R53-N53</f>
        <v>158819.50870223111</v>
      </c>
      <c r="Q53" s="344">
        <f t="shared" si="2"/>
        <v>8012705</v>
      </c>
      <c r="R53" s="376">
        <f t="shared" si="3"/>
        <v>608681</v>
      </c>
      <c r="S53" s="155">
        <f t="shared" si="4"/>
        <v>8.22094850043706E-2</v>
      </c>
    </row>
    <row r="54" spans="1:19" s="110" customFormat="1" ht="13.5" customHeight="1" x14ac:dyDescent="0.25">
      <c r="A54" s="111" t="s">
        <v>89</v>
      </c>
      <c r="B54" s="172">
        <v>6</v>
      </c>
      <c r="C54" s="112">
        <v>6336095</v>
      </c>
      <c r="D54" s="113">
        <v>1748</v>
      </c>
      <c r="E54" s="113">
        <v>108299</v>
      </c>
      <c r="F54" s="375">
        <f t="shared" si="0"/>
        <v>6446142</v>
      </c>
      <c r="G54" s="343"/>
      <c r="H54" s="292">
        <v>247722</v>
      </c>
      <c r="I54" s="109">
        <v>221624</v>
      </c>
      <c r="J54" s="109">
        <v>168749</v>
      </c>
      <c r="K54" s="109">
        <v>47706</v>
      </c>
      <c r="L54" s="109"/>
      <c r="M54" s="109"/>
      <c r="N54" s="344">
        <f t="shared" si="1"/>
        <v>438079</v>
      </c>
      <c r="O54" s="345">
        <v>817706.59417165699</v>
      </c>
      <c r="P54" s="345">
        <f>'[4]Issue Requests '!R54-N54</f>
        <v>379627.59417165699</v>
      </c>
      <c r="Q54" s="344">
        <f t="shared" si="2"/>
        <v>6884221</v>
      </c>
      <c r="R54" s="376">
        <f t="shared" si="3"/>
        <v>548126</v>
      </c>
      <c r="S54" s="155">
        <f t="shared" si="4"/>
        <v>8.650848827235072E-2</v>
      </c>
    </row>
    <row r="55" spans="1:19" s="110" customFormat="1" ht="13.5" customHeight="1" x14ac:dyDescent="0.25">
      <c r="A55" s="111" t="s">
        <v>107</v>
      </c>
      <c r="B55" s="172">
        <v>6</v>
      </c>
      <c r="C55" s="112">
        <v>8245248</v>
      </c>
      <c r="D55" s="113">
        <v>2638</v>
      </c>
      <c r="E55" s="113">
        <v>131587</v>
      </c>
      <c r="F55" s="375">
        <f t="shared" si="0"/>
        <v>8379473</v>
      </c>
      <c r="G55" s="343"/>
      <c r="H55" s="292">
        <v>332973</v>
      </c>
      <c r="I55" s="109">
        <v>297894</v>
      </c>
      <c r="J55" s="109">
        <v>225862</v>
      </c>
      <c r="K55" s="109">
        <v>116200</v>
      </c>
      <c r="L55" s="109"/>
      <c r="M55" s="109">
        <v>-28091</v>
      </c>
      <c r="N55" s="344">
        <f t="shared" si="1"/>
        <v>611865</v>
      </c>
      <c r="O55" s="345">
        <v>611864.85608921188</v>
      </c>
      <c r="P55" s="351">
        <f>'[4]Issue Requests '!R55-N55</f>
        <v>-0.1439107881160453</v>
      </c>
      <c r="Q55" s="344">
        <f t="shared" si="2"/>
        <v>8991338</v>
      </c>
      <c r="R55" s="376">
        <f t="shared" si="3"/>
        <v>746090</v>
      </c>
      <c r="S55" s="155">
        <f t="shared" si="4"/>
        <v>9.0487272183929462E-2</v>
      </c>
    </row>
    <row r="56" spans="1:19" s="110" customFormat="1" ht="13.5" customHeight="1" x14ac:dyDescent="0.25">
      <c r="A56" s="111" t="s">
        <v>111</v>
      </c>
      <c r="B56" s="172">
        <v>6</v>
      </c>
      <c r="C56" s="112">
        <v>12307689</v>
      </c>
      <c r="D56" s="113">
        <v>5296</v>
      </c>
      <c r="E56" s="113">
        <v>150254</v>
      </c>
      <c r="F56" s="375">
        <f t="shared" si="0"/>
        <v>12463239</v>
      </c>
      <c r="G56" s="343"/>
      <c r="H56" s="292">
        <v>351183.5</v>
      </c>
      <c r="I56" s="109">
        <v>314186</v>
      </c>
      <c r="J56" s="109">
        <v>395159</v>
      </c>
      <c r="K56" s="109">
        <v>108822</v>
      </c>
      <c r="L56" s="109"/>
      <c r="M56" s="109"/>
      <c r="N56" s="344">
        <f t="shared" si="1"/>
        <v>818167</v>
      </c>
      <c r="O56" s="345">
        <v>6169533.920553498</v>
      </c>
      <c r="P56" s="345">
        <f>'[4]Issue Requests '!R56-N56</f>
        <v>5351366.920553498</v>
      </c>
      <c r="Q56" s="344">
        <f t="shared" si="2"/>
        <v>13281406</v>
      </c>
      <c r="R56" s="376">
        <f t="shared" si="3"/>
        <v>973717</v>
      </c>
      <c r="S56" s="155">
        <f t="shared" si="4"/>
        <v>7.911452751202927E-2</v>
      </c>
    </row>
    <row r="57" spans="1:19" s="110" customFormat="1" ht="13.5" customHeight="1" x14ac:dyDescent="0.25">
      <c r="A57" s="111" t="s">
        <v>125</v>
      </c>
      <c r="B57" s="172">
        <v>6</v>
      </c>
      <c r="C57" s="112">
        <v>8647310</v>
      </c>
      <c r="D57" s="113">
        <v>2910</v>
      </c>
      <c r="E57" s="113">
        <v>137359</v>
      </c>
      <c r="F57" s="375">
        <f t="shared" si="0"/>
        <v>8787579</v>
      </c>
      <c r="G57" s="343"/>
      <c r="H57" s="292">
        <v>329224</v>
      </c>
      <c r="I57" s="109">
        <v>294540</v>
      </c>
      <c r="J57" s="109">
        <v>221971</v>
      </c>
      <c r="K57" s="109">
        <v>139012</v>
      </c>
      <c r="L57" s="109"/>
      <c r="M57" s="109"/>
      <c r="N57" s="344">
        <f t="shared" si="1"/>
        <v>655523</v>
      </c>
      <c r="O57" s="345">
        <v>825540.1449361461</v>
      </c>
      <c r="P57" s="345">
        <f>'[4]Issue Requests '!R57-N57</f>
        <v>170017.1449361461</v>
      </c>
      <c r="Q57" s="344">
        <f t="shared" si="2"/>
        <v>9443102</v>
      </c>
      <c r="R57" s="376">
        <f t="shared" si="3"/>
        <v>795792</v>
      </c>
      <c r="S57" s="155">
        <f t="shared" si="4"/>
        <v>9.2027694161536944E-2</v>
      </c>
    </row>
    <row r="58" spans="1:19" s="110" customFormat="1" ht="13.5" customHeight="1" x14ac:dyDescent="0.25">
      <c r="A58" s="111" t="s">
        <v>127</v>
      </c>
      <c r="B58" s="172">
        <v>6</v>
      </c>
      <c r="C58" s="112">
        <v>9412788</v>
      </c>
      <c r="D58" s="113">
        <v>3298</v>
      </c>
      <c r="E58" s="113">
        <v>141213</v>
      </c>
      <c r="F58" s="375">
        <f t="shared" si="0"/>
        <v>9557299</v>
      </c>
      <c r="G58" s="343"/>
      <c r="H58" s="292">
        <v>339737</v>
      </c>
      <c r="I58" s="109">
        <v>303946</v>
      </c>
      <c r="J58" s="109">
        <v>267013</v>
      </c>
      <c r="K58" s="109">
        <v>70972</v>
      </c>
      <c r="L58" s="109"/>
      <c r="M58" s="109"/>
      <c r="N58" s="344">
        <f t="shared" si="1"/>
        <v>641931</v>
      </c>
      <c r="O58" s="345">
        <v>1123238.1308128424</v>
      </c>
      <c r="P58" s="345">
        <f>'[4]Issue Requests '!R58-N58</f>
        <v>481307.1308128424</v>
      </c>
      <c r="Q58" s="344">
        <f t="shared" si="2"/>
        <v>10199230</v>
      </c>
      <c r="R58" s="376">
        <f t="shared" si="3"/>
        <v>786442</v>
      </c>
      <c r="S58" s="155">
        <f t="shared" si="4"/>
        <v>8.3550378485099205E-2</v>
      </c>
    </row>
    <row r="59" spans="1:19" s="110" customFormat="1" ht="13.5" customHeight="1" x14ac:dyDescent="0.25">
      <c r="A59" s="111" t="s">
        <v>79</v>
      </c>
      <c r="B59" s="172">
        <v>7</v>
      </c>
      <c r="C59" s="112">
        <v>12492314</v>
      </c>
      <c r="D59" s="113">
        <v>5284</v>
      </c>
      <c r="E59" s="113">
        <v>217805</v>
      </c>
      <c r="F59" s="375">
        <f t="shared" si="0"/>
        <v>12715403</v>
      </c>
      <c r="G59" s="343">
        <v>73087</v>
      </c>
      <c r="H59" s="292">
        <v>569245.5</v>
      </c>
      <c r="I59" s="109">
        <v>509275</v>
      </c>
      <c r="J59" s="109">
        <v>438274</v>
      </c>
      <c r="K59" s="109">
        <v>90820</v>
      </c>
      <c r="L59" s="109"/>
      <c r="M59" s="109"/>
      <c r="N59" s="344">
        <f t="shared" si="1"/>
        <v>1111456</v>
      </c>
      <c r="O59" s="345">
        <v>1119217.4237809798</v>
      </c>
      <c r="P59" s="345">
        <f>'[4]Issue Requests '!R59-N59</f>
        <v>7761.4237809798215</v>
      </c>
      <c r="Q59" s="344">
        <f t="shared" si="2"/>
        <v>13826859</v>
      </c>
      <c r="R59" s="376">
        <f t="shared" si="3"/>
        <v>1334545</v>
      </c>
      <c r="S59" s="155">
        <f t="shared" si="4"/>
        <v>0.10682928719210869</v>
      </c>
    </row>
    <row r="60" spans="1:19" s="110" customFormat="1" ht="13.5" customHeight="1" x14ac:dyDescent="0.25">
      <c r="A60" s="111" t="s">
        <v>113</v>
      </c>
      <c r="B60" s="172">
        <v>7</v>
      </c>
      <c r="C60" s="112">
        <v>23958734</v>
      </c>
      <c r="D60" s="113">
        <v>8360</v>
      </c>
      <c r="E60" s="113">
        <v>327336</v>
      </c>
      <c r="F60" s="375">
        <f t="shared" si="0"/>
        <v>24294430</v>
      </c>
      <c r="G60" s="343"/>
      <c r="H60" s="292">
        <v>742045.5</v>
      </c>
      <c r="I60" s="109">
        <v>663871</v>
      </c>
      <c r="J60" s="109">
        <v>779739</v>
      </c>
      <c r="K60" s="109">
        <v>228895</v>
      </c>
      <c r="L60" s="109"/>
      <c r="M60" s="109"/>
      <c r="N60" s="344">
        <f t="shared" si="1"/>
        <v>1672505</v>
      </c>
      <c r="O60" s="345">
        <v>4863659.7189835571</v>
      </c>
      <c r="P60" s="345">
        <f>'[4]Issue Requests '!R60-N60</f>
        <v>3191154.7189835571</v>
      </c>
      <c r="Q60" s="344">
        <f t="shared" si="2"/>
        <v>25966935</v>
      </c>
      <c r="R60" s="376">
        <f t="shared" si="3"/>
        <v>2008201</v>
      </c>
      <c r="S60" s="155">
        <f t="shared" si="4"/>
        <v>8.3819161730331826E-2</v>
      </c>
    </row>
    <row r="61" spans="1:19" s="110" customFormat="1" ht="13.5" customHeight="1" x14ac:dyDescent="0.25">
      <c r="A61" s="111" t="s">
        <v>115</v>
      </c>
      <c r="B61" s="172">
        <v>7</v>
      </c>
      <c r="C61" s="112">
        <v>13278182</v>
      </c>
      <c r="D61" s="113">
        <v>5184</v>
      </c>
      <c r="E61" s="113">
        <v>257503</v>
      </c>
      <c r="F61" s="375">
        <f t="shared" si="0"/>
        <v>13540869</v>
      </c>
      <c r="G61" s="343"/>
      <c r="H61" s="292">
        <v>628540</v>
      </c>
      <c r="I61" s="109">
        <v>562323</v>
      </c>
      <c r="J61" s="109">
        <v>401928</v>
      </c>
      <c r="K61" s="109">
        <v>197941</v>
      </c>
      <c r="L61" s="109"/>
      <c r="M61" s="109"/>
      <c r="N61" s="344">
        <f t="shared" si="1"/>
        <v>1162192</v>
      </c>
      <c r="O61" s="345">
        <v>3254920.8771004034</v>
      </c>
      <c r="P61" s="345">
        <f>'[4]Issue Requests '!R61-N61</f>
        <v>2092728.8771004034</v>
      </c>
      <c r="Q61" s="344">
        <f t="shared" si="2"/>
        <v>14703061</v>
      </c>
      <c r="R61" s="376">
        <f t="shared" si="3"/>
        <v>1424879</v>
      </c>
      <c r="S61" s="155">
        <f t="shared" si="4"/>
        <v>0.1073097958741641</v>
      </c>
    </row>
    <row r="62" spans="1:19" s="110" customFormat="1" ht="13.5" customHeight="1" x14ac:dyDescent="0.25">
      <c r="A62" s="111" t="s">
        <v>137</v>
      </c>
      <c r="B62" s="172">
        <v>7</v>
      </c>
      <c r="C62" s="112">
        <v>12454523</v>
      </c>
      <c r="D62" s="113">
        <v>4031</v>
      </c>
      <c r="E62" s="113">
        <v>241722</v>
      </c>
      <c r="F62" s="375">
        <f t="shared" si="0"/>
        <v>12700276</v>
      </c>
      <c r="G62" s="343"/>
      <c r="H62" s="292">
        <v>568161.5</v>
      </c>
      <c r="I62" s="109">
        <v>508306</v>
      </c>
      <c r="J62" s="109">
        <v>352651</v>
      </c>
      <c r="K62" s="109">
        <v>84674</v>
      </c>
      <c r="L62" s="109"/>
      <c r="M62" s="109"/>
      <c r="N62" s="344">
        <f t="shared" si="1"/>
        <v>945631</v>
      </c>
      <c r="O62" s="345">
        <v>1255831.3260806783</v>
      </c>
      <c r="P62" s="345">
        <f>'[4]Issue Requests '!R62-N62</f>
        <v>310200.32608067826</v>
      </c>
      <c r="Q62" s="344">
        <f t="shared" si="2"/>
        <v>13645907</v>
      </c>
      <c r="R62" s="376">
        <f t="shared" si="3"/>
        <v>1191384</v>
      </c>
      <c r="S62" s="155">
        <f t="shared" si="4"/>
        <v>9.565874180809654E-2</v>
      </c>
    </row>
    <row r="63" spans="1:19" s="110" customFormat="1" ht="13.5" customHeight="1" x14ac:dyDescent="0.25">
      <c r="A63" s="111" t="s">
        <v>18</v>
      </c>
      <c r="B63" s="172">
        <v>8</v>
      </c>
      <c r="C63" s="112">
        <v>41479454</v>
      </c>
      <c r="D63" s="113">
        <v>13493</v>
      </c>
      <c r="E63" s="113">
        <v>682665</v>
      </c>
      <c r="F63" s="375">
        <f t="shared" si="0"/>
        <v>42175612</v>
      </c>
      <c r="G63" s="343"/>
      <c r="H63" s="292">
        <v>1748123</v>
      </c>
      <c r="I63" s="109">
        <v>1563958</v>
      </c>
      <c r="J63" s="109">
        <v>978854</v>
      </c>
      <c r="K63" s="109">
        <v>299098</v>
      </c>
      <c r="L63" s="109"/>
      <c r="M63" s="109"/>
      <c r="N63" s="344">
        <f t="shared" si="1"/>
        <v>2841910</v>
      </c>
      <c r="O63" s="345">
        <v>4422374.6714102365</v>
      </c>
      <c r="P63" s="345">
        <f>'[4]Issue Requests '!R63-N63</f>
        <v>1580464.6714102365</v>
      </c>
      <c r="Q63" s="344">
        <f t="shared" si="2"/>
        <v>45017522</v>
      </c>
      <c r="R63" s="376">
        <f t="shared" si="3"/>
        <v>3538068</v>
      </c>
      <c r="S63" s="155">
        <f t="shared" si="4"/>
        <v>8.5296879751599428E-2</v>
      </c>
    </row>
    <row r="64" spans="1:19" s="110" customFormat="1" ht="13.5" customHeight="1" x14ac:dyDescent="0.25">
      <c r="A64" s="111" t="s">
        <v>36</v>
      </c>
      <c r="B64" s="172">
        <v>8</v>
      </c>
      <c r="C64" s="112">
        <v>21034726</v>
      </c>
      <c r="D64" s="113">
        <v>6692</v>
      </c>
      <c r="E64" s="113">
        <v>456603</v>
      </c>
      <c r="F64" s="375">
        <f t="shared" si="0"/>
        <v>21498021</v>
      </c>
      <c r="G64" s="343"/>
      <c r="H64" s="292">
        <v>1030510.5</v>
      </c>
      <c r="I64" s="109">
        <v>921946</v>
      </c>
      <c r="J64" s="109">
        <v>535908</v>
      </c>
      <c r="K64" s="109">
        <v>188722</v>
      </c>
      <c r="L64" s="109"/>
      <c r="M64" s="109"/>
      <c r="N64" s="344">
        <f t="shared" si="1"/>
        <v>1646576</v>
      </c>
      <c r="O64" s="345">
        <v>5538458.503919825</v>
      </c>
      <c r="P64" s="345">
        <f>'[4]Issue Requests '!R64-N64</f>
        <v>3891882.503919825</v>
      </c>
      <c r="Q64" s="344">
        <f t="shared" si="2"/>
        <v>23144597</v>
      </c>
      <c r="R64" s="376">
        <f t="shared" si="3"/>
        <v>2109871</v>
      </c>
      <c r="S64" s="155">
        <f t="shared" si="4"/>
        <v>0.10030418271195926</v>
      </c>
    </row>
    <row r="65" spans="1:19" s="110" customFormat="1" ht="13.5" customHeight="1" x14ac:dyDescent="0.25">
      <c r="A65" s="111" t="s">
        <v>65</v>
      </c>
      <c r="B65" s="172">
        <v>8</v>
      </c>
      <c r="C65" s="112">
        <v>32409825</v>
      </c>
      <c r="D65" s="113">
        <v>11229</v>
      </c>
      <c r="E65" s="113">
        <v>640728</v>
      </c>
      <c r="F65" s="375">
        <f t="shared" si="0"/>
        <v>33061782</v>
      </c>
      <c r="G65" s="343">
        <v>146173</v>
      </c>
      <c r="H65" s="292">
        <v>1733540.5</v>
      </c>
      <c r="I65" s="109">
        <v>1550912</v>
      </c>
      <c r="J65" s="109">
        <v>907316</v>
      </c>
      <c r="K65" s="109">
        <v>168187</v>
      </c>
      <c r="L65" s="109"/>
      <c r="M65" s="109"/>
      <c r="N65" s="344">
        <f t="shared" si="1"/>
        <v>2772588</v>
      </c>
      <c r="O65" s="345">
        <v>6295638.9172728602</v>
      </c>
      <c r="P65" s="345">
        <f>'[4]Issue Requests '!R65-N65</f>
        <v>3523050.9172728602</v>
      </c>
      <c r="Q65" s="344">
        <f t="shared" si="2"/>
        <v>35834370</v>
      </c>
      <c r="R65" s="376">
        <f t="shared" si="3"/>
        <v>3424545</v>
      </c>
      <c r="S65" s="155">
        <f t="shared" si="4"/>
        <v>0.10566379176684848</v>
      </c>
    </row>
    <row r="66" spans="1:19" s="110" customFormat="1" ht="13.5" customHeight="1" x14ac:dyDescent="0.25">
      <c r="A66" s="111" t="s">
        <v>95</v>
      </c>
      <c r="B66" s="172">
        <v>8</v>
      </c>
      <c r="C66" s="112">
        <v>75608322</v>
      </c>
      <c r="D66" s="113">
        <v>26516</v>
      </c>
      <c r="E66" s="113">
        <v>1425119</v>
      </c>
      <c r="F66" s="375">
        <f t="shared" ref="F66:F68" si="5">C66+D66+E66</f>
        <v>77059957</v>
      </c>
      <c r="G66" s="343"/>
      <c r="H66" s="292">
        <v>3821240</v>
      </c>
      <c r="I66" s="109">
        <v>3418672</v>
      </c>
      <c r="J66" s="109">
        <v>2213467</v>
      </c>
      <c r="K66" s="109">
        <v>603517</v>
      </c>
      <c r="L66" s="109"/>
      <c r="M66" s="109"/>
      <c r="N66" s="344">
        <f t="shared" ref="N66:N68" si="6">G66+I66+J66+K66+L66+M66</f>
        <v>6235656</v>
      </c>
      <c r="O66" s="345">
        <v>13411511.266760454</v>
      </c>
      <c r="P66" s="345">
        <f>'[4]Issue Requests '!R66-N66</f>
        <v>7175855.2667604536</v>
      </c>
      <c r="Q66" s="344">
        <f t="shared" ref="Q66:Q68" si="7">F66+G66+I66+J66+K66+L66+M66</f>
        <v>83295613</v>
      </c>
      <c r="R66" s="376">
        <f t="shared" ref="R66:R68" si="8">Q66-C66</f>
        <v>7687291</v>
      </c>
      <c r="S66" s="155">
        <f t="shared" ref="S66:S68" si="9">R66/C66</f>
        <v>0.10167255133634628</v>
      </c>
    </row>
    <row r="67" spans="1:19" ht="13.5" customHeight="1" x14ac:dyDescent="0.25">
      <c r="A67" s="111" t="s">
        <v>105</v>
      </c>
      <c r="B67" s="172">
        <v>8</v>
      </c>
      <c r="C67" s="112">
        <v>31053783</v>
      </c>
      <c r="D67" s="113">
        <v>9256</v>
      </c>
      <c r="E67" s="113">
        <v>612113</v>
      </c>
      <c r="F67" s="375">
        <f t="shared" si="5"/>
        <v>31675152</v>
      </c>
      <c r="G67" s="343">
        <v>219260</v>
      </c>
      <c r="H67" s="292">
        <v>1634672.5</v>
      </c>
      <c r="I67" s="109">
        <v>1462460</v>
      </c>
      <c r="J67" s="109">
        <v>842785</v>
      </c>
      <c r="K67" s="109">
        <v>209592</v>
      </c>
      <c r="L67" s="109"/>
      <c r="M67" s="109"/>
      <c r="N67" s="344">
        <f t="shared" si="6"/>
        <v>2734097</v>
      </c>
      <c r="O67" s="345">
        <v>11781568.311953619</v>
      </c>
      <c r="P67" s="345">
        <f>'[4]Issue Requests '!R67-N67</f>
        <v>9047471.3119536191</v>
      </c>
      <c r="Q67" s="344">
        <f t="shared" si="7"/>
        <v>34409249</v>
      </c>
      <c r="R67" s="376">
        <f t="shared" si="8"/>
        <v>3355466</v>
      </c>
      <c r="S67" s="155">
        <f t="shared" si="9"/>
        <v>0.10805337307857146</v>
      </c>
    </row>
    <row r="68" spans="1:19" ht="13.5" customHeight="1" thickBot="1" x14ac:dyDescent="0.3">
      <c r="A68" s="120" t="s">
        <v>109</v>
      </c>
      <c r="B68" s="173">
        <v>8</v>
      </c>
      <c r="C68" s="121">
        <v>32093204</v>
      </c>
      <c r="D68" s="122">
        <v>10519</v>
      </c>
      <c r="E68" s="122">
        <v>488985</v>
      </c>
      <c r="F68" s="378">
        <f t="shared" si="5"/>
        <v>32592708</v>
      </c>
      <c r="G68" s="352"/>
      <c r="H68" s="294">
        <v>1133560.5</v>
      </c>
      <c r="I68" s="124">
        <v>1014140</v>
      </c>
      <c r="J68" s="124">
        <v>890696</v>
      </c>
      <c r="K68" s="124">
        <v>268962</v>
      </c>
      <c r="L68" s="124"/>
      <c r="M68" s="124">
        <v>-209134</v>
      </c>
      <c r="N68" s="353">
        <f t="shared" si="6"/>
        <v>1964664</v>
      </c>
      <c r="O68" s="354">
        <v>1964663.5338331796</v>
      </c>
      <c r="P68" s="355">
        <f>'[4]Issue Requests '!R68-N68</f>
        <v>-0.46616682037711143</v>
      </c>
      <c r="Q68" s="353">
        <f t="shared" si="7"/>
        <v>34557372</v>
      </c>
      <c r="R68" s="379">
        <f t="shared" si="8"/>
        <v>2464168</v>
      </c>
      <c r="S68" s="356">
        <f t="shared" si="9"/>
        <v>7.6781613951664038E-2</v>
      </c>
    </row>
    <row r="69" spans="1:19" ht="14.25" thickBot="1" x14ac:dyDescent="0.3">
      <c r="A69" s="126"/>
      <c r="B69" s="127"/>
      <c r="C69" s="128"/>
      <c r="D69" s="357"/>
      <c r="E69" s="357"/>
      <c r="F69" s="129"/>
      <c r="G69" s="380"/>
      <c r="H69" s="157"/>
      <c r="I69" s="129"/>
      <c r="J69" s="129"/>
      <c r="K69" s="129"/>
      <c r="L69" s="129"/>
      <c r="M69" s="129"/>
      <c r="N69" s="129"/>
      <c r="O69" s="358"/>
      <c r="P69" s="358"/>
      <c r="Q69" s="129"/>
      <c r="R69" s="357"/>
    </row>
    <row r="70" spans="1:19" s="110" customFormat="1" ht="14.25" thickBot="1" x14ac:dyDescent="0.3">
      <c r="A70" s="489" t="s">
        <v>171</v>
      </c>
      <c r="B70" s="489"/>
      <c r="C70" s="134">
        <f t="shared" ref="C70:N70" si="10">SUM(C2:C68)</f>
        <v>474436051</v>
      </c>
      <c r="D70" s="134">
        <f t="shared" si="10"/>
        <v>163861</v>
      </c>
      <c r="E70" s="134">
        <f t="shared" si="10"/>
        <v>8000000</v>
      </c>
      <c r="F70" s="152">
        <f t="shared" si="10"/>
        <v>482599912</v>
      </c>
      <c r="G70" s="381">
        <f t="shared" si="10"/>
        <v>657780</v>
      </c>
      <c r="H70" s="158">
        <f>SUM(H2:H68)</f>
        <v>19853602.5</v>
      </c>
      <c r="I70" s="134">
        <f t="shared" si="10"/>
        <v>17762021</v>
      </c>
      <c r="J70" s="134">
        <f t="shared" si="10"/>
        <v>13610376</v>
      </c>
      <c r="K70" s="134">
        <f t="shared" ref="K70:L70" si="11">SUM(K2:K68)</f>
        <v>4588917</v>
      </c>
      <c r="L70" s="134">
        <f t="shared" si="11"/>
        <v>9188</v>
      </c>
      <c r="M70" s="134">
        <f t="shared" si="10"/>
        <v>-446453</v>
      </c>
      <c r="N70" s="134">
        <f t="shared" si="10"/>
        <v>36181829</v>
      </c>
      <c r="O70" s="359">
        <f>SUM(O2:O68)</f>
        <v>88840885.763070419</v>
      </c>
      <c r="P70" s="359">
        <f>SUM(P2:P68)</f>
        <v>52596574.731138855</v>
      </c>
      <c r="Q70" s="360">
        <f>SUM(Q2:Q68)</f>
        <v>518781741</v>
      </c>
      <c r="R70" s="361">
        <f>SUM(R2:R68)</f>
        <v>44345690</v>
      </c>
      <c r="S70" s="362">
        <f>R70/C70</f>
        <v>9.3470321040169016E-2</v>
      </c>
    </row>
    <row r="71" spans="1:19" ht="13.5" customHeight="1" x14ac:dyDescent="0.25">
      <c r="C71" s="136"/>
      <c r="D71" s="363"/>
      <c r="E71" s="363"/>
      <c r="F71" s="136"/>
      <c r="G71" s="364">
        <v>5</v>
      </c>
      <c r="H71" s="159" t="s">
        <v>181</v>
      </c>
      <c r="I71" s="364"/>
      <c r="J71" s="490" t="s">
        <v>259</v>
      </c>
      <c r="K71" s="382"/>
      <c r="L71" s="364">
        <v>2</v>
      </c>
      <c r="M71" s="364">
        <v>7</v>
      </c>
      <c r="N71" s="382"/>
      <c r="O71" s="365"/>
      <c r="P71" s="364"/>
      <c r="Q71" s="383">
        <f>'New Revenue Summary'!B7-Q70</f>
        <v>0</v>
      </c>
      <c r="R71" s="363"/>
    </row>
    <row r="72" spans="1:19" ht="15" customHeight="1" x14ac:dyDescent="0.25">
      <c r="C72" s="136"/>
      <c r="J72" s="491"/>
      <c r="K72" s="365"/>
      <c r="P72" s="367"/>
      <c r="S72" s="384" t="s">
        <v>260</v>
      </c>
    </row>
    <row r="73" spans="1:19" x14ac:dyDescent="0.25">
      <c r="F73" s="368"/>
      <c r="G73" s="366">
        <f>'New Revenue Summary'!B7-'BUDGET CALCULATION '!F70-G70</f>
        <v>35524049</v>
      </c>
      <c r="I73" s="150"/>
      <c r="J73" s="491"/>
      <c r="L73" s="369"/>
      <c r="M73" s="366"/>
      <c r="N73" s="150"/>
      <c r="O73" s="150"/>
      <c r="P73" s="150"/>
    </row>
    <row r="74" spans="1:19" ht="14.25" thickBot="1" x14ac:dyDescent="0.3">
      <c r="G74" s="366"/>
      <c r="H74" s="160"/>
      <c r="J74" s="491"/>
      <c r="K74" s="366"/>
      <c r="L74" s="366"/>
      <c r="M74" s="366"/>
      <c r="P74" s="161" t="s">
        <v>182</v>
      </c>
      <c r="Q74" s="162">
        <f>11700000</f>
        <v>11700000</v>
      </c>
      <c r="R74" s="160"/>
    </row>
    <row r="75" spans="1:19" ht="14.25" thickBot="1" x14ac:dyDescent="0.3">
      <c r="G75" s="366"/>
      <c r="I75" s="366"/>
      <c r="K75" s="370"/>
      <c r="L75" s="370"/>
      <c r="M75" s="366"/>
      <c r="N75" s="163"/>
      <c r="O75" s="164"/>
      <c r="P75" s="165" t="s">
        <v>219</v>
      </c>
      <c r="Q75" s="166">
        <f>Q70+Q74</f>
        <v>530481741</v>
      </c>
    </row>
    <row r="76" spans="1:19" x14ac:dyDescent="0.25">
      <c r="G76" s="366"/>
      <c r="I76" s="150"/>
      <c r="M76" s="366"/>
    </row>
    <row r="77" spans="1:19" x14ac:dyDescent="0.25">
      <c r="M77" s="366"/>
    </row>
    <row r="78" spans="1:19" x14ac:dyDescent="0.25">
      <c r="M78" s="366"/>
    </row>
    <row r="79" spans="1:19" x14ac:dyDescent="0.25">
      <c r="M79" s="366"/>
    </row>
    <row r="80" spans="1:19" x14ac:dyDescent="0.25">
      <c r="J80" s="136"/>
    </row>
    <row r="81" spans="10:10" x14ac:dyDescent="0.25">
      <c r="J81" s="385"/>
    </row>
  </sheetData>
  <autoFilter ref="A1:S68" xr:uid="{973030BE-8D55-4A84-AD6C-5A9A93182A2F}">
    <sortState xmlns:xlrd2="http://schemas.microsoft.com/office/spreadsheetml/2017/richdata2" ref="A2:S68">
      <sortCondition ref="B1:B68"/>
    </sortState>
  </autoFilter>
  <mergeCells count="2">
    <mergeCell ref="A70:B70"/>
    <mergeCell ref="J71:J74"/>
  </mergeCells>
  <printOptions horizontalCentered="1"/>
  <pageMargins left="0.25" right="0.25" top="0.7" bottom="0.5" header="0.25" footer="0.25"/>
  <pageSetup paperSize="5" scale="59" fitToHeight="0" pageOrder="overThenDown" orientation="landscape" r:id="rId1"/>
  <headerFooter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6329-1A5E-49D0-A787-A0B1BBC0EB9D}">
  <dimension ref="A1:E325"/>
  <sheetViews>
    <sheetView zoomScale="110" zoomScaleNormal="110" workbookViewId="0">
      <pane ySplit="1" topLeftCell="A281" activePane="bottomLeft" state="frozen"/>
      <selection pane="bottomLeft" activeCell="I12" sqref="I12"/>
    </sheetView>
  </sheetViews>
  <sheetFormatPr defaultRowHeight="15" x14ac:dyDescent="0.25"/>
  <cols>
    <col min="1" max="1" width="17.42578125" bestFit="1" customWidth="1"/>
    <col min="2" max="2" width="24.85546875" customWidth="1"/>
    <col min="3" max="3" width="23.140625" style="20" customWidth="1"/>
    <col min="4" max="4" width="10.5703125" customWidth="1"/>
    <col min="5" max="5" width="21" customWidth="1"/>
  </cols>
  <sheetData>
    <row r="1" spans="1:5" s="5" customFormat="1" ht="47.25" x14ac:dyDescent="0.3">
      <c r="A1" s="2" t="s">
        <v>0</v>
      </c>
      <c r="B1" s="2" t="s">
        <v>1</v>
      </c>
      <c r="C1" s="3" t="s">
        <v>2</v>
      </c>
      <c r="D1" s="4" t="s">
        <v>3</v>
      </c>
      <c r="E1" s="4" t="s">
        <v>146</v>
      </c>
    </row>
    <row r="2" spans="1:5" ht="15.75" x14ac:dyDescent="0.3">
      <c r="A2" s="6" t="s">
        <v>4</v>
      </c>
      <c r="B2" s="6" t="s">
        <v>5</v>
      </c>
      <c r="C2" s="7">
        <v>3203746.81</v>
      </c>
      <c r="D2" s="28">
        <v>5.9999999999999995E-4</v>
      </c>
      <c r="E2" s="8">
        <f>C2*D2</f>
        <v>1922.2480859999998</v>
      </c>
    </row>
    <row r="3" spans="1:5" ht="15.75" x14ac:dyDescent="0.3">
      <c r="A3" s="6" t="s">
        <v>4</v>
      </c>
      <c r="B3" s="6" t="s">
        <v>6</v>
      </c>
      <c r="C3" s="7">
        <v>392605.38720000006</v>
      </c>
      <c r="D3" s="28">
        <v>0</v>
      </c>
      <c r="E3" s="8">
        <f>C3*D3</f>
        <v>0</v>
      </c>
    </row>
    <row r="4" spans="1:5" ht="15.75" x14ac:dyDescent="0.3">
      <c r="A4" s="6" t="s">
        <v>4</v>
      </c>
      <c r="B4" s="6" t="s">
        <v>7</v>
      </c>
      <c r="C4" s="7">
        <v>423980.92800000001</v>
      </c>
      <c r="D4" s="28">
        <v>0</v>
      </c>
      <c r="E4" s="8">
        <f>C4*D4</f>
        <v>0</v>
      </c>
    </row>
    <row r="5" spans="1:5" ht="15.75" x14ac:dyDescent="0.3">
      <c r="A5" s="6" t="s">
        <v>4</v>
      </c>
      <c r="B5" s="6" t="s">
        <v>8</v>
      </c>
      <c r="C5" s="7">
        <v>110853.6</v>
      </c>
      <c r="D5" s="28">
        <v>0</v>
      </c>
      <c r="E5" s="8">
        <f>C5*D5</f>
        <v>0</v>
      </c>
    </row>
    <row r="6" spans="1:5" s="11" customFormat="1" ht="15.75" x14ac:dyDescent="0.3">
      <c r="A6" s="9" t="s">
        <v>9</v>
      </c>
      <c r="B6" s="9"/>
      <c r="C6" s="37">
        <f>SUM(C2:C5)</f>
        <v>4131186.7252000002</v>
      </c>
      <c r="D6" s="10"/>
      <c r="E6" s="10">
        <f>SUM(E2:E5)</f>
        <v>1922.2480859999998</v>
      </c>
    </row>
    <row r="7" spans="1:5" ht="15.75" x14ac:dyDescent="0.3">
      <c r="A7" s="6" t="s">
        <v>10</v>
      </c>
      <c r="B7" s="6" t="s">
        <v>5</v>
      </c>
      <c r="C7" s="7">
        <v>272443</v>
      </c>
      <c r="D7" s="28">
        <v>5.9999999999999995E-4</v>
      </c>
      <c r="E7" s="8">
        <f>C7*D7</f>
        <v>163.46579999999997</v>
      </c>
    </row>
    <row r="8" spans="1:5" ht="15.75" x14ac:dyDescent="0.3">
      <c r="A8" s="6" t="s">
        <v>10</v>
      </c>
      <c r="B8" s="6" t="s">
        <v>6</v>
      </c>
      <c r="C8" s="7">
        <v>81557</v>
      </c>
      <c r="D8" s="28">
        <v>0</v>
      </c>
      <c r="E8" s="8">
        <f>C8*D8</f>
        <v>0</v>
      </c>
    </row>
    <row r="9" spans="1:5" ht="15.75" x14ac:dyDescent="0.3">
      <c r="A9" s="6" t="s">
        <v>10</v>
      </c>
      <c r="B9" s="6" t="s">
        <v>7</v>
      </c>
      <c r="C9" s="7">
        <v>123880</v>
      </c>
      <c r="D9" s="28">
        <v>0</v>
      </c>
      <c r="E9" s="8">
        <f>C9*D9</f>
        <v>0</v>
      </c>
    </row>
    <row r="10" spans="1:5" ht="15.75" x14ac:dyDescent="0.3">
      <c r="A10" s="6" t="s">
        <v>10</v>
      </c>
      <c r="B10" s="6" t="s">
        <v>8</v>
      </c>
      <c r="C10" s="7">
        <v>108634.5</v>
      </c>
      <c r="D10" s="28">
        <v>0</v>
      </c>
      <c r="E10" s="8">
        <f>C10*D10</f>
        <v>0</v>
      </c>
    </row>
    <row r="11" spans="1:5" s="11" customFormat="1" ht="15.75" x14ac:dyDescent="0.3">
      <c r="A11" s="9" t="s">
        <v>11</v>
      </c>
      <c r="B11" s="9"/>
      <c r="C11" s="37">
        <f>SUM(C7:C10)</f>
        <v>586514.5</v>
      </c>
      <c r="D11" s="10"/>
      <c r="E11" s="10">
        <f>SUM(E7:E10)</f>
        <v>163.46579999999997</v>
      </c>
    </row>
    <row r="12" spans="1:5" ht="15.75" x14ac:dyDescent="0.3">
      <c r="A12" s="6" t="s">
        <v>12</v>
      </c>
      <c r="B12" s="6" t="s">
        <v>5</v>
      </c>
      <c r="C12" s="7">
        <v>1924371.7085839999</v>
      </c>
      <c r="D12" s="28">
        <v>5.9999999999999995E-4</v>
      </c>
      <c r="E12" s="8">
        <f>C12*D12</f>
        <v>1154.6230251503998</v>
      </c>
    </row>
    <row r="13" spans="1:5" ht="15.75" x14ac:dyDescent="0.3">
      <c r="A13" s="6" t="s">
        <v>12</v>
      </c>
      <c r="B13" s="6" t="s">
        <v>6</v>
      </c>
      <c r="C13" s="7">
        <v>285647.64123999997</v>
      </c>
      <c r="D13" s="28">
        <v>0</v>
      </c>
      <c r="E13" s="8">
        <f>C13*D13</f>
        <v>0</v>
      </c>
    </row>
    <row r="14" spans="1:5" ht="15.75" x14ac:dyDescent="0.3">
      <c r="A14" s="6" t="s">
        <v>12</v>
      </c>
      <c r="B14" s="6" t="s">
        <v>7</v>
      </c>
      <c r="C14" s="7">
        <v>498210.83616200002</v>
      </c>
      <c r="D14" s="28">
        <v>0</v>
      </c>
      <c r="E14" s="8">
        <f>C14*D14</f>
        <v>0</v>
      </c>
    </row>
    <row r="15" spans="1:5" ht="15.75" x14ac:dyDescent="0.3">
      <c r="A15" s="6" t="s">
        <v>12</v>
      </c>
      <c r="B15" s="6" t="s">
        <v>8</v>
      </c>
      <c r="C15" s="7">
        <v>123868.59497999999</v>
      </c>
      <c r="D15" s="28">
        <v>0</v>
      </c>
      <c r="E15" s="8">
        <f>C15*D15</f>
        <v>0</v>
      </c>
    </row>
    <row r="16" spans="1:5" s="11" customFormat="1" ht="15.75" x14ac:dyDescent="0.3">
      <c r="A16" s="9" t="s">
        <v>13</v>
      </c>
      <c r="B16" s="9"/>
      <c r="C16" s="37">
        <f>SUM(C12:C15)</f>
        <v>2832098.7809659997</v>
      </c>
      <c r="D16" s="10"/>
      <c r="E16" s="10">
        <f>SUM(E12:E15)</f>
        <v>1154.6230251503998</v>
      </c>
    </row>
    <row r="17" spans="1:5" ht="15.75" x14ac:dyDescent="0.3">
      <c r="A17" s="6" t="s">
        <v>14</v>
      </c>
      <c r="B17" s="6" t="s">
        <v>5</v>
      </c>
      <c r="C17" s="7">
        <v>520856.89999999997</v>
      </c>
      <c r="D17" s="28">
        <v>5.9999999999999995E-4</v>
      </c>
      <c r="E17" s="8">
        <f>C17*D17</f>
        <v>312.51413999999994</v>
      </c>
    </row>
    <row r="18" spans="1:5" ht="15.75" x14ac:dyDescent="0.3">
      <c r="A18" s="6" t="s">
        <v>14</v>
      </c>
      <c r="B18" s="6" t="s">
        <v>6</v>
      </c>
      <c r="C18" s="7">
        <v>83545.279999999999</v>
      </c>
      <c r="D18" s="28">
        <v>0</v>
      </c>
      <c r="E18" s="8">
        <f>C18*D18</f>
        <v>0</v>
      </c>
    </row>
    <row r="19" spans="1:5" ht="15.75" x14ac:dyDescent="0.3">
      <c r="A19" s="6" t="s">
        <v>14</v>
      </c>
      <c r="B19" s="6" t="s">
        <v>8</v>
      </c>
      <c r="C19" s="7">
        <v>74909.399999999994</v>
      </c>
      <c r="D19" s="28">
        <v>0</v>
      </c>
      <c r="E19" s="8">
        <f>C19*D19</f>
        <v>0</v>
      </c>
    </row>
    <row r="20" spans="1:5" s="11" customFormat="1" ht="15.75" x14ac:dyDescent="0.3">
      <c r="A20" s="9" t="s">
        <v>15</v>
      </c>
      <c r="B20" s="9"/>
      <c r="C20" s="37">
        <f>SUM(C17:C19)</f>
        <v>679311.58</v>
      </c>
      <c r="D20" s="10"/>
      <c r="E20" s="10">
        <f>SUM(E17:E19)</f>
        <v>312.51413999999994</v>
      </c>
    </row>
    <row r="21" spans="1:5" ht="15.75" x14ac:dyDescent="0.3">
      <c r="A21" s="6" t="s">
        <v>16</v>
      </c>
      <c r="B21" s="6" t="s">
        <v>5</v>
      </c>
      <c r="C21" s="7">
        <v>6272142.125</v>
      </c>
      <c r="D21" s="28">
        <v>5.9999999999999995E-4</v>
      </c>
      <c r="E21" s="8">
        <f>C21*D21</f>
        <v>3763.2852749999997</v>
      </c>
    </row>
    <row r="22" spans="1:5" ht="15.75" x14ac:dyDescent="0.3">
      <c r="A22" s="6" t="s">
        <v>16</v>
      </c>
      <c r="B22" s="6" t="s">
        <v>6</v>
      </c>
      <c r="C22" s="7">
        <v>264643.76640000002</v>
      </c>
      <c r="D22" s="28">
        <v>0</v>
      </c>
      <c r="E22" s="8">
        <f>C22*D22</f>
        <v>0</v>
      </c>
    </row>
    <row r="23" spans="1:5" ht="15.75" x14ac:dyDescent="0.3">
      <c r="A23" s="6" t="s">
        <v>16</v>
      </c>
      <c r="B23" s="6" t="s">
        <v>7</v>
      </c>
      <c r="C23" s="7">
        <v>1167890.5872</v>
      </c>
      <c r="D23" s="28">
        <v>0</v>
      </c>
      <c r="E23" s="8">
        <f>C23*D23</f>
        <v>0</v>
      </c>
    </row>
    <row r="24" spans="1:5" ht="15.75" x14ac:dyDescent="0.3">
      <c r="A24" s="6" t="s">
        <v>16</v>
      </c>
      <c r="B24" s="6" t="s">
        <v>8</v>
      </c>
      <c r="C24" s="7">
        <v>131790.9632</v>
      </c>
      <c r="D24" s="28">
        <v>0</v>
      </c>
      <c r="E24" s="8">
        <f>C24*D24</f>
        <v>0</v>
      </c>
    </row>
    <row r="25" spans="1:5" s="11" customFormat="1" ht="15.75" x14ac:dyDescent="0.3">
      <c r="A25" s="9" t="s">
        <v>17</v>
      </c>
      <c r="B25" s="9"/>
      <c r="C25" s="37">
        <f>SUM(C21:C24)</f>
        <v>7836467.4418000001</v>
      </c>
      <c r="D25" s="10"/>
      <c r="E25" s="10">
        <f>SUM(E21:E24)</f>
        <v>3763.2852749999997</v>
      </c>
    </row>
    <row r="26" spans="1:5" ht="15.75" x14ac:dyDescent="0.3">
      <c r="A26" s="6" t="s">
        <v>18</v>
      </c>
      <c r="B26" s="6" t="s">
        <v>5</v>
      </c>
      <c r="C26" s="7">
        <v>22488714.093759991</v>
      </c>
      <c r="D26" s="28">
        <v>5.9999999999999995E-4</v>
      </c>
      <c r="E26" s="8">
        <f>C26*D26</f>
        <v>13493.228456255994</v>
      </c>
    </row>
    <row r="27" spans="1:5" ht="15.75" x14ac:dyDescent="0.3">
      <c r="A27" s="6" t="s">
        <v>18</v>
      </c>
      <c r="B27" s="6" t="s">
        <v>6</v>
      </c>
      <c r="C27" s="7">
        <v>1431884.5902799999</v>
      </c>
      <c r="D27" s="28">
        <v>0</v>
      </c>
      <c r="E27" s="8">
        <f>C27*D27</f>
        <v>0</v>
      </c>
    </row>
    <row r="28" spans="1:5" ht="15.75" x14ac:dyDescent="0.3">
      <c r="A28" s="6" t="s">
        <v>18</v>
      </c>
      <c r="B28" s="6" t="s">
        <v>7</v>
      </c>
      <c r="C28" s="7">
        <v>2392262.7119999998</v>
      </c>
      <c r="D28" s="28">
        <v>0</v>
      </c>
      <c r="E28" s="8">
        <f>C28*D28</f>
        <v>0</v>
      </c>
    </row>
    <row r="29" spans="1:5" ht="15.75" x14ac:dyDescent="0.3">
      <c r="A29" s="6" t="s">
        <v>18</v>
      </c>
      <c r="B29" s="6" t="s">
        <v>8</v>
      </c>
      <c r="C29" s="7">
        <v>215501</v>
      </c>
      <c r="D29" s="28">
        <v>0</v>
      </c>
      <c r="E29" s="8">
        <f>C29*D29</f>
        <v>0</v>
      </c>
    </row>
    <row r="30" spans="1:5" s="11" customFormat="1" ht="15.75" x14ac:dyDescent="0.3">
      <c r="A30" s="9" t="s">
        <v>19</v>
      </c>
      <c r="B30" s="9"/>
      <c r="C30" s="37">
        <f>SUM(C26:C29)</f>
        <v>26528362.396039993</v>
      </c>
      <c r="D30" s="10"/>
      <c r="E30" s="10">
        <f>SUM(E26:E29)</f>
        <v>13493.228456255994</v>
      </c>
    </row>
    <row r="31" spans="1:5" ht="15.75" x14ac:dyDescent="0.3">
      <c r="A31" s="6" t="s">
        <v>20</v>
      </c>
      <c r="B31" s="6" t="s">
        <v>5</v>
      </c>
      <c r="C31" s="7">
        <v>270459.84999999998</v>
      </c>
      <c r="D31" s="28">
        <v>5.9999999999999995E-4</v>
      </c>
      <c r="E31" s="8">
        <f>C31*D31</f>
        <v>162.27590999999998</v>
      </c>
    </row>
    <row r="32" spans="1:5" ht="15.75" x14ac:dyDescent="0.3">
      <c r="A32" s="6" t="s">
        <v>20</v>
      </c>
      <c r="B32" s="6" t="s">
        <v>7</v>
      </c>
      <c r="C32" s="7">
        <v>27103.3</v>
      </c>
      <c r="D32" s="28">
        <v>0</v>
      </c>
      <c r="E32" s="8">
        <f>C32*D32</f>
        <v>0</v>
      </c>
    </row>
    <row r="33" spans="1:5" ht="15.75" x14ac:dyDescent="0.3">
      <c r="A33" s="6" t="s">
        <v>20</v>
      </c>
      <c r="B33" s="6" t="s">
        <v>8</v>
      </c>
      <c r="C33" s="7">
        <v>66696.850000000006</v>
      </c>
      <c r="D33" s="28">
        <v>0</v>
      </c>
      <c r="E33" s="8">
        <f>C33*D33</f>
        <v>0</v>
      </c>
    </row>
    <row r="34" spans="1:5" s="11" customFormat="1" ht="15.75" x14ac:dyDescent="0.3">
      <c r="A34" s="9" t="s">
        <v>21</v>
      </c>
      <c r="B34" s="9"/>
      <c r="C34" s="37">
        <f>SUM(C31:C33)</f>
        <v>364260</v>
      </c>
      <c r="D34" s="10"/>
      <c r="E34" s="10">
        <f>SUM(E31:E33)</f>
        <v>162.27590999999998</v>
      </c>
    </row>
    <row r="35" spans="1:5" ht="15.75" x14ac:dyDescent="0.3">
      <c r="A35" s="6" t="s">
        <v>22</v>
      </c>
      <c r="B35" s="6" t="s">
        <v>5</v>
      </c>
      <c r="C35" s="7">
        <v>2170115.141297</v>
      </c>
      <c r="D35" s="28">
        <v>5.9999999999999995E-4</v>
      </c>
      <c r="E35" s="8">
        <f>C35*D35</f>
        <v>1302.0690847781998</v>
      </c>
    </row>
    <row r="36" spans="1:5" ht="15.75" x14ac:dyDescent="0.3">
      <c r="A36" s="6" t="s">
        <v>22</v>
      </c>
      <c r="B36" s="6" t="s">
        <v>6</v>
      </c>
      <c r="C36" s="7">
        <v>242913.99</v>
      </c>
      <c r="D36" s="28">
        <v>0</v>
      </c>
      <c r="E36" s="8">
        <f>C36*D36</f>
        <v>0</v>
      </c>
    </row>
    <row r="37" spans="1:5" ht="15.75" x14ac:dyDescent="0.3">
      <c r="A37" s="6" t="s">
        <v>22</v>
      </c>
      <c r="B37" s="6" t="s">
        <v>7</v>
      </c>
      <c r="C37" s="7">
        <v>102274</v>
      </c>
      <c r="D37" s="28">
        <v>0</v>
      </c>
      <c r="E37" s="8">
        <f>C37*D37</f>
        <v>0</v>
      </c>
    </row>
    <row r="38" spans="1:5" ht="15.75" x14ac:dyDescent="0.3">
      <c r="A38" s="6" t="s">
        <v>22</v>
      </c>
      <c r="B38" s="6" t="s">
        <v>8</v>
      </c>
      <c r="C38" s="7">
        <v>97617.599999999991</v>
      </c>
      <c r="D38" s="28">
        <v>0</v>
      </c>
      <c r="E38" s="8">
        <f>C38*D38</f>
        <v>0</v>
      </c>
    </row>
    <row r="39" spans="1:5" s="11" customFormat="1" ht="15.75" x14ac:dyDescent="0.3">
      <c r="A39" s="9" t="s">
        <v>23</v>
      </c>
      <c r="B39" s="9"/>
      <c r="C39" s="37">
        <f>SUM(C35:C38)</f>
        <v>2612920.7312969998</v>
      </c>
      <c r="D39" s="10"/>
      <c r="E39" s="10">
        <f>SUM(E35:E38)</f>
        <v>1302.0690847781998</v>
      </c>
    </row>
    <row r="40" spans="1:5" ht="15.75" x14ac:dyDescent="0.3">
      <c r="A40" s="6" t="s">
        <v>24</v>
      </c>
      <c r="B40" s="6" t="s">
        <v>5</v>
      </c>
      <c r="C40" s="7">
        <v>2888279.4279999998</v>
      </c>
      <c r="D40" s="28">
        <v>5.9999999999999995E-4</v>
      </c>
      <c r="E40" s="8">
        <f>C40*D40</f>
        <v>1732.9676567999998</v>
      </c>
    </row>
    <row r="41" spans="1:5" ht="15.75" x14ac:dyDescent="0.3">
      <c r="A41" s="6" t="s">
        <v>24</v>
      </c>
      <c r="B41" s="6" t="s">
        <v>6</v>
      </c>
      <c r="C41" s="7">
        <v>179411.80135613534</v>
      </c>
      <c r="D41" s="28">
        <v>0</v>
      </c>
      <c r="E41" s="8">
        <f>C41*D41</f>
        <v>0</v>
      </c>
    </row>
    <row r="42" spans="1:5" ht="15.75" x14ac:dyDescent="0.3">
      <c r="A42" s="6" t="s">
        <v>24</v>
      </c>
      <c r="B42" s="6" t="s">
        <v>7</v>
      </c>
      <c r="C42" s="7">
        <v>318244.63380000001</v>
      </c>
      <c r="D42" s="28">
        <v>0</v>
      </c>
      <c r="E42" s="8">
        <f>C42*D42</f>
        <v>0</v>
      </c>
    </row>
    <row r="43" spans="1:5" s="11" customFormat="1" ht="15.75" x14ac:dyDescent="0.3">
      <c r="A43" s="9" t="s">
        <v>25</v>
      </c>
      <c r="B43" s="9"/>
      <c r="C43" s="37">
        <f>SUM(C40:C42)</f>
        <v>3385935.8631561352</v>
      </c>
      <c r="D43" s="10"/>
      <c r="E43" s="10">
        <f>SUM(E40:E42)</f>
        <v>1732.9676567999998</v>
      </c>
    </row>
    <row r="44" spans="1:5" ht="15.75" x14ac:dyDescent="0.3">
      <c r="A44" s="6" t="s">
        <v>26</v>
      </c>
      <c r="B44" s="6" t="s">
        <v>5</v>
      </c>
      <c r="C44" s="7">
        <v>2195392.4969538641</v>
      </c>
      <c r="D44" s="28">
        <v>5.9999999999999995E-4</v>
      </c>
      <c r="E44" s="8">
        <f>C44*D44</f>
        <v>1317.2354981723183</v>
      </c>
    </row>
    <row r="45" spans="1:5" ht="15.75" x14ac:dyDescent="0.3">
      <c r="A45" s="6" t="s">
        <v>26</v>
      </c>
      <c r="B45" s="6" t="s">
        <v>6</v>
      </c>
      <c r="C45" s="7">
        <v>512342.94</v>
      </c>
      <c r="D45" s="28">
        <v>0</v>
      </c>
      <c r="E45" s="8">
        <f>C45*D45</f>
        <v>0</v>
      </c>
    </row>
    <row r="46" spans="1:5" ht="15.75" x14ac:dyDescent="0.3">
      <c r="A46" s="6" t="s">
        <v>26</v>
      </c>
      <c r="B46" s="6" t="s">
        <v>7</v>
      </c>
      <c r="C46" s="7">
        <v>246704.44819661792</v>
      </c>
      <c r="D46" s="28">
        <v>0</v>
      </c>
      <c r="E46" s="8">
        <f>C46*D46</f>
        <v>0</v>
      </c>
    </row>
    <row r="47" spans="1:5" ht="15.75" x14ac:dyDescent="0.3">
      <c r="A47" s="6" t="s">
        <v>26</v>
      </c>
      <c r="B47" s="6" t="s">
        <v>8</v>
      </c>
      <c r="C47" s="7">
        <v>106146.3</v>
      </c>
      <c r="D47" s="28">
        <v>0</v>
      </c>
      <c r="E47" s="8">
        <f>C47*D47</f>
        <v>0</v>
      </c>
    </row>
    <row r="48" spans="1:5" s="11" customFormat="1" ht="15.75" x14ac:dyDescent="0.3">
      <c r="A48" s="9" t="s">
        <v>27</v>
      </c>
      <c r="B48" s="9"/>
      <c r="C48" s="37">
        <f>SUM(C44:C47)</f>
        <v>3060586.1851504818</v>
      </c>
      <c r="D48" s="10"/>
      <c r="E48" s="10">
        <f>SUM(E44:E47)</f>
        <v>1317.2354981723183</v>
      </c>
    </row>
    <row r="49" spans="1:5" ht="15.75" x14ac:dyDescent="0.3">
      <c r="A49" s="6" t="s">
        <v>28</v>
      </c>
      <c r="B49" s="6" t="s">
        <v>5</v>
      </c>
      <c r="C49" s="7">
        <v>5191218.7076839982</v>
      </c>
      <c r="D49" s="28">
        <v>5.9999999999999995E-4</v>
      </c>
      <c r="E49" s="8">
        <f>C49*D49</f>
        <v>3114.7312246103988</v>
      </c>
    </row>
    <row r="50" spans="1:5" ht="15.75" x14ac:dyDescent="0.3">
      <c r="A50" s="6" t="s">
        <v>28</v>
      </c>
      <c r="B50" s="6" t="s">
        <v>6</v>
      </c>
      <c r="C50" s="7">
        <v>224920.508061</v>
      </c>
      <c r="D50" s="28">
        <v>0</v>
      </c>
      <c r="E50" s="8">
        <f>C50*D50</f>
        <v>0</v>
      </c>
    </row>
    <row r="51" spans="1:5" ht="15.75" x14ac:dyDescent="0.3">
      <c r="A51" s="6" t="s">
        <v>28</v>
      </c>
      <c r="B51" s="6" t="s">
        <v>7</v>
      </c>
      <c r="C51" s="7">
        <v>187514.22</v>
      </c>
      <c r="D51" s="28">
        <v>0</v>
      </c>
      <c r="E51" s="8">
        <f>C51*D51</f>
        <v>0</v>
      </c>
    </row>
    <row r="52" spans="1:5" ht="15.75" x14ac:dyDescent="0.3">
      <c r="A52" s="6" t="s">
        <v>28</v>
      </c>
      <c r="B52" s="6" t="s">
        <v>8</v>
      </c>
      <c r="C52" s="7">
        <v>80590.215200000006</v>
      </c>
      <c r="D52" s="28">
        <v>0</v>
      </c>
      <c r="E52" s="8">
        <f>C52*D52</f>
        <v>0</v>
      </c>
    </row>
    <row r="53" spans="1:5" s="11" customFormat="1" ht="15.75" x14ac:dyDescent="0.3">
      <c r="A53" s="9" t="s">
        <v>29</v>
      </c>
      <c r="B53" s="9"/>
      <c r="C53" s="37">
        <f>SUM(C49:C52)</f>
        <v>5684243.6509449985</v>
      </c>
      <c r="D53" s="10"/>
      <c r="E53" s="10">
        <f>SUM(E49:E52)</f>
        <v>3114.7312246103988</v>
      </c>
    </row>
    <row r="54" spans="1:5" ht="15.75" x14ac:dyDescent="0.3">
      <c r="A54" s="6" t="s">
        <v>30</v>
      </c>
      <c r="B54" s="6" t="s">
        <v>5</v>
      </c>
      <c r="C54" s="7">
        <v>891585.45</v>
      </c>
      <c r="D54" s="28">
        <v>5.9999999999999995E-4</v>
      </c>
      <c r="E54" s="8">
        <f>C54*D54</f>
        <v>534.95126999999991</v>
      </c>
    </row>
    <row r="55" spans="1:5" ht="15.75" x14ac:dyDescent="0.3">
      <c r="A55" s="6" t="s">
        <v>30</v>
      </c>
      <c r="B55" s="6" t="s">
        <v>7</v>
      </c>
      <c r="C55" s="7">
        <v>114377.85</v>
      </c>
      <c r="D55" s="28">
        <v>0</v>
      </c>
      <c r="E55" s="8">
        <f>C55*D55</f>
        <v>0</v>
      </c>
    </row>
    <row r="56" spans="1:5" ht="15.75" x14ac:dyDescent="0.3">
      <c r="A56" s="6" t="s">
        <v>30</v>
      </c>
      <c r="B56" s="6" t="s">
        <v>8</v>
      </c>
      <c r="C56" s="7">
        <v>103269.22</v>
      </c>
      <c r="D56" s="28">
        <v>0</v>
      </c>
      <c r="E56" s="8">
        <f>C56*D56</f>
        <v>0</v>
      </c>
    </row>
    <row r="57" spans="1:5" s="11" customFormat="1" ht="15.75" x14ac:dyDescent="0.3">
      <c r="A57" s="9" t="s">
        <v>31</v>
      </c>
      <c r="B57" s="9"/>
      <c r="C57" s="37">
        <f>SUM(C54:C56)</f>
        <v>1109232.52</v>
      </c>
      <c r="D57" s="10"/>
      <c r="E57" s="10">
        <f>SUM(E54:E56)</f>
        <v>534.95126999999991</v>
      </c>
    </row>
    <row r="58" spans="1:5" ht="15.75" x14ac:dyDescent="0.3">
      <c r="A58" s="6" t="s">
        <v>32</v>
      </c>
      <c r="B58" s="6" t="s">
        <v>5</v>
      </c>
      <c r="C58" s="7">
        <v>461383</v>
      </c>
      <c r="D58" s="28">
        <v>5.9999999999999995E-4</v>
      </c>
      <c r="E58" s="8">
        <f>C58*D58</f>
        <v>276.82979999999998</v>
      </c>
    </row>
    <row r="59" spans="1:5" ht="15.75" x14ac:dyDescent="0.3">
      <c r="A59" s="6" t="s">
        <v>32</v>
      </c>
      <c r="B59" s="6" t="s">
        <v>7</v>
      </c>
      <c r="C59" s="7">
        <v>58154.57</v>
      </c>
      <c r="D59" s="28">
        <v>0</v>
      </c>
      <c r="E59" s="8">
        <f>C59*D59</f>
        <v>0</v>
      </c>
    </row>
    <row r="60" spans="1:5" ht="15.75" x14ac:dyDescent="0.3">
      <c r="A60" s="6" t="s">
        <v>32</v>
      </c>
      <c r="B60" s="6" t="s">
        <v>8</v>
      </c>
      <c r="C60" s="7">
        <v>76861.2</v>
      </c>
      <c r="D60" s="28">
        <v>0</v>
      </c>
      <c r="E60" s="8">
        <f>C60*D60</f>
        <v>0</v>
      </c>
    </row>
    <row r="61" spans="1:5" s="11" customFormat="1" ht="15.75" x14ac:dyDescent="0.3">
      <c r="A61" s="9" t="s">
        <v>33</v>
      </c>
      <c r="B61" s="9"/>
      <c r="C61" s="37">
        <f>SUM(C58:C60)</f>
        <v>596398.77</v>
      </c>
      <c r="D61" s="10"/>
      <c r="E61" s="10">
        <f>SUM(E58:E60)</f>
        <v>276.82979999999998</v>
      </c>
    </row>
    <row r="62" spans="1:5" ht="15.75" x14ac:dyDescent="0.3">
      <c r="A62" s="6" t="s">
        <v>34</v>
      </c>
      <c r="B62" s="6" t="s">
        <v>5</v>
      </c>
      <c r="C62" s="7">
        <v>205134.8</v>
      </c>
      <c r="D62" s="28">
        <v>5.9999999999999995E-4</v>
      </c>
      <c r="E62" s="8">
        <f>C62*D62</f>
        <v>123.08087999999998</v>
      </c>
    </row>
    <row r="63" spans="1:5" ht="15.75" x14ac:dyDescent="0.3">
      <c r="A63" s="6" t="s">
        <v>34</v>
      </c>
      <c r="B63" s="6" t="s">
        <v>6</v>
      </c>
      <c r="C63" s="7">
        <v>2563.4</v>
      </c>
      <c r="D63" s="28">
        <v>0</v>
      </c>
      <c r="E63" s="8">
        <f>C63*D63</f>
        <v>0</v>
      </c>
    </row>
    <row r="64" spans="1:5" ht="15.75" x14ac:dyDescent="0.3">
      <c r="A64" s="6" t="s">
        <v>34</v>
      </c>
      <c r="B64" s="6" t="s">
        <v>8</v>
      </c>
      <c r="C64" s="7">
        <v>44148</v>
      </c>
      <c r="D64" s="28">
        <v>0</v>
      </c>
      <c r="E64" s="8">
        <f>C64*D64</f>
        <v>0</v>
      </c>
    </row>
    <row r="65" spans="1:5" s="11" customFormat="1" ht="15.75" x14ac:dyDescent="0.3">
      <c r="A65" s="9" t="s">
        <v>35</v>
      </c>
      <c r="B65" s="9"/>
      <c r="C65" s="37">
        <f>SUM(C62:C64)</f>
        <v>251846.19999999998</v>
      </c>
      <c r="D65" s="10"/>
      <c r="E65" s="10">
        <f>SUM(E62:E64)</f>
        <v>123.08087999999998</v>
      </c>
    </row>
    <row r="66" spans="1:5" ht="15.75" x14ac:dyDescent="0.3">
      <c r="A66" s="6" t="s">
        <v>36</v>
      </c>
      <c r="B66" s="6" t="s">
        <v>37</v>
      </c>
      <c r="C66" s="7">
        <v>962058.8067999999</v>
      </c>
      <c r="D66" s="28">
        <v>0</v>
      </c>
      <c r="E66" s="8">
        <f>C66*D66</f>
        <v>0</v>
      </c>
    </row>
    <row r="67" spans="1:5" ht="15.75" x14ac:dyDescent="0.3">
      <c r="A67" s="6" t="s">
        <v>36</v>
      </c>
      <c r="B67" s="6" t="s">
        <v>38</v>
      </c>
      <c r="C67" s="7">
        <v>4528112.7532000057</v>
      </c>
      <c r="D67" s="28">
        <v>5.9999999999999995E-4</v>
      </c>
      <c r="E67" s="8">
        <f>C67*D67</f>
        <v>2716.867651920003</v>
      </c>
    </row>
    <row r="68" spans="1:5" ht="15.75" x14ac:dyDescent="0.3">
      <c r="A68" s="6" t="s">
        <v>36</v>
      </c>
      <c r="B68" s="6" t="s">
        <v>39</v>
      </c>
      <c r="C68" s="7">
        <v>6626008.3812000006</v>
      </c>
      <c r="D68" s="28">
        <v>5.9999999999999995E-4</v>
      </c>
      <c r="E68" s="8">
        <f>C68*D68</f>
        <v>3975.6050287200001</v>
      </c>
    </row>
    <row r="69" spans="1:5" ht="15.75" x14ac:dyDescent="0.3">
      <c r="A69" s="6" t="s">
        <v>36</v>
      </c>
      <c r="B69" s="6" t="s">
        <v>8</v>
      </c>
      <c r="C69" s="7">
        <v>179738.3952</v>
      </c>
      <c r="D69" s="28">
        <v>0</v>
      </c>
      <c r="E69" s="8">
        <f>C69*D69</f>
        <v>0</v>
      </c>
    </row>
    <row r="70" spans="1:5" s="11" customFormat="1" ht="15.75" x14ac:dyDescent="0.3">
      <c r="A70" s="9" t="s">
        <v>40</v>
      </c>
      <c r="B70" s="9"/>
      <c r="C70" s="37">
        <f>SUM(C66:C69)</f>
        <v>12295918.336400006</v>
      </c>
      <c r="D70" s="10"/>
      <c r="E70" s="10">
        <f>SUM(E66:E69)</f>
        <v>6692.4726806400031</v>
      </c>
    </row>
    <row r="71" spans="1:5" ht="15.75" x14ac:dyDescent="0.3">
      <c r="A71" s="6" t="s">
        <v>41</v>
      </c>
      <c r="B71" s="6" t="s">
        <v>5</v>
      </c>
      <c r="C71" s="7">
        <v>4218113.9519999996</v>
      </c>
      <c r="D71" s="28">
        <v>5.9999999999999995E-4</v>
      </c>
      <c r="E71" s="8">
        <f>C71*D71</f>
        <v>2530.8683711999997</v>
      </c>
    </row>
    <row r="72" spans="1:5" ht="15.75" x14ac:dyDescent="0.3">
      <c r="A72" s="6" t="s">
        <v>41</v>
      </c>
      <c r="B72" s="6" t="s">
        <v>6</v>
      </c>
      <c r="C72" s="7">
        <v>68265.600000000006</v>
      </c>
      <c r="D72" s="28">
        <v>0</v>
      </c>
      <c r="E72" s="8">
        <f>C72*D72</f>
        <v>0</v>
      </c>
    </row>
    <row r="73" spans="1:5" ht="15.75" x14ac:dyDescent="0.3">
      <c r="A73" s="6" t="s">
        <v>41</v>
      </c>
      <c r="B73" s="6" t="s">
        <v>7</v>
      </c>
      <c r="C73" s="7">
        <v>289083.39200000005</v>
      </c>
      <c r="D73" s="28">
        <v>0</v>
      </c>
      <c r="E73" s="8">
        <f>C73*D73</f>
        <v>0</v>
      </c>
    </row>
    <row r="74" spans="1:5" ht="15.75" x14ac:dyDescent="0.3">
      <c r="A74" s="6" t="s">
        <v>41</v>
      </c>
      <c r="B74" s="6" t="s">
        <v>8</v>
      </c>
      <c r="C74" s="7">
        <v>71361.771000000008</v>
      </c>
      <c r="D74" s="28">
        <v>0</v>
      </c>
      <c r="E74" s="8">
        <f>C74*D74</f>
        <v>0</v>
      </c>
    </row>
    <row r="75" spans="1:5" s="11" customFormat="1" ht="15.75" x14ac:dyDescent="0.3">
      <c r="A75" s="9" t="s">
        <v>42</v>
      </c>
      <c r="B75" s="9"/>
      <c r="C75" s="37">
        <f>SUM(C71:C74)</f>
        <v>4646824.7149999989</v>
      </c>
      <c r="D75" s="10"/>
      <c r="E75" s="10">
        <f>SUM(E71:E74)</f>
        <v>2530.8683711999997</v>
      </c>
    </row>
    <row r="76" spans="1:5" ht="15.75" x14ac:dyDescent="0.3">
      <c r="A76" s="6" t="s">
        <v>43</v>
      </c>
      <c r="B76" s="6" t="s">
        <v>5</v>
      </c>
      <c r="C76" s="7">
        <v>1294400.891114</v>
      </c>
      <c r="D76" s="28">
        <v>5.9999999999999995E-4</v>
      </c>
      <c r="E76" s="8">
        <f>C76*D76</f>
        <v>776.64053466839994</v>
      </c>
    </row>
    <row r="77" spans="1:5" ht="15.75" x14ac:dyDescent="0.3">
      <c r="A77" s="6" t="s">
        <v>43</v>
      </c>
      <c r="B77" s="6" t="s">
        <v>6</v>
      </c>
      <c r="C77" s="7">
        <v>157362.51403600001</v>
      </c>
      <c r="D77" s="28">
        <v>0</v>
      </c>
      <c r="E77" s="8">
        <f>C77*D77</f>
        <v>0</v>
      </c>
    </row>
    <row r="78" spans="1:5" ht="15.75" x14ac:dyDescent="0.3">
      <c r="A78" s="6" t="s">
        <v>43</v>
      </c>
      <c r="B78" s="6" t="s">
        <v>8</v>
      </c>
      <c r="C78" s="7">
        <v>38557.500319999999</v>
      </c>
      <c r="D78" s="28">
        <v>0</v>
      </c>
      <c r="E78" s="8">
        <f>C78*D78</f>
        <v>0</v>
      </c>
    </row>
    <row r="79" spans="1:5" s="11" customFormat="1" ht="15.75" x14ac:dyDescent="0.3">
      <c r="A79" s="9" t="s">
        <v>44</v>
      </c>
      <c r="B79" s="9"/>
      <c r="C79" s="37">
        <f>SUM(C76:C78)</f>
        <v>1490320.9054700001</v>
      </c>
      <c r="D79" s="10"/>
      <c r="E79" s="10">
        <f>SUM(E76:E78)</f>
        <v>776.64053466839994</v>
      </c>
    </row>
    <row r="80" spans="1:5" ht="15.75" x14ac:dyDescent="0.3">
      <c r="A80" s="6" t="s">
        <v>45</v>
      </c>
      <c r="B80" s="6" t="s">
        <v>5</v>
      </c>
      <c r="C80" s="7">
        <v>341221.72840000002</v>
      </c>
      <c r="D80" s="28">
        <v>5.9999999999999995E-4</v>
      </c>
      <c r="E80" s="8">
        <f>C80*D80</f>
        <v>204.73303704</v>
      </c>
    </row>
    <row r="81" spans="1:5" ht="15.75" x14ac:dyDescent="0.3">
      <c r="A81" s="6" t="s">
        <v>45</v>
      </c>
      <c r="B81" s="6" t="s">
        <v>6</v>
      </c>
      <c r="C81" s="7">
        <v>61075.113254000004</v>
      </c>
      <c r="D81" s="28">
        <v>0</v>
      </c>
      <c r="E81" s="8">
        <f>C81*D81</f>
        <v>0</v>
      </c>
    </row>
    <row r="82" spans="1:5" ht="15.75" x14ac:dyDescent="0.3">
      <c r="A82" s="6" t="s">
        <v>45</v>
      </c>
      <c r="B82" s="6" t="s">
        <v>7</v>
      </c>
      <c r="C82" s="7">
        <v>50462.45</v>
      </c>
      <c r="D82" s="28">
        <v>0</v>
      </c>
      <c r="E82" s="8">
        <f>C82*D82</f>
        <v>0</v>
      </c>
    </row>
    <row r="83" spans="1:5" ht="15.75" x14ac:dyDescent="0.3">
      <c r="A83" s="6" t="s">
        <v>45</v>
      </c>
      <c r="B83" s="6" t="s">
        <v>8</v>
      </c>
      <c r="C83" s="7">
        <v>75247.690700000006</v>
      </c>
      <c r="D83" s="28">
        <v>0</v>
      </c>
      <c r="E83" s="8">
        <f>C83*D83</f>
        <v>0</v>
      </c>
    </row>
    <row r="84" spans="1:5" s="11" customFormat="1" ht="15.75" x14ac:dyDescent="0.3">
      <c r="A84" s="9" t="s">
        <v>46</v>
      </c>
      <c r="B84" s="9"/>
      <c r="C84" s="37">
        <f>SUM(C80:C83)</f>
        <v>528006.98235400009</v>
      </c>
      <c r="D84" s="10"/>
      <c r="E84" s="10">
        <f>SUM(E80:E83)</f>
        <v>204.73303704</v>
      </c>
    </row>
    <row r="85" spans="1:5" ht="15.75" x14ac:dyDescent="0.3">
      <c r="A85" s="6" t="s">
        <v>47</v>
      </c>
      <c r="B85" s="6" t="s">
        <v>5</v>
      </c>
      <c r="C85" s="7">
        <v>538224.55299999996</v>
      </c>
      <c r="D85" s="28">
        <v>5.9999999999999995E-4</v>
      </c>
      <c r="E85" s="8">
        <f>C85*D85</f>
        <v>322.93473179999995</v>
      </c>
    </row>
    <row r="86" spans="1:5" ht="15.75" x14ac:dyDescent="0.3">
      <c r="A86" s="6" t="s">
        <v>47</v>
      </c>
      <c r="B86" s="6" t="s">
        <v>6</v>
      </c>
      <c r="C86" s="7">
        <v>261341.78710000002</v>
      </c>
      <c r="D86" s="28">
        <v>0</v>
      </c>
      <c r="E86" s="8">
        <f>C86*D86</f>
        <v>0</v>
      </c>
    </row>
    <row r="87" spans="1:5" ht="15.75" x14ac:dyDescent="0.3">
      <c r="A87" s="6" t="s">
        <v>47</v>
      </c>
      <c r="B87" s="6" t="s">
        <v>7</v>
      </c>
      <c r="C87" s="7">
        <v>201415.77000000002</v>
      </c>
      <c r="D87" s="28">
        <v>0</v>
      </c>
      <c r="E87" s="8">
        <f>C87*D87</f>
        <v>0</v>
      </c>
    </row>
    <row r="88" spans="1:5" s="11" customFormat="1" ht="15.75" x14ac:dyDescent="0.3">
      <c r="A88" s="9" t="s">
        <v>48</v>
      </c>
      <c r="B88" s="9"/>
      <c r="C88" s="37">
        <f>SUM(C85:C87)</f>
        <v>1000982.1100999999</v>
      </c>
      <c r="D88" s="10"/>
      <c r="E88" s="10">
        <f>SUM(E85:E87)</f>
        <v>322.93473179999995</v>
      </c>
    </row>
    <row r="89" spans="1:5" ht="15.75" x14ac:dyDescent="0.3">
      <c r="A89" s="6" t="s">
        <v>49</v>
      </c>
      <c r="B89" s="6" t="s">
        <v>5</v>
      </c>
      <c r="C89" s="7">
        <v>413273.12</v>
      </c>
      <c r="D89" s="28">
        <v>5.9999999999999995E-4</v>
      </c>
      <c r="E89" s="8">
        <f>C89*D89</f>
        <v>247.96387199999998</v>
      </c>
    </row>
    <row r="90" spans="1:5" ht="15.75" x14ac:dyDescent="0.3">
      <c r="A90" s="6" t="s">
        <v>49</v>
      </c>
      <c r="B90" s="6" t="s">
        <v>6</v>
      </c>
      <c r="C90" s="7">
        <v>7802.0799999999981</v>
      </c>
      <c r="D90" s="28">
        <v>0</v>
      </c>
      <c r="E90" s="8">
        <f>C90*D90</f>
        <v>0</v>
      </c>
    </row>
    <row r="91" spans="1:5" ht="15.75" x14ac:dyDescent="0.3">
      <c r="A91" s="6" t="s">
        <v>49</v>
      </c>
      <c r="B91" s="6" t="s">
        <v>8</v>
      </c>
      <c r="C91" s="7">
        <v>51833.040000000008</v>
      </c>
      <c r="D91" s="28">
        <v>0</v>
      </c>
      <c r="E91" s="8">
        <f>C91*D91</f>
        <v>0</v>
      </c>
    </row>
    <row r="92" spans="1:5" s="11" customFormat="1" ht="15.75" x14ac:dyDescent="0.3">
      <c r="A92" s="9" t="s">
        <v>50</v>
      </c>
      <c r="B92" s="9"/>
      <c r="C92" s="37">
        <f>SUM(C89:C91)</f>
        <v>472908.24</v>
      </c>
      <c r="D92" s="10"/>
      <c r="E92" s="10">
        <f>SUM(E89:E91)</f>
        <v>247.96387199999998</v>
      </c>
    </row>
    <row r="93" spans="1:5" ht="15.75" x14ac:dyDescent="0.3">
      <c r="A93" s="6" t="s">
        <v>51</v>
      </c>
      <c r="B93" s="6" t="s">
        <v>5</v>
      </c>
      <c r="C93" s="7">
        <v>297924.07</v>
      </c>
      <c r="D93" s="28">
        <v>5.9999999999999995E-4</v>
      </c>
      <c r="E93" s="8">
        <f>C93*D93</f>
        <v>178.75444199999998</v>
      </c>
    </row>
    <row r="94" spans="1:5" ht="15.75" x14ac:dyDescent="0.3">
      <c r="A94" s="6" t="s">
        <v>51</v>
      </c>
      <c r="B94" s="6" t="s">
        <v>6</v>
      </c>
      <c r="C94" s="7">
        <v>44234.28</v>
      </c>
      <c r="D94" s="28">
        <v>0</v>
      </c>
      <c r="E94" s="8">
        <f>C94*D94</f>
        <v>0</v>
      </c>
    </row>
    <row r="95" spans="1:5" ht="15.75" x14ac:dyDescent="0.3">
      <c r="A95" s="6" t="s">
        <v>51</v>
      </c>
      <c r="B95" s="6" t="s">
        <v>8</v>
      </c>
      <c r="C95" s="7">
        <v>60325</v>
      </c>
      <c r="D95" s="28">
        <v>0</v>
      </c>
      <c r="E95" s="8">
        <f>C95*D95</f>
        <v>0</v>
      </c>
    </row>
    <row r="96" spans="1:5" s="11" customFormat="1" ht="15.75" x14ac:dyDescent="0.3">
      <c r="A96" s="9" t="s">
        <v>52</v>
      </c>
      <c r="B96" s="9"/>
      <c r="C96" s="37">
        <f>SUM(C93:C95)</f>
        <v>402483.35</v>
      </c>
      <c r="D96" s="10"/>
      <c r="E96" s="10">
        <f>SUM(E93:E95)</f>
        <v>178.75444199999998</v>
      </c>
    </row>
    <row r="97" spans="1:5" ht="15.75" x14ac:dyDescent="0.3">
      <c r="A97" s="6" t="s">
        <v>53</v>
      </c>
      <c r="B97" s="6" t="s">
        <v>5</v>
      </c>
      <c r="C97" s="7">
        <v>293251.33199999999</v>
      </c>
      <c r="D97" s="28">
        <v>5.9999999999999995E-4</v>
      </c>
      <c r="E97" s="8">
        <f>C97*D97</f>
        <v>175.95079919999998</v>
      </c>
    </row>
    <row r="98" spans="1:5" ht="15.75" x14ac:dyDescent="0.3">
      <c r="A98" s="6" t="s">
        <v>53</v>
      </c>
      <c r="B98" s="6" t="s">
        <v>6</v>
      </c>
      <c r="C98" s="7">
        <v>43997.924000000006</v>
      </c>
      <c r="D98" s="28">
        <v>0</v>
      </c>
      <c r="E98" s="8">
        <f>C98*D98</f>
        <v>0</v>
      </c>
    </row>
    <row r="99" spans="1:5" ht="15.75" x14ac:dyDescent="0.3">
      <c r="A99" s="6" t="s">
        <v>53</v>
      </c>
      <c r="B99" s="6" t="s">
        <v>8</v>
      </c>
      <c r="C99" s="7">
        <v>61095.5</v>
      </c>
      <c r="D99" s="28">
        <v>0</v>
      </c>
      <c r="E99" s="8">
        <f>C99*D99</f>
        <v>0</v>
      </c>
    </row>
    <row r="100" spans="1:5" s="11" customFormat="1" ht="15.75" x14ac:dyDescent="0.3">
      <c r="A100" s="9" t="s">
        <v>54</v>
      </c>
      <c r="B100" s="9"/>
      <c r="C100" s="37">
        <f>SUM(C97:C99)</f>
        <v>398344.75599999999</v>
      </c>
      <c r="D100" s="10"/>
      <c r="E100" s="10">
        <f>SUM(E97:E99)</f>
        <v>175.95079919999998</v>
      </c>
    </row>
    <row r="101" spans="1:5" ht="15.75" x14ac:dyDescent="0.3">
      <c r="A101" s="6" t="s">
        <v>55</v>
      </c>
      <c r="B101" s="6" t="s">
        <v>5</v>
      </c>
      <c r="C101" s="7">
        <v>275327.78000000003</v>
      </c>
      <c r="D101" s="28">
        <v>5.9999999999999995E-4</v>
      </c>
      <c r="E101" s="8">
        <f>C101*D101</f>
        <v>165.19666799999999</v>
      </c>
    </row>
    <row r="102" spans="1:5" ht="15.75" x14ac:dyDescent="0.3">
      <c r="A102" s="6" t="s">
        <v>55</v>
      </c>
      <c r="B102" s="6" t="s">
        <v>6</v>
      </c>
      <c r="C102" s="7">
        <v>47203.519999999997</v>
      </c>
      <c r="D102" s="28">
        <v>0</v>
      </c>
      <c r="E102" s="8">
        <f>C102*D102</f>
        <v>0</v>
      </c>
    </row>
    <row r="103" spans="1:5" ht="15.75" x14ac:dyDescent="0.3">
      <c r="A103" s="6" t="s">
        <v>55</v>
      </c>
      <c r="B103" s="6" t="s">
        <v>8</v>
      </c>
      <c r="C103" s="7">
        <v>60560.5</v>
      </c>
      <c r="D103" s="28">
        <v>0</v>
      </c>
      <c r="E103" s="8">
        <f>C103*D103</f>
        <v>0</v>
      </c>
    </row>
    <row r="104" spans="1:5" s="11" customFormat="1" ht="15.75" x14ac:dyDescent="0.3">
      <c r="A104" s="9" t="s">
        <v>56</v>
      </c>
      <c r="B104" s="9"/>
      <c r="C104" s="37">
        <f>SUM(C101:C103)</f>
        <v>383091.80000000005</v>
      </c>
      <c r="D104" s="10"/>
      <c r="E104" s="10">
        <f>SUM(E101:E103)</f>
        <v>165.19666799999999</v>
      </c>
    </row>
    <row r="105" spans="1:5" ht="15.75" x14ac:dyDescent="0.3">
      <c r="A105" s="6" t="s">
        <v>57</v>
      </c>
      <c r="B105" s="6" t="s">
        <v>5</v>
      </c>
      <c r="C105" s="7">
        <v>400986.95750000002</v>
      </c>
      <c r="D105" s="28">
        <v>5.9999999999999995E-4</v>
      </c>
      <c r="E105" s="8">
        <f>C105*D105</f>
        <v>240.5921745</v>
      </c>
    </row>
    <row r="106" spans="1:5" ht="15.75" x14ac:dyDescent="0.3">
      <c r="A106" s="6" t="s">
        <v>57</v>
      </c>
      <c r="B106" s="6" t="s">
        <v>7</v>
      </c>
      <c r="C106" s="7">
        <v>91336.58</v>
      </c>
      <c r="D106" s="28">
        <v>0</v>
      </c>
      <c r="E106" s="8">
        <f>C106*D106</f>
        <v>0</v>
      </c>
    </row>
    <row r="107" spans="1:5" ht="15.75" x14ac:dyDescent="0.3">
      <c r="A107" s="6" t="s">
        <v>57</v>
      </c>
      <c r="B107" s="6" t="s">
        <v>8</v>
      </c>
      <c r="C107" s="7">
        <v>75741.144</v>
      </c>
      <c r="D107" s="28">
        <v>0</v>
      </c>
      <c r="E107" s="8">
        <f>C107*D107</f>
        <v>0</v>
      </c>
    </row>
    <row r="108" spans="1:5" s="11" customFormat="1" ht="15.75" x14ac:dyDescent="0.3">
      <c r="A108" s="9" t="s">
        <v>58</v>
      </c>
      <c r="B108" s="9"/>
      <c r="C108" s="37">
        <f>SUM(C105:C107)</f>
        <v>568064.68150000006</v>
      </c>
      <c r="D108" s="10"/>
      <c r="E108" s="10">
        <f>SUM(E105:E107)</f>
        <v>240.5921745</v>
      </c>
    </row>
    <row r="109" spans="1:5" ht="15.75" x14ac:dyDescent="0.3">
      <c r="A109" s="6" t="s">
        <v>59</v>
      </c>
      <c r="B109" s="6" t="s">
        <v>5</v>
      </c>
      <c r="C109" s="7">
        <v>663244.41169999994</v>
      </c>
      <c r="D109" s="28">
        <v>5.9999999999999995E-4</v>
      </c>
      <c r="E109" s="8">
        <f>C109*D109</f>
        <v>397.94664701999994</v>
      </c>
    </row>
    <row r="110" spans="1:5" ht="15.75" x14ac:dyDescent="0.3">
      <c r="A110" s="6" t="s">
        <v>59</v>
      </c>
      <c r="B110" s="6" t="s">
        <v>6</v>
      </c>
      <c r="C110" s="7">
        <v>64002.960000000006</v>
      </c>
      <c r="D110" s="28">
        <v>0</v>
      </c>
      <c r="E110" s="8">
        <f>C110*D110</f>
        <v>0</v>
      </c>
    </row>
    <row r="111" spans="1:5" ht="15.75" x14ac:dyDescent="0.3">
      <c r="A111" s="6" t="s">
        <v>59</v>
      </c>
      <c r="B111" s="6" t="s">
        <v>8</v>
      </c>
      <c r="C111" s="7">
        <v>79546.2</v>
      </c>
      <c r="D111" s="28">
        <v>0</v>
      </c>
      <c r="E111" s="8">
        <f>C111*D111</f>
        <v>0</v>
      </c>
    </row>
    <row r="112" spans="1:5" s="11" customFormat="1" ht="15.75" x14ac:dyDescent="0.3">
      <c r="A112" s="9" t="s">
        <v>60</v>
      </c>
      <c r="B112" s="9"/>
      <c r="C112" s="37">
        <f>SUM(C109:C111)</f>
        <v>806793.57169999985</v>
      </c>
      <c r="D112" s="10"/>
      <c r="E112" s="10">
        <f>SUM(E109:E111)</f>
        <v>397.94664701999994</v>
      </c>
    </row>
    <row r="113" spans="1:5" ht="15.75" x14ac:dyDescent="0.3">
      <c r="A113" s="6" t="s">
        <v>61</v>
      </c>
      <c r="B113" s="6" t="s">
        <v>5</v>
      </c>
      <c r="C113" s="7">
        <v>2253939.9580000001</v>
      </c>
      <c r="D113" s="28">
        <v>5.9999999999999995E-4</v>
      </c>
      <c r="E113" s="8">
        <f>C113*D113</f>
        <v>1352.3639748000001</v>
      </c>
    </row>
    <row r="114" spans="1:5" ht="15.75" x14ac:dyDescent="0.3">
      <c r="A114" s="6" t="s">
        <v>61</v>
      </c>
      <c r="B114" s="6" t="s">
        <v>6</v>
      </c>
      <c r="C114" s="7">
        <v>198992.44200000001</v>
      </c>
      <c r="D114" s="28">
        <v>0</v>
      </c>
      <c r="E114" s="8">
        <f>C114*D114</f>
        <v>0</v>
      </c>
    </row>
    <row r="115" spans="1:5" ht="15.75" x14ac:dyDescent="0.3">
      <c r="A115" s="6" t="s">
        <v>61</v>
      </c>
      <c r="B115" s="6" t="s">
        <v>8</v>
      </c>
      <c r="C115" s="7">
        <v>84321.535000000003</v>
      </c>
      <c r="D115" s="28">
        <v>0</v>
      </c>
      <c r="E115" s="8">
        <f>C115*D115</f>
        <v>0</v>
      </c>
    </row>
    <row r="116" spans="1:5" s="11" customFormat="1" ht="15.75" x14ac:dyDescent="0.3">
      <c r="A116" s="9" t="s">
        <v>62</v>
      </c>
      <c r="B116" s="9"/>
      <c r="C116" s="37">
        <f>SUM(C113:C115)</f>
        <v>2537253.9350000001</v>
      </c>
      <c r="D116" s="10"/>
      <c r="E116" s="10">
        <f>SUM(E113:E115)</f>
        <v>1352.3639748000001</v>
      </c>
    </row>
    <row r="117" spans="1:5" ht="15.75" x14ac:dyDescent="0.3">
      <c r="A117" s="6" t="s">
        <v>63</v>
      </c>
      <c r="B117" s="6" t="s">
        <v>5</v>
      </c>
      <c r="C117" s="7">
        <v>1201657.82</v>
      </c>
      <c r="D117" s="28">
        <v>5.9999999999999995E-4</v>
      </c>
      <c r="E117" s="8">
        <f>C117*D117</f>
        <v>720.99469199999999</v>
      </c>
    </row>
    <row r="118" spans="1:5" ht="15.75" x14ac:dyDescent="0.3">
      <c r="A118" s="6" t="s">
        <v>63</v>
      </c>
      <c r="B118" s="6" t="s">
        <v>6</v>
      </c>
      <c r="C118" s="7">
        <v>321204.05</v>
      </c>
      <c r="D118" s="28">
        <v>0</v>
      </c>
      <c r="E118" s="8">
        <f>C118*D118</f>
        <v>0</v>
      </c>
    </row>
    <row r="119" spans="1:5" ht="15.75" x14ac:dyDescent="0.3">
      <c r="A119" s="6" t="s">
        <v>63</v>
      </c>
      <c r="B119" s="6" t="s">
        <v>7</v>
      </c>
      <c r="C119" s="7">
        <v>15024</v>
      </c>
      <c r="D119" s="28">
        <v>0</v>
      </c>
      <c r="E119" s="8">
        <f>C119*D119</f>
        <v>0</v>
      </c>
    </row>
    <row r="120" spans="1:5" ht="15.75" x14ac:dyDescent="0.3">
      <c r="A120" s="6" t="s">
        <v>63</v>
      </c>
      <c r="B120" s="6" t="s">
        <v>8</v>
      </c>
      <c r="C120" s="7">
        <v>63478.38</v>
      </c>
      <c r="D120" s="28">
        <v>0</v>
      </c>
      <c r="E120" s="8">
        <f>C120*D120</f>
        <v>0</v>
      </c>
    </row>
    <row r="121" spans="1:5" s="11" customFormat="1" ht="15.75" x14ac:dyDescent="0.3">
      <c r="A121" s="9" t="s">
        <v>64</v>
      </c>
      <c r="B121" s="9"/>
      <c r="C121" s="37">
        <f>SUM(C117:C120)</f>
        <v>1601364.25</v>
      </c>
      <c r="D121" s="10"/>
      <c r="E121" s="10">
        <f>SUM(E117:E120)</f>
        <v>720.99469199999999</v>
      </c>
    </row>
    <row r="122" spans="1:5" ht="15.75" x14ac:dyDescent="0.3">
      <c r="A122" s="6" t="s">
        <v>65</v>
      </c>
      <c r="B122" s="6" t="s">
        <v>5</v>
      </c>
      <c r="C122" s="7">
        <v>18715276.864777006</v>
      </c>
      <c r="D122" s="28">
        <v>5.9999999999999995E-4</v>
      </c>
      <c r="E122" s="8">
        <f>C122*D122</f>
        <v>11229.166118866202</v>
      </c>
    </row>
    <row r="123" spans="1:5" ht="15.75" x14ac:dyDescent="0.3">
      <c r="A123" s="6" t="s">
        <v>65</v>
      </c>
      <c r="B123" s="6" t="s">
        <v>6</v>
      </c>
      <c r="C123" s="7">
        <v>311489.81003399997</v>
      </c>
      <c r="D123" s="28">
        <v>0</v>
      </c>
      <c r="E123" s="8">
        <f>C123*D123</f>
        <v>0</v>
      </c>
    </row>
    <row r="124" spans="1:5" ht="15.75" x14ac:dyDescent="0.3">
      <c r="A124" s="6" t="s">
        <v>65</v>
      </c>
      <c r="B124" s="6" t="s">
        <v>7</v>
      </c>
      <c r="C124" s="7">
        <v>1343943.43254</v>
      </c>
      <c r="D124" s="28">
        <v>0</v>
      </c>
      <c r="E124" s="8">
        <f>C124*D124</f>
        <v>0</v>
      </c>
    </row>
    <row r="125" spans="1:5" ht="15.75" x14ac:dyDescent="0.3">
      <c r="A125" s="6" t="s">
        <v>65</v>
      </c>
      <c r="B125" s="6" t="s">
        <v>8</v>
      </c>
      <c r="C125" s="7">
        <v>123550.8</v>
      </c>
      <c r="D125" s="28">
        <v>0</v>
      </c>
      <c r="E125" s="8">
        <f>C125*D125</f>
        <v>0</v>
      </c>
    </row>
    <row r="126" spans="1:5" s="11" customFormat="1" ht="15.75" x14ac:dyDescent="0.3">
      <c r="A126" s="9" t="s">
        <v>66</v>
      </c>
      <c r="B126" s="9"/>
      <c r="C126" s="37">
        <f>SUM(C122:C125)</f>
        <v>20494260.907351006</v>
      </c>
      <c r="D126" s="10"/>
      <c r="E126" s="10">
        <f>SUM(E122:E125)</f>
        <v>11229.166118866202</v>
      </c>
    </row>
    <row r="127" spans="1:5" ht="15.75" x14ac:dyDescent="0.3">
      <c r="A127" s="6" t="s">
        <v>67</v>
      </c>
      <c r="B127" s="6" t="s">
        <v>5</v>
      </c>
      <c r="C127" s="7">
        <v>199841.85</v>
      </c>
      <c r="D127" s="28">
        <v>5.9999999999999995E-4</v>
      </c>
      <c r="E127" s="8">
        <f>C127*D127</f>
        <v>119.90510999999999</v>
      </c>
    </row>
    <row r="128" spans="1:5" ht="15.75" x14ac:dyDescent="0.3">
      <c r="A128" s="6" t="s">
        <v>67</v>
      </c>
      <c r="B128" s="6" t="s">
        <v>6</v>
      </c>
      <c r="C128" s="7">
        <v>102316.5</v>
      </c>
      <c r="D128" s="28">
        <v>0</v>
      </c>
      <c r="E128" s="8">
        <f>C128*D128</f>
        <v>0</v>
      </c>
    </row>
    <row r="129" spans="1:5" ht="15.75" x14ac:dyDescent="0.3">
      <c r="A129" s="6" t="s">
        <v>67</v>
      </c>
      <c r="B129" s="6" t="s">
        <v>8</v>
      </c>
      <c r="C129" s="7">
        <v>74285.399999999994</v>
      </c>
      <c r="D129" s="28">
        <v>0</v>
      </c>
      <c r="E129" s="8">
        <f>C129*D129</f>
        <v>0</v>
      </c>
    </row>
    <row r="130" spans="1:5" s="11" customFormat="1" ht="15.75" x14ac:dyDescent="0.3">
      <c r="A130" s="9" t="s">
        <v>68</v>
      </c>
      <c r="B130" s="9"/>
      <c r="C130" s="37">
        <f>SUM(C127:C129)</f>
        <v>376443.75</v>
      </c>
      <c r="D130" s="10"/>
      <c r="E130" s="10">
        <f>SUM(E127:E129)</f>
        <v>119.90510999999999</v>
      </c>
    </row>
    <row r="131" spans="1:5" ht="15.75" x14ac:dyDescent="0.3">
      <c r="A131" s="6" t="s">
        <v>69</v>
      </c>
      <c r="B131" s="6" t="s">
        <v>5</v>
      </c>
      <c r="C131" s="7">
        <v>1957663.4310000001</v>
      </c>
      <c r="D131" s="28">
        <v>5.9999999999999995E-4</v>
      </c>
      <c r="E131" s="8">
        <f>C131*D131</f>
        <v>1174.5980586000001</v>
      </c>
    </row>
    <row r="132" spans="1:5" ht="15.75" x14ac:dyDescent="0.3">
      <c r="A132" s="6" t="s">
        <v>69</v>
      </c>
      <c r="B132" s="6" t="s">
        <v>6</v>
      </c>
      <c r="C132" s="7">
        <v>50992.095000000001</v>
      </c>
      <c r="D132" s="28">
        <v>0</v>
      </c>
      <c r="E132" s="8">
        <f>C132*D132</f>
        <v>0</v>
      </c>
    </row>
    <row r="133" spans="1:5" ht="15.75" x14ac:dyDescent="0.3">
      <c r="A133" s="6" t="s">
        <v>69</v>
      </c>
      <c r="B133" s="6" t="s">
        <v>7</v>
      </c>
      <c r="C133" s="7">
        <v>225311.10499999998</v>
      </c>
      <c r="D133" s="28">
        <v>0</v>
      </c>
      <c r="E133" s="8">
        <f>C133*D133</f>
        <v>0</v>
      </c>
    </row>
    <row r="134" spans="1:5" ht="15.75" x14ac:dyDescent="0.3">
      <c r="A134" s="6" t="s">
        <v>69</v>
      </c>
      <c r="B134" s="6" t="s">
        <v>8</v>
      </c>
      <c r="C134" s="7">
        <v>98594.177500000005</v>
      </c>
      <c r="D134" s="28">
        <v>0</v>
      </c>
      <c r="E134" s="8">
        <f>C134*D134</f>
        <v>0</v>
      </c>
    </row>
    <row r="135" spans="1:5" s="11" customFormat="1" ht="15.75" x14ac:dyDescent="0.3">
      <c r="A135" s="9" t="s">
        <v>70</v>
      </c>
      <c r="B135" s="9"/>
      <c r="C135" s="37">
        <f>SUM(C131:C134)</f>
        <v>2332560.8085000003</v>
      </c>
      <c r="D135" s="10"/>
      <c r="E135" s="10">
        <f>SUM(E131:E134)</f>
        <v>1174.5980586000001</v>
      </c>
    </row>
    <row r="136" spans="1:5" ht="15.75" x14ac:dyDescent="0.3">
      <c r="A136" s="6" t="s">
        <v>71</v>
      </c>
      <c r="B136" s="6" t="s">
        <v>5</v>
      </c>
      <c r="C136" s="7">
        <v>628177.23200000008</v>
      </c>
      <c r="D136" s="28">
        <v>5.9999999999999995E-4</v>
      </c>
      <c r="E136" s="8">
        <f>C136*D136</f>
        <v>376.90633919999999</v>
      </c>
    </row>
    <row r="137" spans="1:5" ht="15.75" x14ac:dyDescent="0.3">
      <c r="A137" s="6" t="s">
        <v>71</v>
      </c>
      <c r="B137" s="6" t="s">
        <v>6</v>
      </c>
      <c r="C137" s="7">
        <v>52890.048000000003</v>
      </c>
      <c r="D137" s="28">
        <v>0</v>
      </c>
      <c r="E137" s="8">
        <f>C137*D137</f>
        <v>0</v>
      </c>
    </row>
    <row r="138" spans="1:5" ht="15.75" x14ac:dyDescent="0.3">
      <c r="A138" s="6" t="s">
        <v>71</v>
      </c>
      <c r="B138" s="6" t="s">
        <v>7</v>
      </c>
      <c r="C138" s="7">
        <v>125858.98000000001</v>
      </c>
      <c r="D138" s="28">
        <v>0</v>
      </c>
      <c r="E138" s="8">
        <f>C138*D138</f>
        <v>0</v>
      </c>
    </row>
    <row r="139" spans="1:5" ht="15.75" x14ac:dyDescent="0.3">
      <c r="A139" s="6" t="s">
        <v>71</v>
      </c>
      <c r="B139" s="6" t="s">
        <v>8</v>
      </c>
      <c r="C139" s="7">
        <v>81505.2</v>
      </c>
      <c r="D139" s="28">
        <v>0</v>
      </c>
      <c r="E139" s="8">
        <f>C139*D139</f>
        <v>0</v>
      </c>
    </row>
    <row r="140" spans="1:5" s="11" customFormat="1" ht="15.75" x14ac:dyDescent="0.3">
      <c r="A140" s="9" t="s">
        <v>72</v>
      </c>
      <c r="B140" s="9"/>
      <c r="C140" s="37">
        <f>SUM(C136:C139)</f>
        <v>888431.46</v>
      </c>
      <c r="D140" s="10"/>
      <c r="E140" s="10">
        <f>SUM(E136:E139)</f>
        <v>376.90633919999999</v>
      </c>
    </row>
    <row r="141" spans="1:5" ht="15.75" x14ac:dyDescent="0.3">
      <c r="A141" s="6" t="s">
        <v>73</v>
      </c>
      <c r="B141" s="6" t="s">
        <v>5</v>
      </c>
      <c r="C141" s="7">
        <v>260844.48</v>
      </c>
      <c r="D141" s="28">
        <v>5.9999999999999995E-4</v>
      </c>
      <c r="E141" s="8">
        <f>C141*D141</f>
        <v>156.506688</v>
      </c>
    </row>
    <row r="142" spans="1:5" ht="15.75" x14ac:dyDescent="0.3">
      <c r="A142" s="6" t="s">
        <v>73</v>
      </c>
      <c r="B142" s="6" t="s">
        <v>8</v>
      </c>
      <c r="C142" s="7">
        <v>57548.52</v>
      </c>
      <c r="D142" s="28">
        <v>0</v>
      </c>
      <c r="E142" s="8">
        <f>C142*D142</f>
        <v>0</v>
      </c>
    </row>
    <row r="143" spans="1:5" s="11" customFormat="1" ht="15.75" x14ac:dyDescent="0.3">
      <c r="A143" s="9" t="s">
        <v>74</v>
      </c>
      <c r="B143" s="9"/>
      <c r="C143" s="37">
        <f>SUM(C141:C142)</f>
        <v>318393</v>
      </c>
      <c r="D143" s="10"/>
      <c r="E143" s="10">
        <f>SUM(E141:E142)</f>
        <v>156.506688</v>
      </c>
    </row>
    <row r="144" spans="1:5" ht="15.75" x14ac:dyDescent="0.3">
      <c r="A144" s="6" t="s">
        <v>75</v>
      </c>
      <c r="B144" s="6" t="s">
        <v>5</v>
      </c>
      <c r="C144" s="7">
        <v>129810.348</v>
      </c>
      <c r="D144" s="28">
        <v>5.9999999999999995E-4</v>
      </c>
      <c r="E144" s="8">
        <f>C144*D144</f>
        <v>77.886208799999991</v>
      </c>
    </row>
    <row r="145" spans="1:5" ht="15.75" x14ac:dyDescent="0.3">
      <c r="A145" s="6" t="s">
        <v>75</v>
      </c>
      <c r="B145" s="6" t="s">
        <v>8</v>
      </c>
      <c r="C145" s="7">
        <v>71263.199999999997</v>
      </c>
      <c r="D145" s="28">
        <v>0</v>
      </c>
      <c r="E145" s="8">
        <f>C145*D145</f>
        <v>0</v>
      </c>
    </row>
    <row r="146" spans="1:5" s="11" customFormat="1" ht="15.75" x14ac:dyDescent="0.3">
      <c r="A146" s="9" t="s">
        <v>76</v>
      </c>
      <c r="B146" s="9"/>
      <c r="C146" s="37">
        <f>SUM(C144:C145)</f>
        <v>201073.54800000001</v>
      </c>
      <c r="D146" s="10"/>
      <c r="E146" s="10">
        <f>SUM(E144:E145)</f>
        <v>77.886208799999991</v>
      </c>
    </row>
    <row r="147" spans="1:5" ht="15.75" x14ac:dyDescent="0.3">
      <c r="A147" s="6" t="s">
        <v>77</v>
      </c>
      <c r="B147" s="6" t="s">
        <v>5</v>
      </c>
      <c r="C147" s="7">
        <v>3944957.04</v>
      </c>
      <c r="D147" s="28">
        <v>5.9999999999999995E-4</v>
      </c>
      <c r="E147" s="8">
        <f>C147*D147</f>
        <v>2366.9742239999996</v>
      </c>
    </row>
    <row r="148" spans="1:5" ht="15.75" x14ac:dyDescent="0.3">
      <c r="A148" s="6" t="s">
        <v>77</v>
      </c>
      <c r="B148" s="6" t="s">
        <v>6</v>
      </c>
      <c r="C148" s="7">
        <v>189300.40000000002</v>
      </c>
      <c r="D148" s="28">
        <v>0</v>
      </c>
      <c r="E148" s="8">
        <f>C148*D148</f>
        <v>0</v>
      </c>
    </row>
    <row r="149" spans="1:5" ht="15.75" x14ac:dyDescent="0.3">
      <c r="A149" s="6" t="s">
        <v>77</v>
      </c>
      <c r="B149" s="6" t="s">
        <v>7</v>
      </c>
      <c r="C149" s="7">
        <v>568448.54</v>
      </c>
      <c r="D149" s="28">
        <v>0</v>
      </c>
      <c r="E149" s="8">
        <f>C149*D149</f>
        <v>0</v>
      </c>
    </row>
    <row r="150" spans="1:5" ht="15.75" x14ac:dyDescent="0.3">
      <c r="A150" s="6" t="s">
        <v>77</v>
      </c>
      <c r="B150" s="6" t="s">
        <v>8</v>
      </c>
      <c r="C150" s="7">
        <v>104448.72</v>
      </c>
      <c r="D150" s="28">
        <v>0</v>
      </c>
      <c r="E150" s="8">
        <f>C150*D150</f>
        <v>0</v>
      </c>
    </row>
    <row r="151" spans="1:5" s="11" customFormat="1" ht="15.75" x14ac:dyDescent="0.3">
      <c r="A151" s="9" t="s">
        <v>78</v>
      </c>
      <c r="B151" s="9"/>
      <c r="C151" s="37">
        <f>SUM(C147:C150)</f>
        <v>4807154.7</v>
      </c>
      <c r="D151" s="10"/>
      <c r="E151" s="10">
        <f>SUM(E147:E150)</f>
        <v>2366.9742239999996</v>
      </c>
    </row>
    <row r="152" spans="1:5" ht="15.75" x14ac:dyDescent="0.3">
      <c r="A152" s="6" t="s">
        <v>79</v>
      </c>
      <c r="B152" s="6" t="s">
        <v>5</v>
      </c>
      <c r="C152" s="7">
        <v>8806819.5720000006</v>
      </c>
      <c r="D152" s="28">
        <v>5.9999999999999995E-4</v>
      </c>
      <c r="E152" s="8">
        <f>C152*D152</f>
        <v>5284.0917431999997</v>
      </c>
    </row>
    <row r="153" spans="1:5" ht="15.75" x14ac:dyDescent="0.3">
      <c r="A153" s="6" t="s">
        <v>79</v>
      </c>
      <c r="B153" s="6" t="s">
        <v>6</v>
      </c>
      <c r="C153" s="7">
        <v>358575.10499999998</v>
      </c>
      <c r="D153" s="28">
        <v>0</v>
      </c>
      <c r="E153" s="8">
        <f>C153*D153</f>
        <v>0</v>
      </c>
    </row>
    <row r="154" spans="1:5" ht="15.75" x14ac:dyDescent="0.3">
      <c r="A154" s="6" t="s">
        <v>79</v>
      </c>
      <c r="B154" s="6" t="s">
        <v>7</v>
      </c>
      <c r="C154" s="7">
        <v>269128.28000000003</v>
      </c>
      <c r="D154" s="28">
        <v>0</v>
      </c>
      <c r="E154" s="8">
        <f>C154*D154</f>
        <v>0</v>
      </c>
    </row>
    <row r="155" spans="1:5" ht="15.75" x14ac:dyDescent="0.3">
      <c r="A155" s="6" t="s">
        <v>79</v>
      </c>
      <c r="B155" s="6" t="s">
        <v>8</v>
      </c>
      <c r="C155" s="7">
        <v>92473.56</v>
      </c>
      <c r="D155" s="28">
        <v>0</v>
      </c>
      <c r="E155" s="8">
        <f>C155*D155</f>
        <v>0</v>
      </c>
    </row>
    <row r="156" spans="1:5" s="11" customFormat="1" ht="15.75" x14ac:dyDescent="0.3">
      <c r="A156" s="9" t="s">
        <v>80</v>
      </c>
      <c r="B156" s="9"/>
      <c r="C156" s="37">
        <f>SUM(C152:C155)</f>
        <v>9526996.5170000009</v>
      </c>
      <c r="D156" s="10"/>
      <c r="E156" s="10">
        <f>SUM(E152:E155)</f>
        <v>5284.0917431999997</v>
      </c>
    </row>
    <row r="157" spans="1:5" ht="15.75" x14ac:dyDescent="0.3">
      <c r="A157" s="6" t="s">
        <v>81</v>
      </c>
      <c r="B157" s="6" t="s">
        <v>5</v>
      </c>
      <c r="C157" s="7">
        <v>3492300.0329999998</v>
      </c>
      <c r="D157" s="28">
        <v>5.9999999999999995E-4</v>
      </c>
      <c r="E157" s="8">
        <f>C157*D157</f>
        <v>2095.3800197999999</v>
      </c>
    </row>
    <row r="158" spans="1:5" ht="15.75" x14ac:dyDescent="0.3">
      <c r="A158" s="6" t="s">
        <v>81</v>
      </c>
      <c r="B158" s="6" t="s">
        <v>6</v>
      </c>
      <c r="C158" s="7">
        <v>222759.02947199999</v>
      </c>
      <c r="D158" s="28">
        <v>0</v>
      </c>
      <c r="E158" s="8">
        <f>C158*D158</f>
        <v>0</v>
      </c>
    </row>
    <row r="159" spans="1:5" ht="15.75" x14ac:dyDescent="0.3">
      <c r="A159" s="6" t="s">
        <v>81</v>
      </c>
      <c r="B159" s="6" t="s">
        <v>7</v>
      </c>
      <c r="C159" s="7">
        <v>247006.31</v>
      </c>
      <c r="D159" s="28">
        <v>0</v>
      </c>
      <c r="E159" s="8">
        <f>C159*D159</f>
        <v>0</v>
      </c>
    </row>
    <row r="160" spans="1:5" ht="15.75" x14ac:dyDescent="0.3">
      <c r="A160" s="6" t="s">
        <v>81</v>
      </c>
      <c r="B160" s="6" t="s">
        <v>8</v>
      </c>
      <c r="C160" s="7">
        <v>128813.16</v>
      </c>
      <c r="D160" s="28">
        <v>0</v>
      </c>
      <c r="E160" s="8">
        <f>C160*D160</f>
        <v>0</v>
      </c>
    </row>
    <row r="161" spans="1:5" s="11" customFormat="1" ht="15.75" x14ac:dyDescent="0.3">
      <c r="A161" s="9" t="s">
        <v>82</v>
      </c>
      <c r="B161" s="9"/>
      <c r="C161" s="37">
        <f>SUM(C157:C160)</f>
        <v>4090878.532472</v>
      </c>
      <c r="D161" s="10"/>
      <c r="E161" s="10">
        <f>SUM(E157:E160)</f>
        <v>2095.3800197999999</v>
      </c>
    </row>
    <row r="162" spans="1:5" ht="15.75" x14ac:dyDescent="0.3">
      <c r="A162" s="6" t="s">
        <v>83</v>
      </c>
      <c r="B162" s="6" t="s">
        <v>5</v>
      </c>
      <c r="C162" s="7">
        <v>608556.20000000007</v>
      </c>
      <c r="D162" s="28">
        <v>5.9999999999999995E-4</v>
      </c>
      <c r="E162" s="8">
        <f>C162*D162</f>
        <v>365.13371999999998</v>
      </c>
    </row>
    <row r="163" spans="1:5" ht="15.75" x14ac:dyDescent="0.3">
      <c r="A163" s="6" t="s">
        <v>83</v>
      </c>
      <c r="B163" s="6" t="s">
        <v>6</v>
      </c>
      <c r="C163" s="7">
        <v>117544.43000000001</v>
      </c>
      <c r="D163" s="28">
        <v>0</v>
      </c>
      <c r="E163" s="8">
        <f>C163*D163</f>
        <v>0</v>
      </c>
    </row>
    <row r="164" spans="1:5" ht="15.75" x14ac:dyDescent="0.3">
      <c r="A164" s="6" t="s">
        <v>83</v>
      </c>
      <c r="B164" s="6" t="s">
        <v>8</v>
      </c>
      <c r="C164" s="7">
        <v>46939.899999999987</v>
      </c>
      <c r="D164" s="28">
        <v>0</v>
      </c>
      <c r="E164" s="8">
        <f>C164*D164</f>
        <v>0</v>
      </c>
    </row>
    <row r="165" spans="1:5" s="11" customFormat="1" ht="15.75" x14ac:dyDescent="0.3">
      <c r="A165" s="9" t="s">
        <v>84</v>
      </c>
      <c r="B165" s="9"/>
      <c r="C165" s="37">
        <f>SUM(C162:C164)</f>
        <v>773040.53000000014</v>
      </c>
      <c r="D165" s="10"/>
      <c r="E165" s="10">
        <f>SUM(E162:E164)</f>
        <v>365.13371999999998</v>
      </c>
    </row>
    <row r="166" spans="1:5" ht="15.75" x14ac:dyDescent="0.3">
      <c r="A166" s="6" t="s">
        <v>85</v>
      </c>
      <c r="B166" s="6" t="s">
        <v>5</v>
      </c>
      <c r="C166" s="7">
        <v>121305.60000000001</v>
      </c>
      <c r="D166" s="28">
        <v>5.9999999999999995E-4</v>
      </c>
      <c r="E166" s="8">
        <f>C166*D166</f>
        <v>72.783360000000002</v>
      </c>
    </row>
    <row r="167" spans="1:5" ht="15.75" x14ac:dyDescent="0.3">
      <c r="A167" s="6" t="s">
        <v>85</v>
      </c>
      <c r="B167" s="6" t="s">
        <v>6</v>
      </c>
      <c r="C167" s="7">
        <v>108461.6</v>
      </c>
      <c r="D167" s="28">
        <v>0</v>
      </c>
      <c r="E167" s="8">
        <f>C167*D167</f>
        <v>0</v>
      </c>
    </row>
    <row r="168" spans="1:5" ht="15.75" x14ac:dyDescent="0.3">
      <c r="A168" s="6" t="s">
        <v>85</v>
      </c>
      <c r="B168" s="6" t="s">
        <v>8</v>
      </c>
      <c r="C168" s="7">
        <v>59390.5</v>
      </c>
      <c r="D168" s="28">
        <v>0</v>
      </c>
      <c r="E168" s="8">
        <f>C168*D168</f>
        <v>0</v>
      </c>
    </row>
    <row r="169" spans="1:5" s="11" customFormat="1" ht="15.75" x14ac:dyDescent="0.3">
      <c r="A169" s="9" t="s">
        <v>86</v>
      </c>
      <c r="B169" s="9"/>
      <c r="C169" s="37">
        <f>SUM(C166:C168)</f>
        <v>289157.7</v>
      </c>
      <c r="D169" s="10"/>
      <c r="E169" s="10">
        <f>SUM(E166:E168)</f>
        <v>72.783360000000002</v>
      </c>
    </row>
    <row r="170" spans="1:5" ht="15.75" x14ac:dyDescent="0.3">
      <c r="A170" s="6" t="s">
        <v>87</v>
      </c>
      <c r="B170" s="6" t="s">
        <v>5</v>
      </c>
      <c r="C170" s="7">
        <v>311984.40000000002</v>
      </c>
      <c r="D170" s="28">
        <v>5.9999999999999995E-4</v>
      </c>
      <c r="E170" s="8">
        <f>C170*D170</f>
        <v>187.19064</v>
      </c>
    </row>
    <row r="171" spans="1:5" ht="15.75" x14ac:dyDescent="0.3">
      <c r="A171" s="6" t="s">
        <v>87</v>
      </c>
      <c r="B171" s="6" t="s">
        <v>8</v>
      </c>
      <c r="C171" s="7">
        <v>68701.2</v>
      </c>
      <c r="D171" s="28">
        <v>0</v>
      </c>
      <c r="E171" s="8">
        <f>C171*D171</f>
        <v>0</v>
      </c>
    </row>
    <row r="172" spans="1:5" s="11" customFormat="1" ht="15.75" x14ac:dyDescent="0.3">
      <c r="A172" s="9" t="s">
        <v>88</v>
      </c>
      <c r="B172" s="9"/>
      <c r="C172" s="37">
        <f>SUM(C170:C171)</f>
        <v>380685.60000000003</v>
      </c>
      <c r="D172" s="10"/>
      <c r="E172" s="10">
        <f>SUM(E170:E171)</f>
        <v>187.19064</v>
      </c>
    </row>
    <row r="173" spans="1:5" ht="15.75" x14ac:dyDescent="0.3">
      <c r="A173" s="6" t="s">
        <v>89</v>
      </c>
      <c r="B173" s="6" t="s">
        <v>5</v>
      </c>
      <c r="C173" s="7">
        <v>2913849.73</v>
      </c>
      <c r="D173" s="28">
        <v>5.9999999999999995E-4</v>
      </c>
      <c r="E173" s="8">
        <f>C173*D173</f>
        <v>1748.3098379999999</v>
      </c>
    </row>
    <row r="174" spans="1:5" ht="15.75" x14ac:dyDescent="0.3">
      <c r="A174" s="6" t="s">
        <v>89</v>
      </c>
      <c r="B174" s="6" t="s">
        <v>6</v>
      </c>
      <c r="C174" s="7">
        <v>74136.567999999999</v>
      </c>
      <c r="D174" s="28">
        <v>0</v>
      </c>
      <c r="E174" s="8">
        <f>C174*D174</f>
        <v>0</v>
      </c>
    </row>
    <row r="175" spans="1:5" ht="15.75" x14ac:dyDescent="0.3">
      <c r="A175" s="6" t="s">
        <v>89</v>
      </c>
      <c r="B175" s="6" t="s">
        <v>7</v>
      </c>
      <c r="C175" s="7">
        <v>656320.07199999993</v>
      </c>
      <c r="D175" s="28">
        <v>0</v>
      </c>
      <c r="E175" s="8">
        <f>C175*D175</f>
        <v>0</v>
      </c>
    </row>
    <row r="176" spans="1:5" ht="15.75" x14ac:dyDescent="0.3">
      <c r="A176" s="6" t="s">
        <v>89</v>
      </c>
      <c r="B176" s="6" t="s">
        <v>8</v>
      </c>
      <c r="C176" s="7">
        <v>93579.063999999998</v>
      </c>
      <c r="D176" s="28">
        <v>0</v>
      </c>
      <c r="E176" s="8">
        <f>C176*D176</f>
        <v>0</v>
      </c>
    </row>
    <row r="177" spans="1:5" s="11" customFormat="1" ht="15.75" x14ac:dyDescent="0.3">
      <c r="A177" s="9" t="s">
        <v>90</v>
      </c>
      <c r="B177" s="9"/>
      <c r="C177" s="37">
        <f>SUM(C173:C176)</f>
        <v>3737885.4339999999</v>
      </c>
      <c r="D177" s="10"/>
      <c r="E177" s="10">
        <f>SUM(E173:E176)</f>
        <v>1748.3098379999999</v>
      </c>
    </row>
    <row r="178" spans="1:5" ht="15.75" x14ac:dyDescent="0.3">
      <c r="A178" s="6" t="s">
        <v>91</v>
      </c>
      <c r="B178" s="6" t="s">
        <v>5</v>
      </c>
      <c r="C178" s="7">
        <v>4418592.7800000012</v>
      </c>
      <c r="D178" s="28">
        <v>5.9999999999999995E-4</v>
      </c>
      <c r="E178" s="8">
        <f>C178*D178</f>
        <v>2651.1556680000003</v>
      </c>
    </row>
    <row r="179" spans="1:5" ht="15.75" x14ac:dyDescent="0.3">
      <c r="A179" s="6" t="s">
        <v>91</v>
      </c>
      <c r="B179" s="6" t="s">
        <v>6</v>
      </c>
      <c r="C179" s="7">
        <v>116626</v>
      </c>
      <c r="D179" s="28">
        <v>0</v>
      </c>
      <c r="E179" s="8">
        <f>C179*D179</f>
        <v>0</v>
      </c>
    </row>
    <row r="180" spans="1:5" ht="15.75" x14ac:dyDescent="0.3">
      <c r="A180" s="6" t="s">
        <v>91</v>
      </c>
      <c r="B180" s="6" t="s">
        <v>8</v>
      </c>
      <c r="C180" s="7">
        <v>101305.065</v>
      </c>
      <c r="D180" s="28">
        <v>0</v>
      </c>
      <c r="E180" s="8">
        <f>C180*D180</f>
        <v>0</v>
      </c>
    </row>
    <row r="181" spans="1:5" s="11" customFormat="1" ht="15.75" x14ac:dyDescent="0.3">
      <c r="A181" s="9" t="s">
        <v>92</v>
      </c>
      <c r="B181" s="9"/>
      <c r="C181" s="37">
        <f>SUM(C178:C180)</f>
        <v>4636523.8450000016</v>
      </c>
      <c r="D181" s="10"/>
      <c r="E181" s="10">
        <f>SUM(E178:E180)</f>
        <v>2651.1556680000003</v>
      </c>
    </row>
    <row r="182" spans="1:5" ht="15.75" x14ac:dyDescent="0.3">
      <c r="A182" s="6" t="s">
        <v>93</v>
      </c>
      <c r="B182" s="6" t="s">
        <v>5</v>
      </c>
      <c r="C182" s="7">
        <v>1790711.7690000001</v>
      </c>
      <c r="D182" s="28">
        <v>5.9999999999999995E-4</v>
      </c>
      <c r="E182" s="8">
        <f>C182*D182</f>
        <v>1074.4270614</v>
      </c>
    </row>
    <row r="183" spans="1:5" ht="15.75" x14ac:dyDescent="0.3">
      <c r="A183" s="6" t="s">
        <v>93</v>
      </c>
      <c r="B183" s="6" t="s">
        <v>6</v>
      </c>
      <c r="C183" s="7">
        <v>146248.08016000001</v>
      </c>
      <c r="D183" s="28">
        <v>0</v>
      </c>
      <c r="E183" s="8">
        <f>C183*D183</f>
        <v>0</v>
      </c>
    </row>
    <row r="184" spans="1:5" ht="15.75" x14ac:dyDescent="0.3">
      <c r="A184" s="6" t="s">
        <v>93</v>
      </c>
      <c r="B184" s="6" t="s">
        <v>7</v>
      </c>
      <c r="C184" s="7">
        <v>192941.9601</v>
      </c>
      <c r="D184" s="28">
        <v>0</v>
      </c>
      <c r="E184" s="8">
        <f>C184*D184</f>
        <v>0</v>
      </c>
    </row>
    <row r="185" spans="1:5" s="11" customFormat="1" ht="15.75" x14ac:dyDescent="0.3">
      <c r="A185" s="9" t="s">
        <v>94</v>
      </c>
      <c r="B185" s="9"/>
      <c r="C185" s="37">
        <f>SUM(C182:C184)</f>
        <v>2129901.80926</v>
      </c>
      <c r="D185" s="10"/>
      <c r="E185" s="10">
        <f>SUM(E182:E184)</f>
        <v>1074.4270614</v>
      </c>
    </row>
    <row r="186" spans="1:5" ht="15.75" x14ac:dyDescent="0.3">
      <c r="A186" s="6" t="s">
        <v>95</v>
      </c>
      <c r="B186" s="6" t="s">
        <v>5</v>
      </c>
      <c r="C186" s="7">
        <v>44192901.555859759</v>
      </c>
      <c r="D186" s="28">
        <v>5.9999999999999995E-4</v>
      </c>
      <c r="E186" s="8">
        <f>C186*D186</f>
        <v>26515.740933515852</v>
      </c>
    </row>
    <row r="187" spans="1:5" ht="15.75" x14ac:dyDescent="0.3">
      <c r="A187" s="6" t="s">
        <v>95</v>
      </c>
      <c r="B187" s="6" t="s">
        <v>6</v>
      </c>
      <c r="C187" s="7">
        <v>828597.30703550205</v>
      </c>
      <c r="D187" s="28">
        <v>0</v>
      </c>
      <c r="E187" s="8">
        <f>C187*D187</f>
        <v>0</v>
      </c>
    </row>
    <row r="188" spans="1:5" ht="15.75" x14ac:dyDescent="0.3">
      <c r="A188" s="6" t="s">
        <v>95</v>
      </c>
      <c r="B188" s="6" t="s">
        <v>7</v>
      </c>
      <c r="C188" s="7">
        <v>3559731.3426218964</v>
      </c>
      <c r="D188" s="28">
        <v>0</v>
      </c>
      <c r="E188" s="8">
        <f>C188*D188</f>
        <v>0</v>
      </c>
    </row>
    <row r="189" spans="1:5" ht="15.75" x14ac:dyDescent="0.3">
      <c r="A189" s="6" t="s">
        <v>95</v>
      </c>
      <c r="B189" s="6" t="s">
        <v>8</v>
      </c>
      <c r="C189" s="7">
        <v>185452.84833655931</v>
      </c>
      <c r="D189" s="28">
        <v>0</v>
      </c>
      <c r="E189" s="8">
        <f>C189*D189</f>
        <v>0</v>
      </c>
    </row>
    <row r="190" spans="1:5" s="11" customFormat="1" ht="15.75" x14ac:dyDescent="0.3">
      <c r="A190" s="9" t="s">
        <v>96</v>
      </c>
      <c r="B190" s="9"/>
      <c r="C190" s="37">
        <f>SUM(C186:C189)</f>
        <v>48766683.05385372</v>
      </c>
      <c r="D190" s="10"/>
      <c r="E190" s="10">
        <f>SUM(E186:E189)</f>
        <v>26515.740933515852</v>
      </c>
    </row>
    <row r="191" spans="1:5" ht="15.75" x14ac:dyDescent="0.3">
      <c r="A191" s="6" t="s">
        <v>97</v>
      </c>
      <c r="B191" s="6" t="s">
        <v>5</v>
      </c>
      <c r="C191" s="7">
        <v>3102732.88</v>
      </c>
      <c r="D191" s="28">
        <v>5.9999999999999995E-4</v>
      </c>
      <c r="E191" s="8">
        <f>C191*D191</f>
        <v>1861.6397279999999</v>
      </c>
    </row>
    <row r="192" spans="1:5" ht="15.75" hidden="1" x14ac:dyDescent="0.3">
      <c r="A192" s="6" t="s">
        <v>97</v>
      </c>
      <c r="B192" s="6" t="s">
        <v>6</v>
      </c>
      <c r="C192" s="27"/>
      <c r="D192" s="28">
        <v>0</v>
      </c>
      <c r="E192" s="8">
        <f>C192*D192</f>
        <v>0</v>
      </c>
    </row>
    <row r="193" spans="1:5" ht="15.75" x14ac:dyDescent="0.3">
      <c r="A193" s="6" t="s">
        <v>97</v>
      </c>
      <c r="B193" s="6" t="s">
        <v>7</v>
      </c>
      <c r="C193" s="7">
        <v>124409.98</v>
      </c>
      <c r="D193" s="28">
        <v>0</v>
      </c>
      <c r="E193" s="8">
        <f>C193*D193</f>
        <v>0</v>
      </c>
    </row>
    <row r="194" spans="1:5" ht="15.75" x14ac:dyDescent="0.3">
      <c r="A194" s="6" t="s">
        <v>97</v>
      </c>
      <c r="B194" s="6" t="s">
        <v>8</v>
      </c>
      <c r="C194" s="7">
        <v>70868.5</v>
      </c>
      <c r="D194" s="28">
        <v>0</v>
      </c>
      <c r="E194" s="8">
        <f>C194*D194</f>
        <v>0</v>
      </c>
    </row>
    <row r="195" spans="1:5" s="11" customFormat="1" ht="15.75" x14ac:dyDescent="0.3">
      <c r="A195" s="9" t="s">
        <v>98</v>
      </c>
      <c r="B195" s="9"/>
      <c r="C195" s="37">
        <f>SUM(C191:C194)</f>
        <v>3298011.36</v>
      </c>
      <c r="D195" s="10"/>
      <c r="E195" s="10">
        <f>SUM(E191:E194)</f>
        <v>1861.6397279999999</v>
      </c>
    </row>
    <row r="196" spans="1:5" ht="15.75" x14ac:dyDescent="0.3">
      <c r="A196" s="6" t="s">
        <v>99</v>
      </c>
      <c r="B196" s="6" t="s">
        <v>5</v>
      </c>
      <c r="C196" s="7">
        <v>1110523.4238420001</v>
      </c>
      <c r="D196" s="28">
        <v>5.9999999999999995E-4</v>
      </c>
      <c r="E196" s="8">
        <f>C196*D196</f>
        <v>666.31405430519999</v>
      </c>
    </row>
    <row r="197" spans="1:5" ht="15.75" x14ac:dyDescent="0.3">
      <c r="A197" s="6" t="s">
        <v>99</v>
      </c>
      <c r="B197" s="6" t="s">
        <v>6</v>
      </c>
      <c r="C197" s="7">
        <v>49208.250000000007</v>
      </c>
      <c r="D197" s="28">
        <v>0</v>
      </c>
      <c r="E197" s="8">
        <f>C197*D197</f>
        <v>0</v>
      </c>
    </row>
    <row r="198" spans="1:5" ht="15.75" x14ac:dyDescent="0.3">
      <c r="A198" s="6" t="s">
        <v>99</v>
      </c>
      <c r="B198" s="6" t="s">
        <v>7</v>
      </c>
      <c r="C198" s="7">
        <v>67476.093614999991</v>
      </c>
      <c r="D198" s="28">
        <v>0</v>
      </c>
      <c r="E198" s="8">
        <f>C198*D198</f>
        <v>0</v>
      </c>
    </row>
    <row r="199" spans="1:5" ht="15.75" x14ac:dyDescent="0.3">
      <c r="A199" s="6" t="s">
        <v>99</v>
      </c>
      <c r="B199" s="6" t="s">
        <v>8</v>
      </c>
      <c r="C199" s="7">
        <v>14582.715</v>
      </c>
      <c r="D199" s="28">
        <v>0</v>
      </c>
      <c r="E199" s="8">
        <f>C199*D199</f>
        <v>0</v>
      </c>
    </row>
    <row r="200" spans="1:5" s="11" customFormat="1" ht="15.75" x14ac:dyDescent="0.3">
      <c r="A200" s="9" t="s">
        <v>100</v>
      </c>
      <c r="B200" s="9"/>
      <c r="C200" s="37">
        <f>SUM(C196:C199)</f>
        <v>1241790.4824570001</v>
      </c>
      <c r="D200" s="10"/>
      <c r="E200" s="10">
        <f>SUM(E196:E199)</f>
        <v>666.31405430519999</v>
      </c>
    </row>
    <row r="201" spans="1:5" ht="15.75" x14ac:dyDescent="0.3">
      <c r="A201" s="6" t="s">
        <v>101</v>
      </c>
      <c r="B201" s="6" t="s">
        <v>5</v>
      </c>
      <c r="C201" s="7">
        <v>2146957.2239999999</v>
      </c>
      <c r="D201" s="28">
        <v>5.9999999999999995E-4</v>
      </c>
      <c r="E201" s="8">
        <f>C201*D201</f>
        <v>1288.1743343999999</v>
      </c>
    </row>
    <row r="202" spans="1:5" ht="15.75" x14ac:dyDescent="0.3">
      <c r="A202" s="6" t="s">
        <v>101</v>
      </c>
      <c r="B202" s="6" t="s">
        <v>6</v>
      </c>
      <c r="C202" s="7">
        <v>446873.69474800007</v>
      </c>
      <c r="D202" s="28">
        <v>0</v>
      </c>
      <c r="E202" s="8">
        <f>C202*D202</f>
        <v>0</v>
      </c>
    </row>
    <row r="203" spans="1:5" ht="15.75" x14ac:dyDescent="0.3">
      <c r="A203" s="6" t="s">
        <v>101</v>
      </c>
      <c r="B203" s="6" t="s">
        <v>7</v>
      </c>
      <c r="C203" s="7">
        <v>152011.56838399998</v>
      </c>
      <c r="D203" s="28">
        <v>0</v>
      </c>
      <c r="E203" s="8">
        <f>C203*D203</f>
        <v>0</v>
      </c>
    </row>
    <row r="204" spans="1:5" ht="15.75" x14ac:dyDescent="0.3">
      <c r="A204" s="9" t="s">
        <v>102</v>
      </c>
      <c r="B204" s="9"/>
      <c r="C204" s="37">
        <f>SUM(C201:C203)</f>
        <v>2745842.4871320003</v>
      </c>
      <c r="D204" s="10"/>
      <c r="E204" s="10">
        <f>SUM(E201:E203)</f>
        <v>1288.1743343999999</v>
      </c>
    </row>
    <row r="205" spans="1:5" s="11" customFormat="1" ht="15.75" x14ac:dyDescent="0.3">
      <c r="A205" s="6" t="s">
        <v>103</v>
      </c>
      <c r="B205" s="6" t="s">
        <v>5</v>
      </c>
      <c r="C205" s="7">
        <v>1022442</v>
      </c>
      <c r="D205" s="28">
        <v>5.9999999999999995E-4</v>
      </c>
      <c r="E205" s="8">
        <f>C205*D205</f>
        <v>613.46519999999998</v>
      </c>
    </row>
    <row r="206" spans="1:5" ht="15.75" x14ac:dyDescent="0.3">
      <c r="A206" s="6" t="s">
        <v>103</v>
      </c>
      <c r="B206" s="6" t="s">
        <v>8</v>
      </c>
      <c r="C206" s="7">
        <v>42917.16</v>
      </c>
      <c r="D206" s="28">
        <v>0</v>
      </c>
      <c r="E206" s="8">
        <f>C206*D206</f>
        <v>0</v>
      </c>
    </row>
    <row r="207" spans="1:5" ht="15.75" x14ac:dyDescent="0.3">
      <c r="A207" s="9" t="s">
        <v>104</v>
      </c>
      <c r="B207" s="9"/>
      <c r="C207" s="37">
        <f>SUM(C205:C206)</f>
        <v>1065359.1599999999</v>
      </c>
      <c r="D207" s="10"/>
      <c r="E207" s="10">
        <f>SUM(E205:E206)</f>
        <v>613.46519999999998</v>
      </c>
    </row>
    <row r="208" spans="1:5" s="11" customFormat="1" ht="15.75" x14ac:dyDescent="0.3">
      <c r="A208" s="6" t="s">
        <v>105</v>
      </c>
      <c r="B208" s="6" t="s">
        <v>5</v>
      </c>
      <c r="C208" s="7">
        <v>15426476.00000002</v>
      </c>
      <c r="D208" s="28">
        <v>5.9999999999999995E-4</v>
      </c>
      <c r="E208" s="8">
        <f>C208*D208</f>
        <v>9255.8856000000123</v>
      </c>
    </row>
    <row r="209" spans="1:5" ht="15.75" x14ac:dyDescent="0.3">
      <c r="A209" s="6" t="s">
        <v>105</v>
      </c>
      <c r="B209" s="6" t="s">
        <v>6</v>
      </c>
      <c r="C209" s="7">
        <v>1004910.4000000001</v>
      </c>
      <c r="D209" s="28">
        <v>0</v>
      </c>
      <c r="E209" s="8">
        <f>C209*D209</f>
        <v>0</v>
      </c>
    </row>
    <row r="210" spans="1:5" ht="15.75" x14ac:dyDescent="0.3">
      <c r="A210" s="6" t="s">
        <v>105</v>
      </c>
      <c r="B210" s="6" t="s">
        <v>7</v>
      </c>
      <c r="C210" s="7">
        <v>2400320</v>
      </c>
      <c r="D210" s="28">
        <v>0</v>
      </c>
      <c r="E210" s="8">
        <f>C210*D210</f>
        <v>0</v>
      </c>
    </row>
    <row r="211" spans="1:5" ht="15.75" x14ac:dyDescent="0.3">
      <c r="A211" s="6" t="s">
        <v>105</v>
      </c>
      <c r="B211" s="6" t="s">
        <v>8</v>
      </c>
      <c r="C211" s="7">
        <v>205081</v>
      </c>
      <c r="D211" s="28">
        <v>0</v>
      </c>
      <c r="E211" s="8">
        <f>C211*D211</f>
        <v>0</v>
      </c>
    </row>
    <row r="212" spans="1:5" ht="15.75" x14ac:dyDescent="0.3">
      <c r="A212" s="9" t="s">
        <v>106</v>
      </c>
      <c r="B212" s="9"/>
      <c r="C212" s="37">
        <f>SUM(C208:C211)</f>
        <v>19036787.400000021</v>
      </c>
      <c r="D212" s="10"/>
      <c r="E212" s="10">
        <f>SUM(E208:E211)</f>
        <v>9255.8856000000123</v>
      </c>
    </row>
    <row r="213" spans="1:5" s="11" customFormat="1" ht="15.75" x14ac:dyDescent="0.3">
      <c r="A213" s="6" t="s">
        <v>107</v>
      </c>
      <c r="B213" s="6" t="s">
        <v>5</v>
      </c>
      <c r="C213" s="7">
        <v>4397237.9019999998</v>
      </c>
      <c r="D213" s="28">
        <v>5.9999999999999995E-4</v>
      </c>
      <c r="E213" s="8">
        <f>C213*D213</f>
        <v>2638.3427411999996</v>
      </c>
    </row>
    <row r="214" spans="1:5" ht="15.75" x14ac:dyDescent="0.3">
      <c r="A214" s="6" t="s">
        <v>107</v>
      </c>
      <c r="B214" s="6" t="s">
        <v>6</v>
      </c>
      <c r="C214" s="7">
        <v>365451.37199999997</v>
      </c>
      <c r="D214" s="28">
        <v>0</v>
      </c>
      <c r="E214" s="8">
        <f>C214*D214</f>
        <v>0</v>
      </c>
    </row>
    <row r="215" spans="1:5" ht="15.75" x14ac:dyDescent="0.3">
      <c r="A215" s="6" t="s">
        <v>107</v>
      </c>
      <c r="B215" s="6" t="s">
        <v>7</v>
      </c>
      <c r="C215" s="7">
        <v>171808</v>
      </c>
      <c r="D215" s="28">
        <v>0</v>
      </c>
      <c r="E215" s="8">
        <f>C215*D215</f>
        <v>0</v>
      </c>
    </row>
    <row r="216" spans="1:5" ht="15.75" x14ac:dyDescent="0.3">
      <c r="A216" s="6" t="s">
        <v>107</v>
      </c>
      <c r="B216" s="6" t="s">
        <v>8</v>
      </c>
      <c r="C216" s="7">
        <v>108401.28</v>
      </c>
      <c r="D216" s="28">
        <v>0</v>
      </c>
      <c r="E216" s="8">
        <f>C216*D216</f>
        <v>0</v>
      </c>
    </row>
    <row r="217" spans="1:5" ht="15.75" x14ac:dyDescent="0.3">
      <c r="A217" s="9" t="s">
        <v>108</v>
      </c>
      <c r="B217" s="9"/>
      <c r="C217" s="37">
        <f>SUM(C213:C216)</f>
        <v>5042898.5540000005</v>
      </c>
      <c r="D217" s="10"/>
      <c r="E217" s="10">
        <f>SUM(E213:E216)</f>
        <v>2638.3427411999996</v>
      </c>
    </row>
    <row r="218" spans="1:5" s="11" customFormat="1" ht="15.75" x14ac:dyDescent="0.3">
      <c r="A218" s="6" t="s">
        <v>109</v>
      </c>
      <c r="B218" s="6" t="s">
        <v>5</v>
      </c>
      <c r="C218" s="7">
        <v>17531445.890000001</v>
      </c>
      <c r="D218" s="28">
        <v>5.9999999999999995E-4</v>
      </c>
      <c r="E218" s="8">
        <f>C218*D218</f>
        <v>10518.867533999999</v>
      </c>
    </row>
    <row r="219" spans="1:5" ht="15.75" x14ac:dyDescent="0.3">
      <c r="A219" s="6" t="s">
        <v>109</v>
      </c>
      <c r="B219" s="6" t="s">
        <v>6</v>
      </c>
      <c r="C219" s="7">
        <v>823627.57165599987</v>
      </c>
      <c r="D219" s="28">
        <v>0</v>
      </c>
      <c r="E219" s="8">
        <f>C219*D219</f>
        <v>0</v>
      </c>
    </row>
    <row r="220" spans="1:5" ht="15.75" x14ac:dyDescent="0.3">
      <c r="A220" s="6" t="s">
        <v>109</v>
      </c>
      <c r="B220" s="6" t="s">
        <v>7</v>
      </c>
      <c r="C220" s="7">
        <v>1493386.5422447398</v>
      </c>
      <c r="D220" s="28">
        <v>0</v>
      </c>
      <c r="E220" s="8">
        <f>C220*D220</f>
        <v>0</v>
      </c>
    </row>
    <row r="221" spans="1:5" ht="15.75" x14ac:dyDescent="0.3">
      <c r="A221" s="6" t="s">
        <v>109</v>
      </c>
      <c r="B221" s="6" t="s">
        <v>8</v>
      </c>
      <c r="C221" s="7">
        <v>126924.16</v>
      </c>
      <c r="D221" s="28">
        <v>0</v>
      </c>
      <c r="E221" s="8">
        <f>C221*D221</f>
        <v>0</v>
      </c>
    </row>
    <row r="222" spans="1:5" ht="15.75" x14ac:dyDescent="0.3">
      <c r="A222" s="9" t="s">
        <v>110</v>
      </c>
      <c r="B222" s="9"/>
      <c r="C222" s="37">
        <f>SUM(C218:C221)</f>
        <v>19975384.16390074</v>
      </c>
      <c r="D222" s="10"/>
      <c r="E222" s="10">
        <f>SUM(E218:E221)</f>
        <v>10518.867533999999</v>
      </c>
    </row>
    <row r="223" spans="1:5" s="11" customFormat="1" ht="15.75" x14ac:dyDescent="0.3">
      <c r="A223" s="6" t="s">
        <v>111</v>
      </c>
      <c r="B223" s="6" t="s">
        <v>5</v>
      </c>
      <c r="C223" s="7">
        <v>8826898.7740000002</v>
      </c>
      <c r="D223" s="28">
        <v>5.9999999999999995E-4</v>
      </c>
      <c r="E223" s="8">
        <f>C223*D223</f>
        <v>5296.1392643999998</v>
      </c>
    </row>
    <row r="224" spans="1:5" ht="15.75" x14ac:dyDescent="0.3">
      <c r="A224" s="6" t="s">
        <v>111</v>
      </c>
      <c r="B224" s="6" t="s">
        <v>6</v>
      </c>
      <c r="C224" s="7">
        <v>451646.338544</v>
      </c>
      <c r="D224" s="28">
        <v>0</v>
      </c>
      <c r="E224" s="8">
        <f>C224*D224</f>
        <v>0</v>
      </c>
    </row>
    <row r="225" spans="1:5" ht="15.75" x14ac:dyDescent="0.3">
      <c r="A225" s="6" t="s">
        <v>111</v>
      </c>
      <c r="B225" s="6" t="s">
        <v>7</v>
      </c>
      <c r="C225" s="7">
        <v>70873.676000000007</v>
      </c>
      <c r="D225" s="28">
        <v>0</v>
      </c>
      <c r="E225" s="8">
        <f>C225*D225</f>
        <v>0</v>
      </c>
    </row>
    <row r="226" spans="1:5" ht="15.75" x14ac:dyDescent="0.3">
      <c r="A226" s="6" t="s">
        <v>111</v>
      </c>
      <c r="B226" s="6" t="s">
        <v>8</v>
      </c>
      <c r="C226" s="7">
        <v>82069.154999999984</v>
      </c>
      <c r="D226" s="28">
        <v>0</v>
      </c>
      <c r="E226" s="8">
        <f>C226*D226</f>
        <v>0</v>
      </c>
    </row>
    <row r="227" spans="1:5" ht="15.75" x14ac:dyDescent="0.3">
      <c r="A227" s="9" t="s">
        <v>112</v>
      </c>
      <c r="B227" s="9"/>
      <c r="C227" s="37">
        <f>SUM(C223:C226)</f>
        <v>9431487.9435440004</v>
      </c>
      <c r="D227" s="10"/>
      <c r="E227" s="10">
        <f>SUM(E223:E226)</f>
        <v>5296.1392643999998</v>
      </c>
    </row>
    <row r="228" spans="1:5" s="11" customFormat="1" ht="15.75" x14ac:dyDescent="0.3">
      <c r="A228" s="6" t="s">
        <v>113</v>
      </c>
      <c r="B228" s="6" t="s">
        <v>5</v>
      </c>
      <c r="C228" s="7">
        <v>13933090.91</v>
      </c>
      <c r="D228" s="28">
        <v>5.9999999999999995E-4</v>
      </c>
      <c r="E228" s="8">
        <f>C228*D228</f>
        <v>8359.8545459999987</v>
      </c>
    </row>
    <row r="229" spans="1:5" ht="15.75" x14ac:dyDescent="0.3">
      <c r="A229" s="6" t="s">
        <v>113</v>
      </c>
      <c r="B229" s="6" t="s">
        <v>6</v>
      </c>
      <c r="C229" s="7">
        <v>280220.84480000002</v>
      </c>
      <c r="D229" s="28">
        <v>0</v>
      </c>
      <c r="E229" s="8">
        <f>C229*D229</f>
        <v>0</v>
      </c>
    </row>
    <row r="230" spans="1:5" ht="15.75" x14ac:dyDescent="0.3">
      <c r="A230" s="6" t="s">
        <v>113</v>
      </c>
      <c r="B230" s="6" t="s">
        <v>7</v>
      </c>
      <c r="C230" s="7">
        <v>1580869.004</v>
      </c>
      <c r="D230" s="28">
        <v>0</v>
      </c>
      <c r="E230" s="8">
        <f>C230*D230</f>
        <v>0</v>
      </c>
    </row>
    <row r="231" spans="1:5" ht="15.75" x14ac:dyDescent="0.3">
      <c r="A231" s="9" t="s">
        <v>114</v>
      </c>
      <c r="B231" s="9"/>
      <c r="C231" s="37">
        <f>SUM(C228:C230)</f>
        <v>15794180.7588</v>
      </c>
      <c r="D231" s="10"/>
      <c r="E231" s="10">
        <f>SUM(E228:E230)</f>
        <v>8359.8545459999987</v>
      </c>
    </row>
    <row r="232" spans="1:5" ht="15.75" x14ac:dyDescent="0.3">
      <c r="A232" s="6" t="s">
        <v>115</v>
      </c>
      <c r="B232" s="6" t="s">
        <v>5</v>
      </c>
      <c r="C232" s="7">
        <v>8639905.8664099984</v>
      </c>
      <c r="D232" s="28">
        <v>5.9999999999999995E-4</v>
      </c>
      <c r="E232" s="8">
        <f>C232*D232</f>
        <v>5183.9435198459987</v>
      </c>
    </row>
    <row r="233" spans="1:5" s="11" customFormat="1" ht="15.75" x14ac:dyDescent="0.3">
      <c r="A233" s="6" t="s">
        <v>115</v>
      </c>
      <c r="B233" s="6" t="s">
        <v>6</v>
      </c>
      <c r="C233" s="7">
        <v>288856.15189600002</v>
      </c>
      <c r="D233" s="28">
        <v>0</v>
      </c>
      <c r="E233" s="8">
        <f>C233*D233</f>
        <v>0</v>
      </c>
    </row>
    <row r="234" spans="1:5" ht="15.75" x14ac:dyDescent="0.3">
      <c r="A234" s="6" t="s">
        <v>115</v>
      </c>
      <c r="B234" s="6" t="s">
        <v>7</v>
      </c>
      <c r="C234" s="7">
        <v>670523.37719999999</v>
      </c>
      <c r="D234" s="28">
        <v>0</v>
      </c>
      <c r="E234" s="8">
        <f>C234*D234</f>
        <v>0</v>
      </c>
    </row>
    <row r="235" spans="1:5" ht="15.75" x14ac:dyDescent="0.3">
      <c r="A235" s="9" t="s">
        <v>116</v>
      </c>
      <c r="B235" s="9"/>
      <c r="C235" s="37">
        <f>SUM(C232:C234)</f>
        <v>9599285.3955059983</v>
      </c>
      <c r="D235" s="10"/>
      <c r="E235" s="10">
        <f>SUM(E232:E234)</f>
        <v>5183.9435198459987</v>
      </c>
    </row>
    <row r="236" spans="1:5" ht="15.75" x14ac:dyDescent="0.3">
      <c r="A236" s="6" t="s">
        <v>117</v>
      </c>
      <c r="B236" s="6" t="s">
        <v>5</v>
      </c>
      <c r="C236" s="7">
        <v>1170663.861</v>
      </c>
      <c r="D236" s="28">
        <v>5.9999999999999995E-4</v>
      </c>
      <c r="E236" s="8">
        <f>C236*D236</f>
        <v>702.39831659999993</v>
      </c>
    </row>
    <row r="237" spans="1:5" ht="15.75" x14ac:dyDescent="0.3">
      <c r="A237" s="6" t="s">
        <v>117</v>
      </c>
      <c r="B237" s="6" t="s">
        <v>6</v>
      </c>
      <c r="C237" s="7">
        <v>229970.9552425</v>
      </c>
      <c r="D237" s="28">
        <v>0</v>
      </c>
      <c r="E237" s="8">
        <f>C237*D237</f>
        <v>0</v>
      </c>
    </row>
    <row r="238" spans="1:5" s="11" customFormat="1" ht="15.75" x14ac:dyDescent="0.3">
      <c r="A238" s="6" t="s">
        <v>117</v>
      </c>
      <c r="B238" s="6" t="s">
        <v>7</v>
      </c>
      <c r="C238" s="7">
        <v>174739.880825</v>
      </c>
      <c r="D238" s="28">
        <v>0</v>
      </c>
      <c r="E238" s="8">
        <f>C238*D238</f>
        <v>0</v>
      </c>
    </row>
    <row r="239" spans="1:5" ht="15.75" x14ac:dyDescent="0.3">
      <c r="A239" s="6" t="s">
        <v>117</v>
      </c>
      <c r="B239" s="6" t="s">
        <v>8</v>
      </c>
      <c r="C239" s="7">
        <v>76158.5</v>
      </c>
      <c r="D239" s="28">
        <v>0</v>
      </c>
      <c r="E239" s="8">
        <f>C239*D239</f>
        <v>0</v>
      </c>
    </row>
    <row r="240" spans="1:5" ht="15.75" x14ac:dyDescent="0.3">
      <c r="A240" s="9" t="s">
        <v>118</v>
      </c>
      <c r="B240" s="9"/>
      <c r="C240" s="37">
        <f>SUM(C236:C239)</f>
        <v>1651533.1970675001</v>
      </c>
      <c r="D240" s="10"/>
      <c r="E240" s="10">
        <f>SUM(E236:E239)</f>
        <v>702.39831659999993</v>
      </c>
    </row>
    <row r="241" spans="1:5" ht="15.75" x14ac:dyDescent="0.3">
      <c r="A241" s="6" t="s">
        <v>119</v>
      </c>
      <c r="B241" s="6" t="s">
        <v>5</v>
      </c>
      <c r="C241" s="7">
        <v>2858979.7600000012</v>
      </c>
      <c r="D241" s="28">
        <v>5.9999999999999995E-4</v>
      </c>
      <c r="E241" s="8">
        <f>C241*D241</f>
        <v>1715.3878560000005</v>
      </c>
    </row>
    <row r="242" spans="1:5" ht="15.75" x14ac:dyDescent="0.3">
      <c r="A242" s="6" t="s">
        <v>119</v>
      </c>
      <c r="B242" s="6" t="s">
        <v>6</v>
      </c>
      <c r="C242" s="7">
        <v>56945.408000000003</v>
      </c>
      <c r="D242" s="28">
        <v>0</v>
      </c>
      <c r="E242" s="8">
        <f>C242*D242</f>
        <v>0</v>
      </c>
    </row>
    <row r="243" spans="1:5" s="11" customFormat="1" ht="15.75" x14ac:dyDescent="0.3">
      <c r="A243" s="6" t="s">
        <v>119</v>
      </c>
      <c r="B243" s="6" t="s">
        <v>7</v>
      </c>
      <c r="C243" s="7">
        <v>141537.76</v>
      </c>
      <c r="D243" s="28">
        <v>0</v>
      </c>
      <c r="E243" s="8">
        <f>C243*D243</f>
        <v>0</v>
      </c>
    </row>
    <row r="244" spans="1:5" ht="15.75" x14ac:dyDescent="0.3">
      <c r="A244" s="6" t="s">
        <v>119</v>
      </c>
      <c r="B244" s="6" t="s">
        <v>8</v>
      </c>
      <c r="C244" s="7">
        <v>17064.866000000002</v>
      </c>
      <c r="D244" s="28">
        <v>0</v>
      </c>
      <c r="E244" s="8">
        <f>C244*D244</f>
        <v>0</v>
      </c>
    </row>
    <row r="245" spans="1:5" ht="15.75" x14ac:dyDescent="0.3">
      <c r="A245" s="9" t="s">
        <v>120</v>
      </c>
      <c r="B245" s="9"/>
      <c r="C245" s="37">
        <f>SUM(C241:C244)</f>
        <v>3074527.7940000012</v>
      </c>
      <c r="D245" s="10"/>
      <c r="E245" s="10">
        <f>SUM(E241:E244)</f>
        <v>1715.3878560000005</v>
      </c>
    </row>
    <row r="246" spans="1:5" ht="15.75" x14ac:dyDescent="0.3">
      <c r="A246" s="6" t="s">
        <v>121</v>
      </c>
      <c r="B246" s="6" t="s">
        <v>5</v>
      </c>
      <c r="C246" s="7">
        <v>4096924.8689999999</v>
      </c>
      <c r="D246" s="28">
        <v>5.9999999999999995E-4</v>
      </c>
      <c r="E246" s="8">
        <f>C246*D246</f>
        <v>2458.1549213999997</v>
      </c>
    </row>
    <row r="247" spans="1:5" ht="15.75" x14ac:dyDescent="0.3">
      <c r="A247" s="6" t="s">
        <v>121</v>
      </c>
      <c r="B247" s="6" t="s">
        <v>6</v>
      </c>
      <c r="C247" s="7">
        <v>84825.405868999995</v>
      </c>
      <c r="D247" s="28">
        <v>0</v>
      </c>
      <c r="E247" s="8">
        <f>C247*D247</f>
        <v>0</v>
      </c>
    </row>
    <row r="248" spans="1:5" s="11" customFormat="1" ht="15.75" x14ac:dyDescent="0.3">
      <c r="A248" s="6" t="s">
        <v>121</v>
      </c>
      <c r="B248" s="6" t="s">
        <v>8</v>
      </c>
      <c r="C248" s="7">
        <v>104785.72199999999</v>
      </c>
      <c r="D248" s="28">
        <v>0</v>
      </c>
      <c r="E248" s="8">
        <f>C248*D248</f>
        <v>0</v>
      </c>
    </row>
    <row r="249" spans="1:5" ht="15.75" x14ac:dyDescent="0.3">
      <c r="A249" s="9" t="s">
        <v>122</v>
      </c>
      <c r="B249" s="9"/>
      <c r="C249" s="37">
        <f>SUM(C246:C248)</f>
        <v>4286535.9968689997</v>
      </c>
      <c r="D249" s="10"/>
      <c r="E249" s="10">
        <f>SUM(E246:E248)</f>
        <v>2458.1549213999997</v>
      </c>
    </row>
    <row r="250" spans="1:5" ht="15.75" x14ac:dyDescent="0.3">
      <c r="A250" s="6" t="s">
        <v>123</v>
      </c>
      <c r="B250" s="6" t="s">
        <v>5</v>
      </c>
      <c r="C250" s="7">
        <v>2490636.304</v>
      </c>
      <c r="D250" s="28">
        <v>5.9999999999999995E-4</v>
      </c>
      <c r="E250" s="8">
        <f>C250*D250</f>
        <v>1494.3817823999998</v>
      </c>
    </row>
    <row r="251" spans="1:5" ht="15.75" x14ac:dyDescent="0.3">
      <c r="A251" s="6" t="s">
        <v>123</v>
      </c>
      <c r="B251" s="6" t="s">
        <v>6</v>
      </c>
      <c r="C251" s="7">
        <v>99713.345000000001</v>
      </c>
      <c r="D251" s="28">
        <v>0</v>
      </c>
      <c r="E251" s="8">
        <f>C251*D251</f>
        <v>0</v>
      </c>
    </row>
    <row r="252" spans="1:5" s="11" customFormat="1" ht="15.75" x14ac:dyDescent="0.3">
      <c r="A252" s="6" t="s">
        <v>123</v>
      </c>
      <c r="B252" s="6" t="s">
        <v>7</v>
      </c>
      <c r="C252" s="7">
        <v>373350.19999999995</v>
      </c>
      <c r="D252" s="28">
        <v>0</v>
      </c>
      <c r="E252" s="8">
        <f>C252*D252</f>
        <v>0</v>
      </c>
    </row>
    <row r="253" spans="1:5" ht="15.75" hidden="1" x14ac:dyDescent="0.3">
      <c r="A253" s="6" t="s">
        <v>123</v>
      </c>
      <c r="B253" s="6" t="s">
        <v>8</v>
      </c>
      <c r="C253" s="27"/>
      <c r="D253" s="28">
        <v>0</v>
      </c>
      <c r="E253" s="8">
        <f>C253*D253</f>
        <v>0</v>
      </c>
    </row>
    <row r="254" spans="1:5" ht="15.75" x14ac:dyDescent="0.3">
      <c r="A254" s="9" t="s">
        <v>124</v>
      </c>
      <c r="B254" s="9"/>
      <c r="C254" s="37">
        <f>SUM(C250:C253)</f>
        <v>2963699.8490000004</v>
      </c>
      <c r="D254" s="10"/>
      <c r="E254" s="10">
        <f>SUM(E250:E253)</f>
        <v>1494.3817823999998</v>
      </c>
    </row>
    <row r="255" spans="1:5" ht="15.75" x14ac:dyDescent="0.3">
      <c r="A255" s="6" t="s">
        <v>125</v>
      </c>
      <c r="B255" s="6" t="s">
        <v>5</v>
      </c>
      <c r="C255" s="7">
        <v>4850025.75</v>
      </c>
      <c r="D255" s="28">
        <v>5.9999999999999995E-4</v>
      </c>
      <c r="E255" s="8">
        <f>C255*D255</f>
        <v>2910.0154499999999</v>
      </c>
    </row>
    <row r="256" spans="1:5" ht="15.75" x14ac:dyDescent="0.3">
      <c r="A256" s="6" t="s">
        <v>125</v>
      </c>
      <c r="B256" s="6" t="s">
        <v>6</v>
      </c>
      <c r="C256" s="7">
        <v>313132.90999999997</v>
      </c>
      <c r="D256" s="28">
        <v>0</v>
      </c>
      <c r="E256" s="8">
        <f>C256*D256</f>
        <v>0</v>
      </c>
    </row>
    <row r="257" spans="1:5" s="11" customFormat="1" ht="15.75" x14ac:dyDescent="0.3">
      <c r="A257" s="6" t="s">
        <v>125</v>
      </c>
      <c r="B257" s="6" t="s">
        <v>7</v>
      </c>
      <c r="C257" s="7">
        <v>336219.93</v>
      </c>
      <c r="D257" s="28">
        <v>0</v>
      </c>
      <c r="E257" s="8">
        <f>C257*D257</f>
        <v>0</v>
      </c>
    </row>
    <row r="258" spans="1:5" ht="15.75" x14ac:dyDescent="0.3">
      <c r="A258" s="6" t="s">
        <v>125</v>
      </c>
      <c r="B258" s="6" t="s">
        <v>8</v>
      </c>
      <c r="C258" s="7">
        <v>59215.859999999993</v>
      </c>
      <c r="D258" s="28">
        <v>0</v>
      </c>
      <c r="E258" s="8">
        <f>C258*D258</f>
        <v>0</v>
      </c>
    </row>
    <row r="259" spans="1:5" ht="15.75" x14ac:dyDescent="0.3">
      <c r="A259" s="9" t="s">
        <v>126</v>
      </c>
      <c r="B259" s="9"/>
      <c r="C259" s="37">
        <f>SUM(C255:C258)</f>
        <v>5558594.4500000002</v>
      </c>
      <c r="D259" s="10"/>
      <c r="E259" s="10">
        <f>SUM(E255:E258)</f>
        <v>2910.0154499999999</v>
      </c>
    </row>
    <row r="260" spans="1:5" ht="15.75" x14ac:dyDescent="0.3">
      <c r="A260" s="6" t="s">
        <v>127</v>
      </c>
      <c r="B260" s="6" t="s">
        <v>5</v>
      </c>
      <c r="C260" s="7">
        <v>5496084.1909999996</v>
      </c>
      <c r="D260" s="28">
        <v>5.9999999999999995E-4</v>
      </c>
      <c r="E260" s="8">
        <f>C260*D260</f>
        <v>3297.6505145999995</v>
      </c>
    </row>
    <row r="261" spans="1:5" ht="15.75" x14ac:dyDescent="0.3">
      <c r="A261" s="6" t="s">
        <v>127</v>
      </c>
      <c r="B261" s="6" t="s">
        <v>6</v>
      </c>
      <c r="C261" s="7">
        <v>302749.05887893331</v>
      </c>
      <c r="D261" s="28">
        <v>0</v>
      </c>
      <c r="E261" s="8">
        <f>C261*D261</f>
        <v>0</v>
      </c>
    </row>
    <row r="262" spans="1:5" s="11" customFormat="1" ht="15.75" x14ac:dyDescent="0.3">
      <c r="A262" s="6" t="s">
        <v>127</v>
      </c>
      <c r="B262" s="6" t="s">
        <v>7</v>
      </c>
      <c r="C262" s="7">
        <v>78581.181620000003</v>
      </c>
      <c r="D262" s="28">
        <v>0</v>
      </c>
      <c r="E262" s="8">
        <f>C262*D262</f>
        <v>0</v>
      </c>
    </row>
    <row r="263" spans="1:5" ht="15.75" x14ac:dyDescent="0.3">
      <c r="A263" s="6" t="s">
        <v>127</v>
      </c>
      <c r="B263" s="6" t="s">
        <v>8</v>
      </c>
      <c r="C263" s="7">
        <v>133680.1116</v>
      </c>
      <c r="D263" s="28">
        <v>0</v>
      </c>
      <c r="E263" s="8">
        <f>C263*D263</f>
        <v>0</v>
      </c>
    </row>
    <row r="264" spans="1:5" ht="15.75" x14ac:dyDescent="0.3">
      <c r="A264" s="9" t="s">
        <v>128</v>
      </c>
      <c r="B264" s="9"/>
      <c r="C264" s="37">
        <f>SUM(C260:C263)</f>
        <v>6011094.5430989331</v>
      </c>
      <c r="D264" s="10"/>
      <c r="E264" s="10">
        <f>SUM(E260:E263)</f>
        <v>3297.6505145999995</v>
      </c>
    </row>
    <row r="265" spans="1:5" ht="15.75" x14ac:dyDescent="0.3">
      <c r="A265" s="6" t="s">
        <v>129</v>
      </c>
      <c r="B265" s="6" t="s">
        <v>5</v>
      </c>
      <c r="C265" s="7">
        <v>1510865</v>
      </c>
      <c r="D265" s="28">
        <v>5.9999999999999995E-4</v>
      </c>
      <c r="E265" s="8">
        <f>C265*D265</f>
        <v>906.51899999999989</v>
      </c>
    </row>
    <row r="266" spans="1:5" ht="15.75" x14ac:dyDescent="0.3">
      <c r="A266" s="6" t="s">
        <v>129</v>
      </c>
      <c r="B266" s="6" t="s">
        <v>6</v>
      </c>
      <c r="C266" s="7">
        <v>126526</v>
      </c>
      <c r="D266" s="28">
        <v>0</v>
      </c>
      <c r="E266" s="8">
        <f>C266*D266</f>
        <v>0</v>
      </c>
    </row>
    <row r="267" spans="1:5" s="11" customFormat="1" ht="15.75" x14ac:dyDescent="0.3">
      <c r="A267" s="6" t="s">
        <v>129</v>
      </c>
      <c r="B267" s="6" t="s">
        <v>8</v>
      </c>
      <c r="C267" s="7">
        <v>77470</v>
      </c>
      <c r="D267" s="28">
        <v>0</v>
      </c>
      <c r="E267" s="8">
        <f>C267*D267</f>
        <v>0</v>
      </c>
    </row>
    <row r="268" spans="1:5" ht="15.75" x14ac:dyDescent="0.3">
      <c r="A268" s="9" t="s">
        <v>130</v>
      </c>
      <c r="B268" s="9"/>
      <c r="C268" s="37">
        <f>SUM(C265:C267)</f>
        <v>1714861</v>
      </c>
      <c r="D268" s="10"/>
      <c r="E268" s="10">
        <f>SUM(E265:E267)</f>
        <v>906.51899999999989</v>
      </c>
    </row>
    <row r="269" spans="1:5" ht="15.75" x14ac:dyDescent="0.3">
      <c r="A269" s="6" t="s">
        <v>131</v>
      </c>
      <c r="B269" s="6" t="s">
        <v>5</v>
      </c>
      <c r="C269" s="7">
        <v>749760.80200000003</v>
      </c>
      <c r="D269" s="28">
        <v>5.9999999999999995E-4</v>
      </c>
      <c r="E269" s="8">
        <f>C269*D269</f>
        <v>449.85648119999996</v>
      </c>
    </row>
    <row r="270" spans="1:5" ht="15.75" x14ac:dyDescent="0.3">
      <c r="A270" s="6" t="s">
        <v>131</v>
      </c>
      <c r="B270" s="6" t="s">
        <v>6</v>
      </c>
      <c r="C270" s="7">
        <v>197564.807</v>
      </c>
      <c r="D270" s="28">
        <v>0</v>
      </c>
      <c r="E270" s="8">
        <f>C270*D270</f>
        <v>0</v>
      </c>
    </row>
    <row r="271" spans="1:5" s="11" customFormat="1" ht="15.75" x14ac:dyDescent="0.3">
      <c r="A271" s="6" t="s">
        <v>131</v>
      </c>
      <c r="B271" s="6" t="s">
        <v>8</v>
      </c>
      <c r="C271" s="7">
        <v>44315.039999999994</v>
      </c>
      <c r="D271" s="28">
        <v>0</v>
      </c>
      <c r="E271" s="8">
        <f>C271*D271</f>
        <v>0</v>
      </c>
    </row>
    <row r="272" spans="1:5" ht="15.75" x14ac:dyDescent="0.3">
      <c r="A272" s="9" t="s">
        <v>132</v>
      </c>
      <c r="B272" s="9"/>
      <c r="C272" s="37">
        <f>SUM(C269:C271)</f>
        <v>991640.64900000009</v>
      </c>
      <c r="D272" s="10"/>
      <c r="E272" s="10">
        <f>SUM(E269:E271)</f>
        <v>449.85648119999996</v>
      </c>
    </row>
    <row r="273" spans="1:5" ht="15.75" x14ac:dyDescent="0.3">
      <c r="A273" s="6" t="s">
        <v>133</v>
      </c>
      <c r="B273" s="6" t="s">
        <v>5</v>
      </c>
      <c r="C273" s="7">
        <v>182260.0575</v>
      </c>
      <c r="D273" s="28">
        <v>5.9999999999999995E-4</v>
      </c>
      <c r="E273" s="8">
        <f>C273*D273</f>
        <v>109.35603449999999</v>
      </c>
    </row>
    <row r="274" spans="1:5" ht="15.75" x14ac:dyDescent="0.3">
      <c r="A274" s="6" t="s">
        <v>133</v>
      </c>
      <c r="B274" s="6" t="s">
        <v>6</v>
      </c>
      <c r="C274" s="7">
        <v>156000</v>
      </c>
      <c r="D274" s="28">
        <v>0</v>
      </c>
      <c r="E274" s="8">
        <f>C274*D274</f>
        <v>0</v>
      </c>
    </row>
    <row r="275" spans="1:5" ht="15.75" x14ac:dyDescent="0.3">
      <c r="A275" s="6" t="s">
        <v>133</v>
      </c>
      <c r="B275" s="6" t="s">
        <v>7</v>
      </c>
      <c r="C275" s="7">
        <v>49087.44</v>
      </c>
      <c r="D275" s="28">
        <v>0</v>
      </c>
      <c r="E275" s="8">
        <f>C275*D275</f>
        <v>0</v>
      </c>
    </row>
    <row r="276" spans="1:5" s="11" customFormat="1" ht="15.75" x14ac:dyDescent="0.3">
      <c r="A276" s="6" t="s">
        <v>133</v>
      </c>
      <c r="B276" s="6" t="s">
        <v>8</v>
      </c>
      <c r="C276" s="7">
        <v>17759.310000000001</v>
      </c>
      <c r="D276" s="28">
        <v>0</v>
      </c>
      <c r="E276" s="8">
        <f>C276*D276</f>
        <v>0</v>
      </c>
    </row>
    <row r="277" spans="1:5" ht="15.75" x14ac:dyDescent="0.3">
      <c r="A277" s="9" t="s">
        <v>134</v>
      </c>
      <c r="B277" s="9"/>
      <c r="C277" s="37">
        <f>SUM(C273:C276)</f>
        <v>405106.8075</v>
      </c>
      <c r="D277" s="10"/>
      <c r="E277" s="10">
        <f>SUM(E273:E276)</f>
        <v>109.35603449999999</v>
      </c>
    </row>
    <row r="278" spans="1:5" ht="15.75" x14ac:dyDescent="0.3">
      <c r="A278" s="6" t="s">
        <v>135</v>
      </c>
      <c r="B278" s="6" t="s">
        <v>5</v>
      </c>
      <c r="C278" s="7">
        <v>265875.8</v>
      </c>
      <c r="D278" s="28">
        <v>5.9999999999999995E-4</v>
      </c>
      <c r="E278" s="8">
        <f>C278*D278</f>
        <v>159.52547999999999</v>
      </c>
    </row>
    <row r="279" spans="1:5" ht="15.75" x14ac:dyDescent="0.3">
      <c r="A279" s="6" t="s">
        <v>135</v>
      </c>
      <c r="B279" s="6" t="s">
        <v>7</v>
      </c>
      <c r="C279" s="7">
        <v>53276.446079999994</v>
      </c>
      <c r="D279" s="28">
        <v>0</v>
      </c>
      <c r="E279" s="8">
        <f>C279*D279</f>
        <v>0</v>
      </c>
    </row>
    <row r="280" spans="1:5" s="11" customFormat="1" ht="15.75" x14ac:dyDescent="0.3">
      <c r="A280" s="6" t="s">
        <v>135</v>
      </c>
      <c r="B280" s="6" t="s">
        <v>8</v>
      </c>
      <c r="C280" s="7">
        <v>88946.209199999998</v>
      </c>
      <c r="D280" s="28">
        <v>0</v>
      </c>
      <c r="E280" s="8">
        <f>C280*D280</f>
        <v>0</v>
      </c>
    </row>
    <row r="281" spans="1:5" ht="15.75" x14ac:dyDescent="0.3">
      <c r="A281" s="9" t="s">
        <v>136</v>
      </c>
      <c r="B281" s="9"/>
      <c r="C281" s="37">
        <f>SUM(C278:C280)</f>
        <v>408098.45527999994</v>
      </c>
      <c r="D281" s="10"/>
      <c r="E281" s="10">
        <f>SUM(E278:E280)</f>
        <v>159.52547999999999</v>
      </c>
    </row>
    <row r="282" spans="1:5" ht="15.75" x14ac:dyDescent="0.3">
      <c r="A282" s="6" t="s">
        <v>137</v>
      </c>
      <c r="B282" s="6" t="s">
        <v>5</v>
      </c>
      <c r="C282" s="7">
        <v>6718036.0200000005</v>
      </c>
      <c r="D282" s="28">
        <v>5.9999999999999995E-4</v>
      </c>
      <c r="E282" s="8">
        <f>C282*D282</f>
        <v>4030.8216119999997</v>
      </c>
    </row>
    <row r="283" spans="1:5" ht="15.75" x14ac:dyDescent="0.3">
      <c r="A283" s="6" t="s">
        <v>137</v>
      </c>
      <c r="B283" s="6" t="s">
        <v>6</v>
      </c>
      <c r="C283" s="7">
        <v>356175.3</v>
      </c>
      <c r="D283" s="28">
        <v>0</v>
      </c>
      <c r="E283" s="8">
        <f>C283*D283</f>
        <v>0</v>
      </c>
    </row>
    <row r="284" spans="1:5" s="11" customFormat="1" ht="15.75" x14ac:dyDescent="0.3">
      <c r="A284" s="6" t="s">
        <v>137</v>
      </c>
      <c r="B284" s="6" t="s">
        <v>7</v>
      </c>
      <c r="C284" s="7">
        <v>653050.6</v>
      </c>
      <c r="D284" s="28">
        <v>0</v>
      </c>
      <c r="E284" s="8">
        <f>C284*D284</f>
        <v>0</v>
      </c>
    </row>
    <row r="285" spans="1:5" ht="15.75" x14ac:dyDescent="0.3">
      <c r="A285" s="6" t="s">
        <v>137</v>
      </c>
      <c r="B285" s="6" t="s">
        <v>8</v>
      </c>
      <c r="C285" s="7">
        <v>184821</v>
      </c>
      <c r="D285" s="28">
        <v>0</v>
      </c>
      <c r="E285" s="8">
        <f>C285*D285</f>
        <v>0</v>
      </c>
    </row>
    <row r="286" spans="1:5" ht="15.75" x14ac:dyDescent="0.3">
      <c r="A286" s="9" t="s">
        <v>138</v>
      </c>
      <c r="B286" s="9"/>
      <c r="C286" s="37">
        <f>SUM(C282:C285)</f>
        <v>7912082.9199999999</v>
      </c>
      <c r="D286" s="10"/>
      <c r="E286" s="10">
        <f>SUM(E282:E285)</f>
        <v>4030.8216119999997</v>
      </c>
    </row>
    <row r="287" spans="1:5" ht="15.75" x14ac:dyDescent="0.3">
      <c r="A287" s="6" t="s">
        <v>139</v>
      </c>
      <c r="B287" s="6" t="s">
        <v>5</v>
      </c>
      <c r="C287" s="7">
        <v>370357.32</v>
      </c>
      <c r="D287" s="28">
        <v>5.9999999999999995E-4</v>
      </c>
      <c r="E287" s="8">
        <f>C287*D287</f>
        <v>222.21439199999998</v>
      </c>
    </row>
    <row r="288" spans="1:5" ht="15.75" x14ac:dyDescent="0.3">
      <c r="A288" s="6" t="s">
        <v>139</v>
      </c>
      <c r="B288" s="6" t="s">
        <v>6</v>
      </c>
      <c r="C288" s="7">
        <v>56143.92</v>
      </c>
      <c r="D288" s="28">
        <v>0</v>
      </c>
      <c r="E288" s="8">
        <f>C288*D288</f>
        <v>0</v>
      </c>
    </row>
    <row r="289" spans="1:5" s="11" customFormat="1" ht="15.75" x14ac:dyDescent="0.3">
      <c r="A289" s="6" t="s">
        <v>139</v>
      </c>
      <c r="B289" s="6" t="s">
        <v>8</v>
      </c>
      <c r="C289" s="7">
        <v>66442.290000000008</v>
      </c>
      <c r="D289" s="28">
        <v>0</v>
      </c>
      <c r="E289" s="8">
        <f>C289*D289</f>
        <v>0</v>
      </c>
    </row>
    <row r="290" spans="1:5" ht="15.75" x14ac:dyDescent="0.3">
      <c r="A290" s="9" t="s">
        <v>140</v>
      </c>
      <c r="B290" s="9"/>
      <c r="C290" s="37">
        <f>SUM(C287:C289)</f>
        <v>492943.53</v>
      </c>
      <c r="D290" s="10"/>
      <c r="E290" s="10">
        <f>SUM(E287:E289)</f>
        <v>222.21439199999998</v>
      </c>
    </row>
    <row r="291" spans="1:5" ht="15.75" x14ac:dyDescent="0.3">
      <c r="A291" s="6" t="s">
        <v>141</v>
      </c>
      <c r="B291" s="6" t="s">
        <v>5</v>
      </c>
      <c r="C291" s="7">
        <v>1050525.05</v>
      </c>
      <c r="D291" s="28">
        <v>5.9999999999999995E-4</v>
      </c>
      <c r="E291" s="8">
        <f>C291*D291</f>
        <v>630.31502999999998</v>
      </c>
    </row>
    <row r="292" spans="1:5" ht="15.75" x14ac:dyDescent="0.3">
      <c r="A292" s="6" t="s">
        <v>141</v>
      </c>
      <c r="B292" s="6" t="s">
        <v>6</v>
      </c>
      <c r="C292" s="7">
        <v>176184.5</v>
      </c>
      <c r="D292" s="28">
        <v>0</v>
      </c>
      <c r="E292" s="8">
        <f>C292*D292</f>
        <v>0</v>
      </c>
    </row>
    <row r="293" spans="1:5" s="11" customFormat="1" ht="15.75" x14ac:dyDescent="0.3">
      <c r="A293" s="6" t="s">
        <v>141</v>
      </c>
      <c r="B293" s="6" t="s">
        <v>8</v>
      </c>
      <c r="C293" s="7">
        <v>55781.2</v>
      </c>
      <c r="D293" s="28">
        <v>0</v>
      </c>
      <c r="E293" s="8">
        <f>C293*D293</f>
        <v>0</v>
      </c>
    </row>
    <row r="294" spans="1:5" ht="15.75" x14ac:dyDescent="0.3">
      <c r="A294" s="9" t="s">
        <v>142</v>
      </c>
      <c r="B294" s="9"/>
      <c r="C294" s="37">
        <f>SUM(C291:C293)</f>
        <v>1282490.75</v>
      </c>
      <c r="D294" s="10"/>
      <c r="E294" s="10">
        <f>SUM(E291:E293)</f>
        <v>630.31502999999998</v>
      </c>
    </row>
    <row r="295" spans="1:5" ht="15.75" x14ac:dyDescent="0.3">
      <c r="A295" s="6" t="s">
        <v>143</v>
      </c>
      <c r="B295" s="6" t="s">
        <v>5</v>
      </c>
      <c r="C295" s="7">
        <v>359350</v>
      </c>
      <c r="D295" s="28">
        <v>5.9999999999999995E-4</v>
      </c>
      <c r="E295" s="8">
        <f>C295*D295</f>
        <v>215.60999999999999</v>
      </c>
    </row>
    <row r="296" spans="1:5" ht="15.75" x14ac:dyDescent="0.3">
      <c r="A296" s="6" t="s">
        <v>143</v>
      </c>
      <c r="B296" s="6" t="s">
        <v>6</v>
      </c>
      <c r="C296" s="7">
        <v>82500</v>
      </c>
      <c r="D296" s="28">
        <v>0</v>
      </c>
      <c r="E296" s="8">
        <f>C296*D296</f>
        <v>0</v>
      </c>
    </row>
    <row r="297" spans="1:5" s="11" customFormat="1" ht="15.75" x14ac:dyDescent="0.3">
      <c r="A297" s="6" t="s">
        <v>143</v>
      </c>
      <c r="B297" s="6" t="s">
        <v>7</v>
      </c>
      <c r="C297" s="7">
        <v>47706.458999999995</v>
      </c>
      <c r="D297" s="28">
        <v>0</v>
      </c>
      <c r="E297" s="8">
        <f>C297*D297</f>
        <v>0</v>
      </c>
    </row>
    <row r="298" spans="1:5" ht="15.75" x14ac:dyDescent="0.3">
      <c r="A298" s="6" t="s">
        <v>143</v>
      </c>
      <c r="B298" s="6" t="s">
        <v>8</v>
      </c>
      <c r="C298" s="7">
        <v>75717.599999999991</v>
      </c>
      <c r="D298" s="28">
        <v>0</v>
      </c>
      <c r="E298" s="8">
        <f>C298*D298</f>
        <v>0</v>
      </c>
    </row>
    <row r="299" spans="1:5" ht="15.75" x14ac:dyDescent="0.3">
      <c r="A299" s="9" t="s">
        <v>144</v>
      </c>
      <c r="B299" s="9"/>
      <c r="C299" s="37">
        <f>SUM(C295:C298)</f>
        <v>565274.05900000001</v>
      </c>
      <c r="D299" s="10"/>
      <c r="E299" s="10">
        <f>SUM(E295:E298)</f>
        <v>215.60999999999999</v>
      </c>
    </row>
    <row r="300" spans="1:5" ht="15.75" x14ac:dyDescent="0.3">
      <c r="A300" s="9"/>
      <c r="B300" s="9"/>
      <c r="C300" s="36"/>
      <c r="D300" s="11"/>
      <c r="E300" s="10"/>
    </row>
    <row r="301" spans="1:5" ht="15.75" x14ac:dyDescent="0.3">
      <c r="A301" s="9" t="s">
        <v>145</v>
      </c>
      <c r="B301" s="9"/>
      <c r="C301" s="10">
        <f>C6+C11+C16+C20+C25+C30+C34+C39+C43+C48+C53+C57+C61+C65+C70+C75+C79+C84+C88+C92+C96+C100+C104+C108+C112+C116+C121+C126+C130+C135+C140+C143+C146+C151+C156+C161+C165+C169+C172+C177+C181+C185+C190+C195+C200+C204+C207+C212+C217+C222+C227+C231+C235+C240+C245+C249+C254+C259+C264+C268+C272+C277+C281+C286+C290+C294+C299</f>
        <v>315091305.87967056</v>
      </c>
      <c r="D301" s="10"/>
      <c r="E301" s="10">
        <f>E6+E11+E16+E20+E25+E30+E34+E39+E43+E48+E53+E57+E61+E65+E70+E75+E79+E84+E88+E92+E96+E100+E104+E108+E112+E116+E121+E126+E130+E135+E140+E143+E146+E151+E156+E161+E165+E169+E172+E177+E181+E185+E190+E195+E200+E204+E207+E212+E217+E222+E227+E231+E235+E240+E245+E249+E254+E259+E264+E268+E272+E277+E281+E286+E290+E294+E299</f>
        <v>163861.90785586901</v>
      </c>
    </row>
    <row r="302" spans="1:5" s="11" customFormat="1" ht="15.75" x14ac:dyDescent="0.3">
      <c r="A302" s="6"/>
      <c r="B302" s="6"/>
      <c r="C302" s="7"/>
      <c r="D302" s="6"/>
      <c r="E302" s="39"/>
    </row>
    <row r="303" spans="1:5" s="11" customFormat="1" ht="16.5" thickBot="1" x14ac:dyDescent="0.35">
      <c r="A303" s="6"/>
      <c r="B303" s="6"/>
      <c r="C303" s="7"/>
      <c r="D303" s="6"/>
      <c r="E303" s="10"/>
    </row>
    <row r="304" spans="1:5" s="11" customFormat="1" ht="15.75" x14ac:dyDescent="0.3">
      <c r="A304" s="6"/>
      <c r="B304" s="13" t="s">
        <v>5</v>
      </c>
      <c r="C304" s="29">
        <f>C2+C7+C12+C17+C21+C26+C31+C35+C40+C44+C49+C54+C58+C62+C67+C68+C71+C76+C80+C85+C89+C93+C97+C101+C105+C109+C113+C117+C122+C127+C131+C136+C141+C144+C147+C152+C157+C162+C166+C170+C173+C178+C182+C186+C191+C196+C201+C205+C208+C213+C218+C223+C228+C232+C236+C241+C246+C250+C255+C260+C265+C269+C273+C278+C282+C287+C291+C295</f>
        <v>273103179.7597816</v>
      </c>
      <c r="D304" s="29"/>
      <c r="E304" s="32">
        <f>E2+E7+E12+E17+E21+E26+E31+E35+E40+E44+E49+E54+E58+E62+E67+E68+E71+E76+E80+E85+E89+E93+E97+E101+E105+E109+E113+E117+E122+E127+E131+E136+E141+E144+E147+E152+E157+E162+E166+E170+E173+E178+E182+E186+E191+E196+E201+E205+E208+E213+E218+E223+E228+E232+E236+E241+E246+E250+E255+E260+E265+E269+E273+E278+E282+E287+E291+E295</f>
        <v>163861.90785586901</v>
      </c>
    </row>
    <row r="305" spans="1:5" ht="15.75" x14ac:dyDescent="0.3">
      <c r="A305" s="6"/>
      <c r="B305" s="14" t="s">
        <v>6</v>
      </c>
      <c r="C305" s="30">
        <f>C3+C8+C13+C18+C22+C27+C36+C41+C45+C50+C63+C66+C72+C77+C81+C86+C90+C94+C98+C102+C110+C114+C118+C123+C128+C132+C137+C148+C153+C158+C163+C167+C174+C179+C183+C187+C192+C197+C202+C209+C214+C219+C224+C229+C233+C237+C242+C247+C251+C256+C261+C266+C270+C274+C283+C288+C292+C296</f>
        <v>14568740.588063071</v>
      </c>
      <c r="D305" s="30"/>
      <c r="E305" s="33">
        <f>E3+E8+E13+E18+E22+E27+E36+E41+E45+E50+E63+E66+E72+E77+E81+E86+E90+E94+E98+E102+E110+E114+E118+E123+E128+E132+E137+E148+E153+E158+E163+E167+E174+E179+E183+E187+E192+E197+E202+E209+E214+E219+E224+E229+E233+E237+E242+E247+E251+E256+E261+E266+E270+E274+E283+E288+E292+E296</f>
        <v>0</v>
      </c>
    </row>
    <row r="306" spans="1:5" ht="15.75" x14ac:dyDescent="0.3">
      <c r="A306" s="6"/>
      <c r="B306" s="14" t="s">
        <v>7</v>
      </c>
      <c r="C306" s="30">
        <f>C4+C9+C14+C23+C28+C32+C37+C42+C46+C51+C55+C59+C73+C82+C87+C106+C119+C124+C133+C138+C149+C154+C159+C175+C184+C188+C193+C198+C203+C210+C215+C220+C225+C230+C234+C238+C243+C252+C257+C262+C275+C279+C284+C297</f>
        <v>22135838.43858926</v>
      </c>
      <c r="D306" s="30"/>
      <c r="E306" s="33">
        <f>E4+E9+E14+E23+E28+E32+E37+E42+E46+E51+E55+E59+E73+E82+E87+E106+E119+E124+E133+E138+E149+E154+E159+E175+E184+E188+E193+E198+E203+E210+E215+E220+E225+E230+E234+E238+E243+E252+E257+E262+E275+E279+E284+E297</f>
        <v>0</v>
      </c>
    </row>
    <row r="307" spans="1:5" ht="15.75" x14ac:dyDescent="0.3">
      <c r="A307" s="6"/>
      <c r="B307" s="14" t="s">
        <v>8</v>
      </c>
      <c r="C307" s="38">
        <f>C5+C10+C15+C19+C24+C29+C33+C38+C47+C52+C56+C60+C64+C69+C74+C78+C83+C91+C95+C99+C103+C107+C111+C115+C120+C125+C129+C134+C139+C142+C145+C150+C155+C160+C164+C168+C171+C176+C180+C189+C194+C199+C206+C211+C216+C221+C226+C239+C244+C248+C253+C258+C263+C267+C271+C276+C280+C285+C289+C293+C298</f>
        <v>5283547.0932365609</v>
      </c>
      <c r="D307" s="30"/>
      <c r="E307" s="34">
        <f>E5+E10+E15+E19+E24+E29+E33+E38+E47+E52+E56+E60+E64+E69+E74+E78+E83+E91+E95+E99+E103+E107+E111+E115+E120+E125+E129+E134+E139+E142+E145+E150+E155+E160+E164+E168+E171+E176+E180+E189+E194+E199+E206+E211+E216+E221+E226+E239+E244+E248+E253+E258+E263+E267+E271+E276+E280+E285+E289+E293+E298</f>
        <v>0</v>
      </c>
    </row>
    <row r="308" spans="1:5" ht="16.5" thickBot="1" x14ac:dyDescent="0.35">
      <c r="A308" s="6"/>
      <c r="B308" s="15"/>
      <c r="C308" s="31">
        <f>SUM(C304:C307)</f>
        <v>315091305.8796705</v>
      </c>
      <c r="D308" s="31"/>
      <c r="E308" s="35">
        <f>SUM(E304:E307)</f>
        <v>163861.90785586901</v>
      </c>
    </row>
    <row r="309" spans="1:5" s="19" customFormat="1" ht="15.75" x14ac:dyDescent="0.3">
      <c r="A309" s="16"/>
      <c r="B309" s="16"/>
      <c r="C309" s="17">
        <f>C301-C308</f>
        <v>0</v>
      </c>
      <c r="D309" s="18"/>
      <c r="E309" s="17">
        <f>E301-E308</f>
        <v>0</v>
      </c>
    </row>
    <row r="310" spans="1:5" s="19" customFormat="1" ht="15.75" x14ac:dyDescent="0.3">
      <c r="A310" s="16"/>
      <c r="B310" s="16"/>
      <c r="C310" s="17"/>
      <c r="D310" s="18"/>
      <c r="E310" s="17"/>
    </row>
    <row r="311" spans="1:5" s="19" customFormat="1" ht="15.75" x14ac:dyDescent="0.3">
      <c r="A311" s="16"/>
      <c r="B311" s="16"/>
      <c r="C311" s="17"/>
      <c r="D311" s="18"/>
      <c r="E311" s="17"/>
    </row>
    <row r="312" spans="1:5" s="19" customFormat="1" ht="15.75" x14ac:dyDescent="0.3">
      <c r="A312" s="16"/>
      <c r="B312" s="25">
        <v>2023</v>
      </c>
      <c r="C312" s="12"/>
      <c r="D312" s="6"/>
      <c r="E312" s="6"/>
    </row>
    <row r="313" spans="1:5" s="19" customFormat="1" ht="15.75" x14ac:dyDescent="0.3">
      <c r="A313" s="16"/>
      <c r="B313" s="22" t="s">
        <v>5</v>
      </c>
      <c r="C313" s="23">
        <v>263809078.06000006</v>
      </c>
      <c r="D313" s="23"/>
      <c r="E313" s="23">
        <v>4379230.6957960008</v>
      </c>
    </row>
    <row r="314" spans="1:5" s="19" customFormat="1" ht="15.75" x14ac:dyDescent="0.3">
      <c r="A314" s="16"/>
      <c r="B314" s="22" t="s">
        <v>6</v>
      </c>
      <c r="C314" s="23">
        <v>13949529.338399995</v>
      </c>
      <c r="D314" s="23"/>
      <c r="E314" s="23">
        <v>411511.11548279988</v>
      </c>
    </row>
    <row r="315" spans="1:5" s="19" customFormat="1" ht="15.75" x14ac:dyDescent="0.3">
      <c r="A315" s="16"/>
      <c r="B315" s="22" t="s">
        <v>7</v>
      </c>
      <c r="C315" s="23">
        <v>20691691.738965016</v>
      </c>
      <c r="D315" s="23"/>
      <c r="E315" s="23">
        <v>523499.80099581467</v>
      </c>
    </row>
    <row r="316" spans="1:5" s="19" customFormat="1" ht="15.75" x14ac:dyDescent="0.3">
      <c r="A316" s="16"/>
      <c r="B316" s="24" t="s">
        <v>8</v>
      </c>
      <c r="C316" s="26">
        <v>5348683.2307404028</v>
      </c>
      <c r="D316" s="23"/>
      <c r="E316" s="26">
        <v>89857.878276438729</v>
      </c>
    </row>
    <row r="317" spans="1:5" s="19" customFormat="1" ht="15.75" x14ac:dyDescent="0.3">
      <c r="A317" s="16"/>
      <c r="B317"/>
      <c r="C317" s="21">
        <f>SUM(C313:C316)</f>
        <v>303798982.36810553</v>
      </c>
      <c r="D317" s="12"/>
      <c r="E317" s="21">
        <f>SUM(E313:E316)</f>
        <v>5404099.4905510535</v>
      </c>
    </row>
    <row r="318" spans="1:5" s="19" customFormat="1" ht="15.75" x14ac:dyDescent="0.3">
      <c r="A318" s="16"/>
      <c r="B318" s="16"/>
      <c r="C318" s="17"/>
      <c r="D318" s="18"/>
      <c r="E318" s="17"/>
    </row>
    <row r="319" spans="1:5" s="19" customFormat="1" ht="15.75" x14ac:dyDescent="0.3">
      <c r="A319" s="16"/>
      <c r="B319" s="16"/>
      <c r="C319" s="17"/>
      <c r="D319" s="18"/>
      <c r="E319" s="17"/>
    </row>
    <row r="320" spans="1:5" ht="15.75" x14ac:dyDescent="0.3">
      <c r="A320" s="6"/>
      <c r="B320" s="25">
        <v>2022</v>
      </c>
      <c r="C320" s="12"/>
      <c r="D320" s="6"/>
      <c r="E320" s="6"/>
    </row>
    <row r="321" spans="1:5" ht="15.75" x14ac:dyDescent="0.3">
      <c r="A321" s="6"/>
      <c r="B321" s="22" t="s">
        <v>5</v>
      </c>
      <c r="C321" s="23">
        <v>258875056.77488399</v>
      </c>
      <c r="D321" s="23"/>
      <c r="E321" s="23">
        <v>2821738.1188462391</v>
      </c>
    </row>
    <row r="322" spans="1:5" ht="15.75" x14ac:dyDescent="0.3">
      <c r="A322" s="6"/>
      <c r="B322" s="22" t="s">
        <v>6</v>
      </c>
      <c r="C322" s="23">
        <v>13443278.880906656</v>
      </c>
      <c r="D322" s="23"/>
      <c r="E322" s="23">
        <v>344147.93935120985</v>
      </c>
    </row>
    <row r="323" spans="1:5" ht="15.75" x14ac:dyDescent="0.3">
      <c r="A323" s="6"/>
      <c r="B323" s="22" t="s">
        <v>7</v>
      </c>
      <c r="C323" s="23">
        <v>18600599.255164016</v>
      </c>
      <c r="D323" s="23"/>
      <c r="E323" s="23">
        <v>48361.558063426273</v>
      </c>
    </row>
    <row r="324" spans="1:5" ht="15.75" x14ac:dyDescent="0.3">
      <c r="B324" s="24" t="s">
        <v>8</v>
      </c>
      <c r="C324" s="26">
        <v>5445979.0518180002</v>
      </c>
      <c r="D324" s="23"/>
      <c r="E324" s="26">
        <v>303885.63109144411</v>
      </c>
    </row>
    <row r="325" spans="1:5" ht="15.75" x14ac:dyDescent="0.3">
      <c r="C325" s="21">
        <v>296364913.96277314</v>
      </c>
      <c r="D325" s="12"/>
      <c r="E325" s="21">
        <v>3518133.2473523193</v>
      </c>
    </row>
  </sheetData>
  <autoFilter ref="A1:E299" xr:uid="{A917B256-BF83-4E80-8C4C-D0F1F79B638F}"/>
  <dataValidations count="1">
    <dataValidation type="decimal" operator="greaterThanOrEqual" allowBlank="1" showInputMessage="1" showErrorMessage="1" sqref="B252:C252 F255:XFD255 B110:C110 E110:XFD110" xr:uid="{2B92AC77-964B-4C79-B246-BF4042973A18}">
      <formula1>0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E927-C828-44D4-B016-EA72222B8C1C}">
  <sheetPr>
    <pageSetUpPr fitToPage="1"/>
  </sheetPr>
  <dimension ref="A1:F71"/>
  <sheetViews>
    <sheetView zoomScale="130" zoomScaleNormal="130" workbookViewId="0">
      <pane xSplit="2" ySplit="1" topLeftCell="C52" activePane="bottomRight" state="frozen"/>
      <selection pane="topRight" activeCell="C1" sqref="C1"/>
      <selection pane="bottomLeft" activeCell="A2" sqref="A2"/>
      <selection pane="bottomRight" activeCell="F68" sqref="F68"/>
    </sheetView>
  </sheetViews>
  <sheetFormatPr defaultRowHeight="15.75" x14ac:dyDescent="0.3"/>
  <cols>
    <col min="1" max="1" width="13.7109375" style="6" customWidth="1"/>
    <col min="2" max="2" width="5.85546875" style="6" customWidth="1"/>
    <col min="3" max="3" width="19.7109375" style="6" customWidth="1"/>
    <col min="4" max="4" width="18.42578125" style="6" customWidth="1"/>
    <col min="5" max="16384" width="9.140625" style="6"/>
  </cols>
  <sheetData>
    <row r="1" spans="1:6" s="9" customFormat="1" ht="63.75" customHeight="1" thickBot="1" x14ac:dyDescent="0.35">
      <c r="A1" s="268" t="s">
        <v>0</v>
      </c>
      <c r="B1" s="268" t="s">
        <v>212</v>
      </c>
      <c r="C1" s="284" t="s">
        <v>213</v>
      </c>
      <c r="D1" s="269" t="s">
        <v>214</v>
      </c>
    </row>
    <row r="2" spans="1:6" x14ac:dyDescent="0.3">
      <c r="A2" s="270" t="s">
        <v>53</v>
      </c>
      <c r="B2" s="271">
        <v>1</v>
      </c>
      <c r="C2" s="285">
        <v>11107</v>
      </c>
      <c r="D2" s="273">
        <f>(C2/$C$70)*$D$70</f>
        <v>5008.422007464892</v>
      </c>
      <c r="F2" s="274"/>
    </row>
    <row r="3" spans="1:6" x14ac:dyDescent="0.3">
      <c r="A3" s="275" t="s">
        <v>75</v>
      </c>
      <c r="B3" s="276">
        <v>1</v>
      </c>
      <c r="C3" s="286">
        <v>4538</v>
      </c>
      <c r="D3" s="277">
        <f t="shared" ref="D3:D66" si="0">(C3/$C$70)*$D$70</f>
        <v>2046.2968461218761</v>
      </c>
      <c r="F3" s="274"/>
    </row>
    <row r="4" spans="1:6" x14ac:dyDescent="0.3">
      <c r="A4" s="275" t="s">
        <v>85</v>
      </c>
      <c r="B4" s="276">
        <v>1</v>
      </c>
      <c r="C4" s="286">
        <v>7148.5</v>
      </c>
      <c r="D4" s="272">
        <f t="shared" si="0"/>
        <v>3223.4360961882394</v>
      </c>
      <c r="F4" s="274"/>
    </row>
    <row r="5" spans="1:6" x14ac:dyDescent="0.3">
      <c r="A5" s="275" t="s">
        <v>135</v>
      </c>
      <c r="B5" s="276">
        <v>1</v>
      </c>
      <c r="C5" s="286">
        <v>7861.5</v>
      </c>
      <c r="D5" s="277">
        <f t="shared" si="0"/>
        <v>3544.9454948847792</v>
      </c>
      <c r="F5" s="274"/>
    </row>
    <row r="6" spans="1:6" x14ac:dyDescent="0.3">
      <c r="A6" s="275" t="s">
        <v>10</v>
      </c>
      <c r="B6" s="276">
        <v>2</v>
      </c>
      <c r="C6" s="286">
        <v>19595.5</v>
      </c>
      <c r="D6" s="277">
        <f t="shared" si="0"/>
        <v>8836.09736628057</v>
      </c>
      <c r="F6" s="274"/>
    </row>
    <row r="7" spans="1:6" x14ac:dyDescent="0.3">
      <c r="A7" s="270" t="s">
        <v>20</v>
      </c>
      <c r="B7" s="271">
        <v>2</v>
      </c>
      <c r="C7" s="287">
        <v>13234</v>
      </c>
      <c r="D7" s="272">
        <f t="shared" si="0"/>
        <v>5967.5391056802355</v>
      </c>
      <c r="F7" s="274"/>
    </row>
    <row r="8" spans="1:6" x14ac:dyDescent="0.3">
      <c r="A8" s="275" t="s">
        <v>34</v>
      </c>
      <c r="B8" s="276">
        <v>2</v>
      </c>
      <c r="C8" s="286">
        <v>12763.5</v>
      </c>
      <c r="D8" s="277">
        <f t="shared" si="0"/>
        <v>5755.3789765263473</v>
      </c>
      <c r="F8" s="274"/>
    </row>
    <row r="9" spans="1:6" x14ac:dyDescent="0.3">
      <c r="A9" s="275" t="s">
        <v>45</v>
      </c>
      <c r="B9" s="276">
        <v>2</v>
      </c>
      <c r="C9" s="286">
        <v>12254</v>
      </c>
      <c r="D9" s="277">
        <f t="shared" si="0"/>
        <v>5525.6327792810644</v>
      </c>
      <c r="F9" s="274"/>
    </row>
    <row r="10" spans="1:6" x14ac:dyDescent="0.3">
      <c r="A10" s="275" t="s">
        <v>49</v>
      </c>
      <c r="B10" s="276">
        <v>2</v>
      </c>
      <c r="C10" s="286">
        <v>12406.5</v>
      </c>
      <c r="D10" s="277">
        <f t="shared" si="0"/>
        <v>5594.3988147666496</v>
      </c>
      <c r="F10" s="274"/>
    </row>
    <row r="11" spans="1:6" x14ac:dyDescent="0.3">
      <c r="A11" s="275" t="s">
        <v>51</v>
      </c>
      <c r="B11" s="276">
        <v>2</v>
      </c>
      <c r="C11" s="286">
        <v>11559.5</v>
      </c>
      <c r="D11" s="277">
        <f t="shared" si="0"/>
        <v>5212.4654898073659</v>
      </c>
      <c r="F11" s="274"/>
    </row>
    <row r="12" spans="1:6" x14ac:dyDescent="0.3">
      <c r="A12" s="275" t="s">
        <v>55</v>
      </c>
      <c r="B12" s="276">
        <v>2</v>
      </c>
      <c r="C12" s="286">
        <v>15370.5</v>
      </c>
      <c r="D12" s="277">
        <f t="shared" si="0"/>
        <v>6930.9399897127141</v>
      </c>
      <c r="F12" s="274"/>
    </row>
    <row r="13" spans="1:6" x14ac:dyDescent="0.3">
      <c r="A13" s="275" t="s">
        <v>57</v>
      </c>
      <c r="B13" s="276">
        <v>2</v>
      </c>
      <c r="C13" s="286">
        <v>20386</v>
      </c>
      <c r="D13" s="277">
        <f t="shared" si="0"/>
        <v>9192.5534387484731</v>
      </c>
      <c r="F13" s="274"/>
    </row>
    <row r="14" spans="1:6" x14ac:dyDescent="0.3">
      <c r="A14" s="275" t="s">
        <v>67</v>
      </c>
      <c r="B14" s="276">
        <v>2</v>
      </c>
      <c r="C14" s="286">
        <v>16678.5</v>
      </c>
      <c r="D14" s="277">
        <f t="shared" si="0"/>
        <v>7520.74965800875</v>
      </c>
      <c r="F14" s="274"/>
    </row>
    <row r="15" spans="1:6" x14ac:dyDescent="0.3">
      <c r="A15" s="275" t="s">
        <v>73</v>
      </c>
      <c r="B15" s="276">
        <v>2</v>
      </c>
      <c r="C15" s="286">
        <v>12499</v>
      </c>
      <c r="D15" s="277">
        <f t="shared" si="0"/>
        <v>5636.1093608808569</v>
      </c>
      <c r="F15" s="274"/>
    </row>
    <row r="16" spans="1:6" x14ac:dyDescent="0.3">
      <c r="A16" s="275" t="s">
        <v>133</v>
      </c>
      <c r="B16" s="276">
        <v>2</v>
      </c>
      <c r="C16" s="286">
        <v>19523</v>
      </c>
      <c r="D16" s="272">
        <f t="shared" si="0"/>
        <v>8803.405316623488</v>
      </c>
      <c r="F16" s="274"/>
    </row>
    <row r="17" spans="1:6" x14ac:dyDescent="0.3">
      <c r="A17" s="275" t="s">
        <v>143</v>
      </c>
      <c r="B17" s="276">
        <v>2</v>
      </c>
      <c r="C17" s="286">
        <v>20364</v>
      </c>
      <c r="D17" s="277">
        <f t="shared" si="0"/>
        <v>9182.633092645634</v>
      </c>
      <c r="F17" s="274"/>
    </row>
    <row r="18" spans="1:6" x14ac:dyDescent="0.3">
      <c r="A18" s="275" t="s">
        <v>14</v>
      </c>
      <c r="B18" s="276">
        <v>3</v>
      </c>
      <c r="C18" s="286">
        <v>30987</v>
      </c>
      <c r="D18" s="277">
        <f t="shared" si="0"/>
        <v>13972.807485848078</v>
      </c>
      <c r="F18" s="274"/>
    </row>
    <row r="19" spans="1:6" x14ac:dyDescent="0.3">
      <c r="A19" s="275" t="s">
        <v>32</v>
      </c>
      <c r="B19" s="276">
        <v>3</v>
      </c>
      <c r="C19" s="286">
        <v>26500.5</v>
      </c>
      <c r="D19" s="277">
        <f t="shared" si="0"/>
        <v>11949.7332681033</v>
      </c>
      <c r="F19" s="274"/>
    </row>
    <row r="20" spans="1:6" x14ac:dyDescent="0.3">
      <c r="A20" s="275" t="s">
        <v>47</v>
      </c>
      <c r="B20" s="276">
        <v>3</v>
      </c>
      <c r="C20" s="286">
        <v>35454.5</v>
      </c>
      <c r="D20" s="277">
        <f t="shared" si="0"/>
        <v>15987.314131958585</v>
      </c>
      <c r="F20" s="274"/>
    </row>
    <row r="21" spans="1:6" x14ac:dyDescent="0.3">
      <c r="A21" s="275" t="s">
        <v>59</v>
      </c>
      <c r="B21" s="276">
        <v>3</v>
      </c>
      <c r="C21" s="286">
        <v>28223.5</v>
      </c>
      <c r="D21" s="277">
        <f t="shared" si="0"/>
        <v>12726.6767378847</v>
      </c>
      <c r="F21" s="274"/>
    </row>
    <row r="22" spans="1:6" x14ac:dyDescent="0.3">
      <c r="A22" s="275" t="s">
        <v>71</v>
      </c>
      <c r="B22" s="276">
        <v>3</v>
      </c>
      <c r="C22" s="286">
        <v>32334</v>
      </c>
      <c r="D22" s="277">
        <f t="shared" si="0"/>
        <v>14580.20322223551</v>
      </c>
      <c r="F22" s="274"/>
    </row>
    <row r="23" spans="1:6" x14ac:dyDescent="0.3">
      <c r="A23" s="275" t="s">
        <v>83</v>
      </c>
      <c r="B23" s="276">
        <v>3</v>
      </c>
      <c r="C23" s="286">
        <v>39743.5</v>
      </c>
      <c r="D23" s="277">
        <f t="shared" si="0"/>
        <v>17921.330697189242</v>
      </c>
      <c r="F23" s="274"/>
    </row>
    <row r="24" spans="1:6" x14ac:dyDescent="0.3">
      <c r="A24" s="275" t="s">
        <v>87</v>
      </c>
      <c r="B24" s="276">
        <v>3</v>
      </c>
      <c r="C24" s="286">
        <v>24042</v>
      </c>
      <c r="D24" s="277">
        <f t="shared" si="0"/>
        <v>10841.134591111093</v>
      </c>
      <c r="F24" s="274"/>
    </row>
    <row r="25" spans="1:6" x14ac:dyDescent="0.3">
      <c r="A25" s="275" t="s">
        <v>103</v>
      </c>
      <c r="B25" s="276">
        <v>3</v>
      </c>
      <c r="C25" s="286">
        <v>34476</v>
      </c>
      <c r="D25" s="277">
        <f t="shared" si="0"/>
        <v>15546.084192793698</v>
      </c>
      <c r="F25" s="274"/>
    </row>
    <row r="26" spans="1:6" x14ac:dyDescent="0.3">
      <c r="A26" s="275" t="s">
        <v>131</v>
      </c>
      <c r="B26" s="276">
        <v>3</v>
      </c>
      <c r="C26" s="286">
        <v>30781</v>
      </c>
      <c r="D26" s="277">
        <f t="shared" si="0"/>
        <v>13879.916972339681</v>
      </c>
      <c r="F26" s="274"/>
    </row>
    <row r="27" spans="1:6" x14ac:dyDescent="0.3">
      <c r="A27" s="275" t="s">
        <v>139</v>
      </c>
      <c r="B27" s="276">
        <v>3</v>
      </c>
      <c r="C27" s="286">
        <v>23389.5</v>
      </c>
      <c r="D27" s="277">
        <f t="shared" si="0"/>
        <v>10546.906144197361</v>
      </c>
      <c r="F27" s="274"/>
    </row>
    <row r="28" spans="1:6" x14ac:dyDescent="0.3">
      <c r="A28" s="275" t="s">
        <v>24</v>
      </c>
      <c r="B28" s="276">
        <v>4</v>
      </c>
      <c r="C28" s="286">
        <v>102654.5</v>
      </c>
      <c r="D28" s="277">
        <f t="shared" si="0"/>
        <v>46289.462227901742</v>
      </c>
      <c r="F28" s="274"/>
    </row>
    <row r="29" spans="1:6" x14ac:dyDescent="0.3">
      <c r="A29" s="275" t="s">
        <v>30</v>
      </c>
      <c r="B29" s="276">
        <v>4</v>
      </c>
      <c r="C29" s="286">
        <v>65278</v>
      </c>
      <c r="D29" s="277">
        <f t="shared" si="0"/>
        <v>29435.470586413361</v>
      </c>
      <c r="F29" s="274"/>
    </row>
    <row r="30" spans="1:6" x14ac:dyDescent="0.3">
      <c r="A30" s="275" t="s">
        <v>43</v>
      </c>
      <c r="B30" s="276">
        <v>4</v>
      </c>
      <c r="C30" s="286">
        <v>71591</v>
      </c>
      <c r="D30" s="277">
        <f t="shared" si="0"/>
        <v>32282.15899310516</v>
      </c>
      <c r="F30" s="274"/>
    </row>
    <row r="31" spans="1:6" x14ac:dyDescent="0.3">
      <c r="A31" s="275" t="s">
        <v>63</v>
      </c>
      <c r="B31" s="276">
        <v>4</v>
      </c>
      <c r="C31" s="286">
        <v>61752.5</v>
      </c>
      <c r="D31" s="277">
        <f t="shared" si="0"/>
        <v>27845.735123433482</v>
      </c>
      <c r="F31" s="274"/>
    </row>
    <row r="32" spans="1:6" x14ac:dyDescent="0.3">
      <c r="A32" s="275" t="s">
        <v>69</v>
      </c>
      <c r="B32" s="276">
        <v>4</v>
      </c>
      <c r="C32" s="286">
        <v>87914.5</v>
      </c>
      <c r="D32" s="277">
        <f t="shared" si="0"/>
        <v>39642.830338999927</v>
      </c>
      <c r="F32" s="274"/>
    </row>
    <row r="33" spans="1:6" x14ac:dyDescent="0.3">
      <c r="A33" s="275" t="s">
        <v>93</v>
      </c>
      <c r="B33" s="276">
        <v>4</v>
      </c>
      <c r="C33" s="286">
        <v>104015</v>
      </c>
      <c r="D33" s="277">
        <f t="shared" si="0"/>
        <v>46902.945449397739</v>
      </c>
      <c r="F33" s="274"/>
    </row>
    <row r="34" spans="1:6" x14ac:dyDescent="0.3">
      <c r="A34" s="275" t="s">
        <v>99</v>
      </c>
      <c r="B34" s="276">
        <v>4</v>
      </c>
      <c r="C34" s="286">
        <v>53930</v>
      </c>
      <c r="D34" s="277">
        <f t="shared" si="0"/>
        <v>24318.375696640098</v>
      </c>
      <c r="F34" s="274"/>
    </row>
    <row r="35" spans="1:6" x14ac:dyDescent="0.3">
      <c r="A35" s="275" t="s">
        <v>117</v>
      </c>
      <c r="B35" s="276">
        <v>4</v>
      </c>
      <c r="C35" s="286">
        <v>59943.5</v>
      </c>
      <c r="D35" s="277">
        <f t="shared" si="0"/>
        <v>27030.012118886443</v>
      </c>
      <c r="F35" s="274"/>
    </row>
    <row r="36" spans="1:6" x14ac:dyDescent="0.3">
      <c r="A36" s="275" t="s">
        <v>129</v>
      </c>
      <c r="B36" s="276">
        <v>4</v>
      </c>
      <c r="C36" s="286">
        <v>72197.5</v>
      </c>
      <c r="D36" s="277">
        <f t="shared" si="0"/>
        <v>32555.644898167506</v>
      </c>
      <c r="F36" s="274"/>
    </row>
    <row r="37" spans="1:6" x14ac:dyDescent="0.3">
      <c r="A37" s="275" t="s">
        <v>141</v>
      </c>
      <c r="B37" s="276">
        <v>4</v>
      </c>
      <c r="C37" s="286">
        <v>70373.5</v>
      </c>
      <c r="D37" s="277">
        <f t="shared" si="0"/>
        <v>31733.158021277624</v>
      </c>
      <c r="F37" s="274"/>
    </row>
    <row r="38" spans="1:6" x14ac:dyDescent="0.3">
      <c r="A38" s="275" t="s">
        <v>4</v>
      </c>
      <c r="B38" s="276">
        <v>5</v>
      </c>
      <c r="C38" s="286">
        <v>185378</v>
      </c>
      <c r="D38" s="277">
        <f t="shared" si="0"/>
        <v>83591.541811454634</v>
      </c>
      <c r="F38" s="274"/>
    </row>
    <row r="39" spans="1:6" x14ac:dyDescent="0.3">
      <c r="A39" s="275" t="s">
        <v>12</v>
      </c>
      <c r="B39" s="276">
        <v>5</v>
      </c>
      <c r="C39" s="286">
        <v>194563</v>
      </c>
      <c r="D39" s="277">
        <f t="shared" si="0"/>
        <v>87733.286309389732</v>
      </c>
      <c r="F39" s="274"/>
    </row>
    <row r="40" spans="1:6" x14ac:dyDescent="0.3">
      <c r="A40" s="275" t="s">
        <v>22</v>
      </c>
      <c r="B40" s="276">
        <v>5</v>
      </c>
      <c r="C40" s="286">
        <v>140392.5</v>
      </c>
      <c r="D40" s="277">
        <f t="shared" si="0"/>
        <v>63306.463192852687</v>
      </c>
      <c r="F40" s="274"/>
    </row>
    <row r="41" spans="1:6" x14ac:dyDescent="0.3">
      <c r="A41" s="275" t="s">
        <v>26</v>
      </c>
      <c r="B41" s="276">
        <v>5</v>
      </c>
      <c r="C41" s="286">
        <v>142202</v>
      </c>
      <c r="D41" s="277">
        <f t="shared" si="0"/>
        <v>64122.411659811158</v>
      </c>
      <c r="F41" s="274"/>
    </row>
    <row r="42" spans="1:6" x14ac:dyDescent="0.3">
      <c r="A42" s="275" t="s">
        <v>28</v>
      </c>
      <c r="B42" s="276">
        <v>5</v>
      </c>
      <c r="C42" s="286">
        <v>230847.5</v>
      </c>
      <c r="D42" s="277">
        <f t="shared" si="0"/>
        <v>104094.86804431902</v>
      </c>
      <c r="F42" s="274"/>
    </row>
    <row r="43" spans="1:6" x14ac:dyDescent="0.3">
      <c r="A43" s="275" t="s">
        <v>61</v>
      </c>
      <c r="B43" s="276">
        <v>5</v>
      </c>
      <c r="C43" s="286">
        <v>128656.5</v>
      </c>
      <c r="D43" s="277">
        <f t="shared" si="0"/>
        <v>58014.409471811181</v>
      </c>
      <c r="F43" s="274"/>
    </row>
    <row r="44" spans="1:6" x14ac:dyDescent="0.3">
      <c r="A44" s="275" t="s">
        <v>77</v>
      </c>
      <c r="B44" s="276">
        <v>5</v>
      </c>
      <c r="C44" s="286">
        <v>230984</v>
      </c>
      <c r="D44" s="277">
        <f t="shared" si="0"/>
        <v>104156.41928263892</v>
      </c>
      <c r="F44" s="274"/>
    </row>
    <row r="45" spans="1:6" x14ac:dyDescent="0.3">
      <c r="A45" s="275" t="s">
        <v>81</v>
      </c>
      <c r="B45" s="276">
        <v>5</v>
      </c>
      <c r="C45" s="286">
        <v>205593</v>
      </c>
      <c r="D45" s="277">
        <f t="shared" si="0"/>
        <v>92706.987105494671</v>
      </c>
      <c r="F45" s="274"/>
    </row>
    <row r="46" spans="1:6" x14ac:dyDescent="0.3">
      <c r="A46" s="275" t="s">
        <v>91</v>
      </c>
      <c r="B46" s="276">
        <v>5</v>
      </c>
      <c r="C46" s="286">
        <v>239539.5</v>
      </c>
      <c r="D46" s="277">
        <f t="shared" si="0"/>
        <v>108014.30660458597</v>
      </c>
      <c r="F46" s="274"/>
    </row>
    <row r="47" spans="1:6" x14ac:dyDescent="0.3">
      <c r="A47" s="275" t="s">
        <v>97</v>
      </c>
      <c r="B47" s="276">
        <v>5</v>
      </c>
      <c r="C47" s="286">
        <v>121354.5</v>
      </c>
      <c r="D47" s="277">
        <f t="shared" si="0"/>
        <v>54721.756415314499</v>
      </c>
      <c r="F47" s="274"/>
    </row>
    <row r="48" spans="1:6" x14ac:dyDescent="0.3">
      <c r="A48" s="275" t="s">
        <v>101</v>
      </c>
      <c r="B48" s="276">
        <v>5</v>
      </c>
      <c r="C48" s="286">
        <v>154122.5</v>
      </c>
      <c r="D48" s="277">
        <f t="shared" si="0"/>
        <v>69497.661010669646</v>
      </c>
      <c r="F48" s="274"/>
    </row>
    <row r="49" spans="1:6" x14ac:dyDescent="0.3">
      <c r="A49" s="275" t="s">
        <v>119</v>
      </c>
      <c r="B49" s="276">
        <v>5</v>
      </c>
      <c r="C49" s="286">
        <v>160469</v>
      </c>
      <c r="D49" s="277">
        <f t="shared" si="0"/>
        <v>72359.455398927137</v>
      </c>
      <c r="F49" s="274"/>
    </row>
    <row r="50" spans="1:6" x14ac:dyDescent="0.3">
      <c r="A50" s="275" t="s">
        <v>121</v>
      </c>
      <c r="B50" s="276">
        <v>5</v>
      </c>
      <c r="C50" s="286">
        <v>230593.5</v>
      </c>
      <c r="D50" s="277">
        <f t="shared" si="0"/>
        <v>103980.33313931353</v>
      </c>
      <c r="F50" s="274"/>
    </row>
    <row r="51" spans="1:6" x14ac:dyDescent="0.3">
      <c r="A51" s="275" t="s">
        <v>123</v>
      </c>
      <c r="B51" s="276">
        <v>5</v>
      </c>
      <c r="C51" s="286">
        <v>119938.5</v>
      </c>
      <c r="D51" s="277">
        <f t="shared" si="0"/>
        <v>54083.246866149988</v>
      </c>
      <c r="F51" s="274"/>
    </row>
    <row r="52" spans="1:6" x14ac:dyDescent="0.3">
      <c r="A52" s="275" t="s">
        <v>16</v>
      </c>
      <c r="B52" s="276">
        <v>6</v>
      </c>
      <c r="C52" s="286">
        <v>388680</v>
      </c>
      <c r="D52" s="277">
        <f t="shared" si="0"/>
        <v>175265.46014778555</v>
      </c>
      <c r="F52" s="274"/>
    </row>
    <row r="53" spans="1:6" x14ac:dyDescent="0.3">
      <c r="A53" s="275" t="s">
        <v>41</v>
      </c>
      <c r="B53" s="276">
        <v>6</v>
      </c>
      <c r="C53" s="286">
        <v>246362.5</v>
      </c>
      <c r="D53" s="277">
        <f t="shared" si="0"/>
        <v>111090.96667093449</v>
      </c>
      <c r="F53" s="274"/>
    </row>
    <row r="54" spans="1:6" x14ac:dyDescent="0.3">
      <c r="A54" s="275" t="s">
        <v>89</v>
      </c>
      <c r="B54" s="276">
        <v>6</v>
      </c>
      <c r="C54" s="286">
        <v>240170</v>
      </c>
      <c r="D54" s="277">
        <f t="shared" si="0"/>
        <v>108298.61470539687</v>
      </c>
      <c r="F54" s="274"/>
    </row>
    <row r="55" spans="1:6" x14ac:dyDescent="0.3">
      <c r="A55" s="275" t="s">
        <v>107</v>
      </c>
      <c r="B55" s="276">
        <v>6</v>
      </c>
      <c r="C55" s="286">
        <v>291815.5</v>
      </c>
      <c r="D55" s="277">
        <f t="shared" si="0"/>
        <v>131586.85264422177</v>
      </c>
      <c r="F55" s="274"/>
    </row>
    <row r="56" spans="1:6" x14ac:dyDescent="0.3">
      <c r="A56" s="275" t="s">
        <v>111</v>
      </c>
      <c r="B56" s="276">
        <v>6</v>
      </c>
      <c r="C56" s="286">
        <v>333213</v>
      </c>
      <c r="D56" s="277">
        <f t="shared" si="0"/>
        <v>150254.0129984153</v>
      </c>
      <c r="F56" s="274"/>
    </row>
    <row r="57" spans="1:6" x14ac:dyDescent="0.3">
      <c r="A57" s="275" t="s">
        <v>125</v>
      </c>
      <c r="B57" s="276">
        <v>6</v>
      </c>
      <c r="C57" s="286">
        <v>304616</v>
      </c>
      <c r="D57" s="277">
        <f t="shared" si="0"/>
        <v>137358.9158391938</v>
      </c>
      <c r="F57" s="274"/>
    </row>
    <row r="58" spans="1:6" x14ac:dyDescent="0.3">
      <c r="A58" s="275" t="s">
        <v>127</v>
      </c>
      <c r="B58" s="276">
        <v>6</v>
      </c>
      <c r="C58" s="286">
        <v>313164</v>
      </c>
      <c r="D58" s="277">
        <f t="shared" si="0"/>
        <v>141213.42122496941</v>
      </c>
      <c r="F58" s="274"/>
    </row>
    <row r="59" spans="1:6" x14ac:dyDescent="0.3">
      <c r="A59" s="275" t="s">
        <v>79</v>
      </c>
      <c r="B59" s="276">
        <v>7</v>
      </c>
      <c r="C59" s="286">
        <v>483019.5</v>
      </c>
      <c r="D59" s="277">
        <f t="shared" si="0"/>
        <v>217805.48247363718</v>
      </c>
      <c r="F59" s="274"/>
    </row>
    <row r="60" spans="1:6" x14ac:dyDescent="0.3">
      <c r="A60" s="275" t="s">
        <v>113</v>
      </c>
      <c r="B60" s="276">
        <v>7</v>
      </c>
      <c r="C60" s="286">
        <v>725922</v>
      </c>
      <c r="D60" s="277">
        <f t="shared" si="0"/>
        <v>327336.24925748887</v>
      </c>
      <c r="F60" s="274"/>
    </row>
    <row r="61" spans="1:6" x14ac:dyDescent="0.3">
      <c r="A61" s="275" t="s">
        <v>115</v>
      </c>
      <c r="B61" s="276">
        <v>7</v>
      </c>
      <c r="C61" s="286">
        <v>571055</v>
      </c>
      <c r="D61" s="277">
        <f t="shared" si="0"/>
        <v>257502.8747162027</v>
      </c>
      <c r="F61" s="274"/>
    </row>
    <row r="62" spans="1:6" x14ac:dyDescent="0.3">
      <c r="A62" s="275" t="s">
        <v>137</v>
      </c>
      <c r="B62" s="276">
        <v>7</v>
      </c>
      <c r="C62" s="286">
        <v>536057.5</v>
      </c>
      <c r="D62" s="277">
        <f t="shared" si="0"/>
        <v>241721.63322828946</v>
      </c>
      <c r="F62" s="274"/>
    </row>
    <row r="63" spans="1:6" x14ac:dyDescent="0.3">
      <c r="A63" s="275" t="s">
        <v>18</v>
      </c>
      <c r="B63" s="276">
        <v>8</v>
      </c>
      <c r="C63" s="286">
        <v>1513921.5</v>
      </c>
      <c r="D63" s="277">
        <f t="shared" si="0"/>
        <v>682664.7842058395</v>
      </c>
      <c r="F63" s="274"/>
    </row>
    <row r="64" spans="1:6" x14ac:dyDescent="0.3">
      <c r="A64" s="275" t="s">
        <v>36</v>
      </c>
      <c r="B64" s="276">
        <v>8</v>
      </c>
      <c r="C64" s="286">
        <v>1012593</v>
      </c>
      <c r="D64" s="277">
        <f t="shared" si="0"/>
        <v>456603.31915052637</v>
      </c>
      <c r="F64" s="274"/>
    </row>
    <row r="65" spans="1:6" x14ac:dyDescent="0.3">
      <c r="A65" s="275" t="s">
        <v>65</v>
      </c>
      <c r="B65" s="276">
        <v>8</v>
      </c>
      <c r="C65" s="286">
        <v>1420920</v>
      </c>
      <c r="D65" s="277">
        <f t="shared" si="0"/>
        <v>640728.09929296956</v>
      </c>
      <c r="F65" s="274"/>
    </row>
    <row r="66" spans="1:6" x14ac:dyDescent="0.3">
      <c r="A66" s="275" t="s">
        <v>95</v>
      </c>
      <c r="B66" s="276">
        <v>8</v>
      </c>
      <c r="C66" s="286">
        <v>3160436</v>
      </c>
      <c r="D66" s="277">
        <f t="shared" si="0"/>
        <v>1425119.043448664</v>
      </c>
      <c r="F66" s="274"/>
    </row>
    <row r="67" spans="1:6" x14ac:dyDescent="0.3">
      <c r="A67" s="275" t="s">
        <v>105</v>
      </c>
      <c r="B67" s="276">
        <v>8</v>
      </c>
      <c r="C67" s="286">
        <v>1357461</v>
      </c>
      <c r="D67" s="277">
        <f t="shared" ref="D67:D68" si="1">(C67/$C$70)*$D$70</f>
        <v>612112.86095933185</v>
      </c>
      <c r="F67" s="274"/>
    </row>
    <row r="68" spans="1:6" ht="16.5" thickBot="1" x14ac:dyDescent="0.35">
      <c r="A68" s="278" t="s">
        <v>109</v>
      </c>
      <c r="B68" s="279">
        <v>8</v>
      </c>
      <c r="C68" s="288">
        <v>1084405.5</v>
      </c>
      <c r="D68" s="280">
        <f t="shared" si="1"/>
        <v>488985.35799189424</v>
      </c>
      <c r="F68" s="274"/>
    </row>
    <row r="69" spans="1:6" ht="16.5" thickBot="1" x14ac:dyDescent="0.35">
      <c r="A69" s="281"/>
      <c r="B69" s="282"/>
      <c r="C69" s="289"/>
      <c r="D69" s="7"/>
    </row>
    <row r="70" spans="1:6" ht="16.5" thickBot="1" x14ac:dyDescent="0.35">
      <c r="A70" s="489" t="s">
        <v>171</v>
      </c>
      <c r="B70" s="489"/>
      <c r="C70" s="290">
        <f>SUM(C2:C68)</f>
        <v>17741316.5</v>
      </c>
      <c r="D70" s="283">
        <v>8000000</v>
      </c>
    </row>
    <row r="71" spans="1:6" ht="15.75" customHeight="1" x14ac:dyDescent="0.3">
      <c r="C71" s="159" t="s">
        <v>181</v>
      </c>
      <c r="D71" s="12"/>
    </row>
  </sheetData>
  <autoFilter ref="A1:D1" xr:uid="{9467D2CC-2D70-4995-BD29-D492E7B226B0}">
    <sortState xmlns:xlrd2="http://schemas.microsoft.com/office/spreadsheetml/2017/richdata2" ref="A2:D68">
      <sortCondition ref="B1"/>
    </sortState>
  </autoFilter>
  <mergeCells count="1">
    <mergeCell ref="A70:B70"/>
  </mergeCells>
  <printOptions horizontalCentered="1"/>
  <pageMargins left="0.25" right="0.25" top="1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73CF-7159-4D80-BE05-C0B704BA78E3}">
  <sheetPr>
    <pageSetUpPr fitToPage="1"/>
  </sheetPr>
  <dimension ref="A1:E12"/>
  <sheetViews>
    <sheetView zoomScale="130" zoomScaleNormal="130" workbookViewId="0">
      <pane ySplit="3" topLeftCell="A4" activePane="bottomLeft" state="frozen"/>
      <selection pane="bottomLeft" activeCell="G21" sqref="G21"/>
    </sheetView>
  </sheetViews>
  <sheetFormatPr defaultRowHeight="16.5" x14ac:dyDescent="0.3"/>
  <cols>
    <col min="1" max="1" width="10.7109375" style="235" customWidth="1"/>
    <col min="2" max="2" width="17.28515625" style="234" customWidth="1"/>
    <col min="3" max="3" width="12.28515625" style="234" customWidth="1"/>
    <col min="4" max="4" width="12.140625" style="234" customWidth="1"/>
    <col min="5" max="5" width="17.140625" style="234" customWidth="1"/>
    <col min="6" max="16384" width="9.140625" style="234"/>
  </cols>
  <sheetData>
    <row r="1" spans="1:5" ht="19.5" x14ac:dyDescent="0.35">
      <c r="A1" s="492" t="s">
        <v>209</v>
      </c>
      <c r="B1" s="492"/>
      <c r="C1" s="492"/>
      <c r="D1" s="492"/>
      <c r="E1" s="492"/>
    </row>
    <row r="2" spans="1:5" ht="17.25" thickBot="1" x14ac:dyDescent="0.35"/>
    <row r="3" spans="1:5" s="241" customFormat="1" ht="50.25" thickBot="1" x14ac:dyDescent="0.35">
      <c r="A3" s="236" t="s">
        <v>190</v>
      </c>
      <c r="B3" s="237" t="s">
        <v>0</v>
      </c>
      <c r="C3" s="238" t="s">
        <v>189</v>
      </c>
      <c r="D3" s="239" t="s">
        <v>206</v>
      </c>
      <c r="E3" s="240" t="s">
        <v>207</v>
      </c>
    </row>
    <row r="4" spans="1:5" x14ac:dyDescent="0.3">
      <c r="A4" s="253">
        <v>1</v>
      </c>
      <c r="B4" s="243" t="s">
        <v>123</v>
      </c>
      <c r="C4" s="244">
        <v>2</v>
      </c>
      <c r="D4" s="245">
        <v>2</v>
      </c>
      <c r="E4" s="242">
        <f>D4*$E$12</f>
        <v>146173.04</v>
      </c>
    </row>
    <row r="5" spans="1:5" x14ac:dyDescent="0.3">
      <c r="A5" s="253">
        <v>3</v>
      </c>
      <c r="B5" s="243" t="s">
        <v>30</v>
      </c>
      <c r="C5" s="244">
        <v>1</v>
      </c>
      <c r="D5" s="245">
        <v>1</v>
      </c>
      <c r="E5" s="242">
        <f>D5*$E$12</f>
        <v>73086.52</v>
      </c>
    </row>
    <row r="6" spans="1:5" x14ac:dyDescent="0.3">
      <c r="A6" s="253">
        <v>9</v>
      </c>
      <c r="B6" s="243" t="s">
        <v>105</v>
      </c>
      <c r="C6" s="244">
        <v>3</v>
      </c>
      <c r="D6" s="245">
        <v>3</v>
      </c>
      <c r="E6" s="242">
        <f>D6*$E$12</f>
        <v>219259.56</v>
      </c>
    </row>
    <row r="7" spans="1:5" x14ac:dyDescent="0.3">
      <c r="A7" s="253">
        <v>13</v>
      </c>
      <c r="B7" s="243" t="s">
        <v>65</v>
      </c>
      <c r="C7" s="246">
        <v>2</v>
      </c>
      <c r="D7" s="245">
        <v>2</v>
      </c>
      <c r="E7" s="242">
        <f>D7*$E$12</f>
        <v>146173.04</v>
      </c>
    </row>
    <row r="8" spans="1:5" ht="17.25" thickBot="1" x14ac:dyDescent="0.35">
      <c r="A8" s="254">
        <v>20</v>
      </c>
      <c r="B8" s="255" t="s">
        <v>79</v>
      </c>
      <c r="C8" s="247">
        <v>1</v>
      </c>
      <c r="D8" s="248">
        <v>1</v>
      </c>
      <c r="E8" s="249">
        <f>D8*$E$12</f>
        <v>73086.52</v>
      </c>
    </row>
    <row r="9" spans="1:5" ht="17.25" thickBot="1" x14ac:dyDescent="0.35">
      <c r="C9" s="256" t="s">
        <v>205</v>
      </c>
      <c r="D9" s="257">
        <f>SUM(D4:D8)</f>
        <v>9</v>
      </c>
      <c r="E9" s="258">
        <f>E4+E5+E6+E7+E8</f>
        <v>657778.68000000005</v>
      </c>
    </row>
    <row r="10" spans="1:5" x14ac:dyDescent="0.3">
      <c r="B10" s="250"/>
    </row>
    <row r="12" spans="1:5" x14ac:dyDescent="0.3">
      <c r="D12" s="252" t="s">
        <v>208</v>
      </c>
      <c r="E12" s="251">
        <v>73086.52</v>
      </c>
    </row>
  </sheetData>
  <mergeCells count="1">
    <mergeCell ref="A1:E1"/>
  </mergeCells>
  <printOptions horizontalCentered="1"/>
  <pageMargins left="0.45" right="0.45" top="1" bottom="0.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C74D-67AB-4283-95A7-8380CBB143E6}">
  <dimension ref="A1:E70"/>
  <sheetViews>
    <sheetView zoomScale="130" zoomScaleNormal="130" workbookViewId="0">
      <pane xSplit="1" ySplit="1" topLeftCell="B51" activePane="bottomRight" state="frozen"/>
      <selection pane="topRight" activeCell="B1" sqref="B1"/>
      <selection pane="bottomLeft" activeCell="A2" sqref="A2"/>
      <selection pane="bottomRight" activeCell="D71" sqref="D71"/>
    </sheetView>
  </sheetViews>
  <sheetFormatPr defaultRowHeight="15" x14ac:dyDescent="0.25"/>
  <cols>
    <col min="1" max="1" width="14.42578125" customWidth="1"/>
    <col min="2" max="2" width="17" customWidth="1"/>
    <col min="3" max="3" width="15.5703125" customWidth="1"/>
    <col min="4" max="4" width="16.140625" customWidth="1"/>
    <col min="5" max="5" width="9.140625" style="19"/>
  </cols>
  <sheetData>
    <row r="1" spans="1:5" s="5" customFormat="1" ht="30.75" thickBot="1" x14ac:dyDescent="0.3">
      <c r="A1" s="511" t="s">
        <v>0</v>
      </c>
      <c r="B1" s="513" t="s">
        <v>264</v>
      </c>
      <c r="C1" s="513" t="s">
        <v>265</v>
      </c>
      <c r="D1" s="515" t="s">
        <v>266</v>
      </c>
      <c r="E1" s="400"/>
    </row>
    <row r="2" spans="1:5" x14ac:dyDescent="0.25">
      <c r="A2" s="516" t="s">
        <v>4</v>
      </c>
      <c r="B2" s="512">
        <v>5943844.1966362409</v>
      </c>
      <c r="C2" s="514">
        <f>B2*0.03</f>
        <v>178315.32589908721</v>
      </c>
      <c r="D2" s="517">
        <v>178315</v>
      </c>
      <c r="E2" s="402"/>
    </row>
    <row r="3" spans="1:5" x14ac:dyDescent="0.25">
      <c r="A3" s="518" t="s">
        <v>10</v>
      </c>
      <c r="B3" s="509">
        <v>608675</v>
      </c>
      <c r="C3" s="510">
        <f>B3*0.03</f>
        <v>18260.25</v>
      </c>
      <c r="D3" s="519">
        <v>18260</v>
      </c>
      <c r="E3" s="402"/>
    </row>
    <row r="4" spans="1:5" x14ac:dyDescent="0.25">
      <c r="A4" s="518" t="s">
        <v>12</v>
      </c>
      <c r="B4" s="509">
        <v>4021536.5707159275</v>
      </c>
      <c r="C4" s="510">
        <f t="shared" ref="C4:C67" si="0">B4*0.03</f>
        <v>120646.09712147783</v>
      </c>
      <c r="D4" s="519">
        <v>120646</v>
      </c>
      <c r="E4" s="402"/>
    </row>
    <row r="5" spans="1:5" x14ac:dyDescent="0.25">
      <c r="A5" s="518" t="s">
        <v>14</v>
      </c>
      <c r="B5" s="509">
        <v>940057.14838599996</v>
      </c>
      <c r="C5" s="510">
        <f t="shared" si="0"/>
        <v>28201.714451579999</v>
      </c>
      <c r="D5" s="519">
        <v>28202</v>
      </c>
      <c r="E5" s="402"/>
    </row>
    <row r="6" spans="1:5" x14ac:dyDescent="0.25">
      <c r="A6" s="518" t="s">
        <v>16</v>
      </c>
      <c r="B6" s="509">
        <v>11442911.009899519</v>
      </c>
      <c r="C6" s="510">
        <f t="shared" si="0"/>
        <v>343287.33029698557</v>
      </c>
      <c r="D6" s="519">
        <v>343287</v>
      </c>
      <c r="E6" s="402"/>
    </row>
    <row r="7" spans="1:5" x14ac:dyDescent="0.25">
      <c r="A7" s="518" t="s">
        <v>18</v>
      </c>
      <c r="B7" s="509">
        <v>32628482.065795653</v>
      </c>
      <c r="C7" s="510">
        <f t="shared" si="0"/>
        <v>978854.46197386959</v>
      </c>
      <c r="D7" s="519">
        <v>978854</v>
      </c>
      <c r="E7" s="402"/>
    </row>
    <row r="8" spans="1:5" x14ac:dyDescent="0.25">
      <c r="A8" s="518" t="s">
        <v>20</v>
      </c>
      <c r="B8" s="509">
        <v>403068.58613499993</v>
      </c>
      <c r="C8" s="510">
        <f t="shared" si="0"/>
        <v>12092.057584049997</v>
      </c>
      <c r="D8" s="519">
        <v>12092</v>
      </c>
      <c r="E8" s="402"/>
    </row>
    <row r="9" spans="1:5" x14ac:dyDescent="0.25">
      <c r="A9" s="518" t="s">
        <v>22</v>
      </c>
      <c r="B9" s="509">
        <v>3027436.9972710027</v>
      </c>
      <c r="C9" s="510">
        <f t="shared" si="0"/>
        <v>90823.109918130081</v>
      </c>
      <c r="D9" s="519">
        <v>90823</v>
      </c>
      <c r="E9" s="402"/>
    </row>
    <row r="10" spans="1:5" x14ac:dyDescent="0.25">
      <c r="A10" s="518" t="s">
        <v>24</v>
      </c>
      <c r="B10" s="509">
        <v>4659796.5869313534</v>
      </c>
      <c r="C10" s="510">
        <f t="shared" si="0"/>
        <v>139793.8976079406</v>
      </c>
      <c r="D10" s="519">
        <v>139794</v>
      </c>
      <c r="E10" s="402"/>
    </row>
    <row r="11" spans="1:5" x14ac:dyDescent="0.25">
      <c r="A11" s="518" t="s">
        <v>26</v>
      </c>
      <c r="B11" s="509">
        <v>4303524.1886020182</v>
      </c>
      <c r="C11" s="510">
        <f t="shared" si="0"/>
        <v>129105.72565806055</v>
      </c>
      <c r="D11" s="519">
        <v>129106</v>
      </c>
      <c r="E11" s="402"/>
    </row>
    <row r="12" spans="1:5" x14ac:dyDescent="0.25">
      <c r="A12" s="518" t="s">
        <v>28</v>
      </c>
      <c r="B12" s="509">
        <v>8090426.4267553752</v>
      </c>
      <c r="C12" s="510">
        <f t="shared" si="0"/>
        <v>242712.79280266125</v>
      </c>
      <c r="D12" s="519">
        <v>242713</v>
      </c>
      <c r="E12" s="402"/>
    </row>
    <row r="13" spans="1:5" x14ac:dyDescent="0.25">
      <c r="A13" s="518" t="s">
        <v>30</v>
      </c>
      <c r="B13" s="509">
        <v>1431994</v>
      </c>
      <c r="C13" s="510">
        <f t="shared" si="0"/>
        <v>42959.82</v>
      </c>
      <c r="D13" s="519">
        <v>42960</v>
      </c>
      <c r="E13" s="402"/>
    </row>
    <row r="14" spans="1:5" x14ac:dyDescent="0.25">
      <c r="A14" s="518" t="s">
        <v>32</v>
      </c>
      <c r="B14" s="509">
        <v>781180.77844100015</v>
      </c>
      <c r="C14" s="510">
        <f t="shared" si="0"/>
        <v>23435.423353230002</v>
      </c>
      <c r="D14" s="519">
        <v>23435</v>
      </c>
      <c r="E14" s="402"/>
    </row>
    <row r="15" spans="1:5" x14ac:dyDescent="0.25">
      <c r="A15" s="518" t="s">
        <v>34</v>
      </c>
      <c r="B15" s="509">
        <v>323425.12803999998</v>
      </c>
      <c r="C15" s="510">
        <f t="shared" si="0"/>
        <v>9702.7538411999994</v>
      </c>
      <c r="D15" s="519">
        <v>9703</v>
      </c>
      <c r="E15" s="402"/>
    </row>
    <row r="16" spans="1:5" x14ac:dyDescent="0.25">
      <c r="A16" s="518" t="s">
        <v>36</v>
      </c>
      <c r="B16" s="509">
        <v>17863607.463295795</v>
      </c>
      <c r="C16" s="510">
        <f t="shared" si="0"/>
        <v>535908.22389887378</v>
      </c>
      <c r="D16" s="519">
        <v>535908</v>
      </c>
      <c r="E16" s="402"/>
    </row>
    <row r="17" spans="1:5" x14ac:dyDescent="0.25">
      <c r="A17" s="518" t="s">
        <v>41</v>
      </c>
      <c r="B17" s="509">
        <v>5876999.0864023995</v>
      </c>
      <c r="C17" s="510">
        <f t="shared" si="0"/>
        <v>176309.97259207198</v>
      </c>
      <c r="D17" s="519">
        <v>176310</v>
      </c>
      <c r="E17" s="402"/>
    </row>
    <row r="18" spans="1:5" x14ac:dyDescent="0.25">
      <c r="A18" s="518" t="s">
        <v>43</v>
      </c>
      <c r="B18" s="509">
        <v>2107180.926249397</v>
      </c>
      <c r="C18" s="510">
        <f t="shared" si="0"/>
        <v>63215.427787481909</v>
      </c>
      <c r="D18" s="519">
        <v>63215</v>
      </c>
      <c r="E18" s="402"/>
    </row>
    <row r="19" spans="1:5" x14ac:dyDescent="0.25">
      <c r="A19" s="518" t="s">
        <v>45</v>
      </c>
      <c r="B19" s="509">
        <v>582697.88498764718</v>
      </c>
      <c r="C19" s="510">
        <f t="shared" si="0"/>
        <v>17480.936549629416</v>
      </c>
      <c r="D19" s="519">
        <v>17481</v>
      </c>
      <c r="E19" s="402"/>
    </row>
    <row r="20" spans="1:5" x14ac:dyDescent="0.25">
      <c r="A20" s="518" t="s">
        <v>47</v>
      </c>
      <c r="B20" s="509">
        <v>1481579.63067267</v>
      </c>
      <c r="C20" s="510">
        <f t="shared" si="0"/>
        <v>44447.388920180099</v>
      </c>
      <c r="D20" s="519">
        <v>44447</v>
      </c>
      <c r="E20" s="402"/>
    </row>
    <row r="21" spans="1:5" x14ac:dyDescent="0.25">
      <c r="A21" s="518" t="s">
        <v>49</v>
      </c>
      <c r="B21" s="509">
        <v>595630.09270000015</v>
      </c>
      <c r="C21" s="510">
        <f t="shared" si="0"/>
        <v>17868.902781000004</v>
      </c>
      <c r="D21" s="519">
        <v>17869</v>
      </c>
      <c r="E21" s="402"/>
    </row>
    <row r="22" spans="1:5" x14ac:dyDescent="0.25">
      <c r="A22" s="518" t="s">
        <v>51</v>
      </c>
      <c r="B22" s="509">
        <v>533913.84325499996</v>
      </c>
      <c r="C22" s="510">
        <f t="shared" si="0"/>
        <v>16017.415297649997</v>
      </c>
      <c r="D22" s="519">
        <v>16017</v>
      </c>
      <c r="E22" s="402"/>
    </row>
    <row r="23" spans="1:5" x14ac:dyDescent="0.25">
      <c r="A23" s="518" t="s">
        <v>53</v>
      </c>
      <c r="B23" s="509">
        <v>412221.96920119994</v>
      </c>
      <c r="C23" s="510">
        <f t="shared" si="0"/>
        <v>12366.659076035998</v>
      </c>
      <c r="D23" s="519">
        <v>12367</v>
      </c>
      <c r="E23" s="402"/>
    </row>
    <row r="24" spans="1:5" x14ac:dyDescent="0.25">
      <c r="A24" s="518" t="s">
        <v>55</v>
      </c>
      <c r="B24" s="509">
        <v>514871.05185000005</v>
      </c>
      <c r="C24" s="510">
        <f t="shared" si="0"/>
        <v>15446.1315555</v>
      </c>
      <c r="D24" s="519">
        <v>15446</v>
      </c>
      <c r="E24" s="402"/>
    </row>
    <row r="25" spans="1:5" x14ac:dyDescent="0.25">
      <c r="A25" s="518" t="s">
        <v>57</v>
      </c>
      <c r="B25" s="509">
        <v>836242.62198675005</v>
      </c>
      <c r="C25" s="510">
        <f t="shared" si="0"/>
        <v>25087.2786596025</v>
      </c>
      <c r="D25" s="519">
        <v>25087</v>
      </c>
      <c r="E25" s="402"/>
    </row>
    <row r="26" spans="1:5" x14ac:dyDescent="0.25">
      <c r="A26" s="518" t="s">
        <v>59</v>
      </c>
      <c r="B26" s="509">
        <v>1160750.1934587397</v>
      </c>
      <c r="C26" s="510">
        <f t="shared" si="0"/>
        <v>34822.505803762186</v>
      </c>
      <c r="D26" s="519">
        <v>34823</v>
      </c>
      <c r="E26" s="402"/>
    </row>
    <row r="27" spans="1:5" x14ac:dyDescent="0.25">
      <c r="A27" s="518" t="s">
        <v>61</v>
      </c>
      <c r="B27" s="509">
        <v>3956013.2465131585</v>
      </c>
      <c r="C27" s="510">
        <f t="shared" si="0"/>
        <v>118680.39739539476</v>
      </c>
      <c r="D27" s="519">
        <v>118680</v>
      </c>
      <c r="E27" s="402"/>
    </row>
    <row r="28" spans="1:5" x14ac:dyDescent="0.25">
      <c r="A28" s="518" t="s">
        <v>63</v>
      </c>
      <c r="B28" s="509">
        <v>2258630.9954340002</v>
      </c>
      <c r="C28" s="510">
        <f t="shared" si="0"/>
        <v>67758.929863020006</v>
      </c>
      <c r="D28" s="519">
        <v>67759</v>
      </c>
      <c r="E28" s="402"/>
    </row>
    <row r="29" spans="1:5" x14ac:dyDescent="0.25">
      <c r="A29" s="518" t="s">
        <v>65</v>
      </c>
      <c r="B29" s="509">
        <v>30243882.138868373</v>
      </c>
      <c r="C29" s="510">
        <f t="shared" si="0"/>
        <v>907316.46416605113</v>
      </c>
      <c r="D29" s="519">
        <v>907316</v>
      </c>
      <c r="E29" s="402"/>
    </row>
    <row r="30" spans="1:5" x14ac:dyDescent="0.25">
      <c r="A30" s="518" t="s">
        <v>67</v>
      </c>
      <c r="B30" s="509">
        <v>473236.85861999996</v>
      </c>
      <c r="C30" s="510">
        <f t="shared" si="0"/>
        <v>14197.105758599999</v>
      </c>
      <c r="D30" s="519">
        <v>14197</v>
      </c>
      <c r="E30" s="402"/>
    </row>
    <row r="31" spans="1:5" x14ac:dyDescent="0.25">
      <c r="A31" s="518" t="s">
        <v>69</v>
      </c>
      <c r="B31" s="509">
        <v>3220375.447682654</v>
      </c>
      <c r="C31" s="510">
        <f t="shared" si="0"/>
        <v>96611.263430479623</v>
      </c>
      <c r="D31" s="519">
        <v>96611</v>
      </c>
      <c r="E31" s="402"/>
    </row>
    <row r="32" spans="1:5" x14ac:dyDescent="0.25">
      <c r="A32" s="518" t="s">
        <v>71</v>
      </c>
      <c r="B32" s="509">
        <v>1110568.7414259999</v>
      </c>
      <c r="C32" s="510">
        <f t="shared" si="0"/>
        <v>33317.062242779997</v>
      </c>
      <c r="D32" s="519">
        <v>33317</v>
      </c>
      <c r="E32" s="402"/>
    </row>
    <row r="33" spans="1:5" x14ac:dyDescent="0.25">
      <c r="A33" s="518" t="s">
        <v>73</v>
      </c>
      <c r="B33" s="509">
        <v>413849</v>
      </c>
      <c r="C33" s="510">
        <f t="shared" si="0"/>
        <v>12415.47</v>
      </c>
      <c r="D33" s="519">
        <v>12415</v>
      </c>
      <c r="E33" s="402"/>
    </row>
    <row r="34" spans="1:5" x14ac:dyDescent="0.25">
      <c r="A34" s="518" t="s">
        <v>75</v>
      </c>
      <c r="B34" s="509">
        <v>197986.06892359996</v>
      </c>
      <c r="C34" s="510">
        <f t="shared" si="0"/>
        <v>5939.5820677079982</v>
      </c>
      <c r="D34" s="519">
        <v>5940</v>
      </c>
      <c r="E34" s="402"/>
    </row>
    <row r="35" spans="1:5" x14ac:dyDescent="0.25">
      <c r="A35" s="518" t="s">
        <v>77</v>
      </c>
      <c r="B35" s="509">
        <v>6854751.3799999999</v>
      </c>
      <c r="C35" s="510">
        <f t="shared" si="0"/>
        <v>205642.54139999999</v>
      </c>
      <c r="D35" s="519">
        <v>205643</v>
      </c>
      <c r="E35" s="402"/>
    </row>
    <row r="36" spans="1:5" x14ac:dyDescent="0.25">
      <c r="A36" s="518" t="s">
        <v>79</v>
      </c>
      <c r="B36" s="509">
        <v>14609149.712332897</v>
      </c>
      <c r="C36" s="510">
        <f t="shared" si="0"/>
        <v>438274.49136998691</v>
      </c>
      <c r="D36" s="519">
        <v>438274</v>
      </c>
      <c r="E36" s="402"/>
    </row>
    <row r="37" spans="1:5" x14ac:dyDescent="0.25">
      <c r="A37" s="518" t="s">
        <v>81</v>
      </c>
      <c r="B37" s="509">
        <v>5369489.4937392566</v>
      </c>
      <c r="C37" s="510">
        <f t="shared" si="0"/>
        <v>161084.6848121777</v>
      </c>
      <c r="D37" s="519">
        <v>161085</v>
      </c>
      <c r="E37" s="402"/>
    </row>
    <row r="38" spans="1:5" x14ac:dyDescent="0.25">
      <c r="A38" s="518" t="s">
        <v>83</v>
      </c>
      <c r="B38" s="509">
        <v>1141523.9268760001</v>
      </c>
      <c r="C38" s="510">
        <f t="shared" si="0"/>
        <v>34245.717806280001</v>
      </c>
      <c r="D38" s="519">
        <v>34246</v>
      </c>
      <c r="E38" s="402"/>
    </row>
    <row r="39" spans="1:5" x14ac:dyDescent="0.25">
      <c r="A39" s="518" t="s">
        <v>85</v>
      </c>
      <c r="B39" s="509">
        <v>393498.36984</v>
      </c>
      <c r="C39" s="510">
        <f t="shared" si="0"/>
        <v>11804.9510952</v>
      </c>
      <c r="D39" s="519">
        <v>11805</v>
      </c>
      <c r="E39" s="402"/>
    </row>
    <row r="40" spans="1:5" x14ac:dyDescent="0.25">
      <c r="A40" s="518" t="s">
        <v>87</v>
      </c>
      <c r="B40" s="509">
        <v>474566.40358000004</v>
      </c>
      <c r="C40" s="510">
        <f t="shared" si="0"/>
        <v>14236.992107400001</v>
      </c>
      <c r="D40" s="519">
        <v>14237</v>
      </c>
      <c r="E40" s="402"/>
    </row>
    <row r="41" spans="1:5" x14ac:dyDescent="0.25">
      <c r="A41" s="518" t="s">
        <v>89</v>
      </c>
      <c r="B41" s="509">
        <v>5624973.8805482034</v>
      </c>
      <c r="C41" s="510">
        <f t="shared" si="0"/>
        <v>168749.21641644608</v>
      </c>
      <c r="D41" s="519">
        <v>168749</v>
      </c>
      <c r="E41" s="402"/>
    </row>
    <row r="42" spans="1:5" x14ac:dyDescent="0.25">
      <c r="A42" s="518" t="s">
        <v>91</v>
      </c>
      <c r="B42" s="509">
        <v>7073632.1500000004</v>
      </c>
      <c r="C42" s="510">
        <f t="shared" si="0"/>
        <v>212208.9645</v>
      </c>
      <c r="D42" s="519">
        <v>212209</v>
      </c>
      <c r="E42" s="402"/>
    </row>
    <row r="43" spans="1:5" x14ac:dyDescent="0.25">
      <c r="A43" s="518" t="s">
        <v>93</v>
      </c>
      <c r="B43" s="509">
        <v>3015319.1217276379</v>
      </c>
      <c r="C43" s="510">
        <f t="shared" si="0"/>
        <v>90459.573651829138</v>
      </c>
      <c r="D43" s="519">
        <v>90460</v>
      </c>
      <c r="E43" s="402"/>
    </row>
    <row r="44" spans="1:5" x14ac:dyDescent="0.25">
      <c r="A44" s="518" t="s">
        <v>95</v>
      </c>
      <c r="B44" s="509">
        <v>73782231.410496712</v>
      </c>
      <c r="C44" s="510">
        <f t="shared" si="0"/>
        <v>2213466.9423149014</v>
      </c>
      <c r="D44" s="519">
        <v>2213467</v>
      </c>
      <c r="E44" s="402"/>
    </row>
    <row r="45" spans="1:5" x14ac:dyDescent="0.25">
      <c r="A45" s="518" t="s">
        <v>97</v>
      </c>
      <c r="B45" s="509">
        <v>4489082.5525900004</v>
      </c>
      <c r="C45" s="510">
        <f t="shared" si="0"/>
        <v>134672.4765777</v>
      </c>
      <c r="D45" s="519">
        <v>134672</v>
      </c>
      <c r="E45" s="402"/>
    </row>
    <row r="46" spans="1:5" x14ac:dyDescent="0.25">
      <c r="A46" s="518" t="s">
        <v>99</v>
      </c>
      <c r="B46" s="509">
        <v>1782644.6140136686</v>
      </c>
      <c r="C46" s="510">
        <f t="shared" si="0"/>
        <v>53479.338420410058</v>
      </c>
      <c r="D46" s="519">
        <v>53479</v>
      </c>
      <c r="E46" s="402"/>
    </row>
    <row r="47" spans="1:5" x14ac:dyDescent="0.25">
      <c r="A47" s="518" t="s">
        <v>101</v>
      </c>
      <c r="B47" s="509">
        <v>3799262.7545987419</v>
      </c>
      <c r="C47" s="510">
        <f t="shared" si="0"/>
        <v>113977.88263796225</v>
      </c>
      <c r="D47" s="519">
        <v>113978</v>
      </c>
      <c r="E47" s="402"/>
    </row>
    <row r="48" spans="1:5" x14ac:dyDescent="0.25">
      <c r="A48" s="518" t="s">
        <v>103</v>
      </c>
      <c r="B48" s="509">
        <v>1489304.1924000003</v>
      </c>
      <c r="C48" s="510">
        <f t="shared" si="0"/>
        <v>44679.125772000007</v>
      </c>
      <c r="D48" s="519">
        <v>44679</v>
      </c>
      <c r="E48" s="402"/>
    </row>
    <row r="49" spans="1:5" x14ac:dyDescent="0.25">
      <c r="A49" s="518" t="s">
        <v>105</v>
      </c>
      <c r="B49" s="509">
        <v>28092846.651919972</v>
      </c>
      <c r="C49" s="510">
        <f t="shared" si="0"/>
        <v>842785.3995575991</v>
      </c>
      <c r="D49" s="519">
        <v>842785</v>
      </c>
      <c r="E49" s="402"/>
    </row>
    <row r="50" spans="1:5" x14ac:dyDescent="0.25">
      <c r="A50" s="518" t="s">
        <v>107</v>
      </c>
      <c r="B50" s="509">
        <v>7528747.4055679999</v>
      </c>
      <c r="C50" s="510">
        <f t="shared" si="0"/>
        <v>225862.42216704</v>
      </c>
      <c r="D50" s="519">
        <v>225862</v>
      </c>
      <c r="E50" s="402"/>
    </row>
    <row r="51" spans="1:5" x14ac:dyDescent="0.25">
      <c r="A51" s="518" t="s">
        <v>109</v>
      </c>
      <c r="B51" s="509">
        <v>29689876.914067589</v>
      </c>
      <c r="C51" s="510">
        <f t="shared" si="0"/>
        <v>890696.30742202757</v>
      </c>
      <c r="D51" s="519">
        <v>890696</v>
      </c>
      <c r="E51" s="402"/>
    </row>
    <row r="52" spans="1:5" x14ac:dyDescent="0.25">
      <c r="A52" s="518" t="s">
        <v>111</v>
      </c>
      <c r="B52" s="509">
        <v>13171963.340741729</v>
      </c>
      <c r="C52" s="510">
        <f t="shared" si="0"/>
        <v>395158.90022225189</v>
      </c>
      <c r="D52" s="519">
        <v>395159</v>
      </c>
      <c r="E52" s="402"/>
    </row>
    <row r="53" spans="1:5" x14ac:dyDescent="0.25">
      <c r="A53" s="518" t="s">
        <v>113</v>
      </c>
      <c r="B53" s="509">
        <v>25991302.751481481</v>
      </c>
      <c r="C53" s="510">
        <f t="shared" si="0"/>
        <v>779739.08254444436</v>
      </c>
      <c r="D53" s="519">
        <v>779739</v>
      </c>
      <c r="E53" s="402"/>
    </row>
    <row r="54" spans="1:5" x14ac:dyDescent="0.25">
      <c r="A54" s="518" t="s">
        <v>115</v>
      </c>
      <c r="B54" s="509">
        <v>13397601.723521501</v>
      </c>
      <c r="C54" s="510">
        <f t="shared" si="0"/>
        <v>401928.05170564499</v>
      </c>
      <c r="D54" s="519">
        <v>401928</v>
      </c>
      <c r="E54" s="402"/>
    </row>
    <row r="55" spans="1:5" x14ac:dyDescent="0.25">
      <c r="A55" s="518" t="s">
        <v>117</v>
      </c>
      <c r="B55" s="509">
        <v>2127830.2909124964</v>
      </c>
      <c r="C55" s="510">
        <f t="shared" si="0"/>
        <v>63834.908727374888</v>
      </c>
      <c r="D55" s="519">
        <v>63835</v>
      </c>
      <c r="E55" s="402"/>
    </row>
    <row r="56" spans="1:5" x14ac:dyDescent="0.25">
      <c r="A56" s="518" t="s">
        <v>119</v>
      </c>
      <c r="B56" s="509">
        <v>3977509.8525536009</v>
      </c>
      <c r="C56" s="510">
        <f t="shared" si="0"/>
        <v>119325.29557660803</v>
      </c>
      <c r="D56" s="519">
        <v>119325</v>
      </c>
      <c r="E56" s="402"/>
    </row>
    <row r="57" spans="1:5" x14ac:dyDescent="0.25">
      <c r="A57" s="518" t="s">
        <v>121</v>
      </c>
      <c r="B57" s="509">
        <v>6815058.6398176756</v>
      </c>
      <c r="C57" s="510">
        <f t="shared" si="0"/>
        <v>204451.75919453026</v>
      </c>
      <c r="D57" s="519">
        <v>204452</v>
      </c>
      <c r="E57" s="402"/>
    </row>
    <row r="58" spans="1:5" x14ac:dyDescent="0.25">
      <c r="A58" s="518" t="s">
        <v>123</v>
      </c>
      <c r="B58" s="509">
        <v>4128352.0822184999</v>
      </c>
      <c r="C58" s="510">
        <f t="shared" si="0"/>
        <v>123850.56246655498</v>
      </c>
      <c r="D58" s="519">
        <v>123851</v>
      </c>
      <c r="E58" s="402"/>
    </row>
    <row r="59" spans="1:5" x14ac:dyDescent="0.25">
      <c r="A59" s="518" t="s">
        <v>125</v>
      </c>
      <c r="B59" s="509">
        <v>7399031.6500000004</v>
      </c>
      <c r="C59" s="510">
        <f t="shared" si="0"/>
        <v>221970.94950000002</v>
      </c>
      <c r="D59" s="519">
        <v>221971</v>
      </c>
      <c r="E59" s="402"/>
    </row>
    <row r="60" spans="1:5" x14ac:dyDescent="0.25">
      <c r="A60" s="518" t="s">
        <v>127</v>
      </c>
      <c r="B60" s="509">
        <v>8900428.9915735517</v>
      </c>
      <c r="C60" s="510">
        <f t="shared" si="0"/>
        <v>267012.86974720657</v>
      </c>
      <c r="D60" s="519">
        <v>267013</v>
      </c>
      <c r="E60" s="402"/>
    </row>
    <row r="61" spans="1:5" x14ac:dyDescent="0.25">
      <c r="A61" s="518" t="s">
        <v>129</v>
      </c>
      <c r="B61" s="509">
        <v>2478280.4657000001</v>
      </c>
      <c r="C61" s="510">
        <f t="shared" si="0"/>
        <v>74348.413971000002</v>
      </c>
      <c r="D61" s="519">
        <v>74348</v>
      </c>
      <c r="E61" s="402"/>
    </row>
    <row r="62" spans="1:5" x14ac:dyDescent="0.25">
      <c r="A62" s="518" t="s">
        <v>131</v>
      </c>
      <c r="B62" s="509">
        <v>1401485.8492078001</v>
      </c>
      <c r="C62" s="510">
        <f t="shared" si="0"/>
        <v>42044.575476234</v>
      </c>
      <c r="D62" s="519">
        <v>42045</v>
      </c>
      <c r="E62" s="402"/>
    </row>
    <row r="63" spans="1:5" x14ac:dyDescent="0.25">
      <c r="A63" s="518" t="s">
        <v>133</v>
      </c>
      <c r="B63" s="509">
        <v>678492.35587475006</v>
      </c>
      <c r="C63" s="510">
        <f t="shared" si="0"/>
        <v>20354.7706762425</v>
      </c>
      <c r="D63" s="519">
        <v>20355</v>
      </c>
      <c r="E63" s="402"/>
    </row>
    <row r="64" spans="1:5" x14ac:dyDescent="0.25">
      <c r="A64" s="518" t="s">
        <v>135</v>
      </c>
      <c r="B64" s="509">
        <v>459209</v>
      </c>
      <c r="C64" s="510">
        <f t="shared" si="0"/>
        <v>13776.269999999999</v>
      </c>
      <c r="D64" s="519">
        <v>13776</v>
      </c>
      <c r="E64" s="402"/>
    </row>
    <row r="65" spans="1:5" x14ac:dyDescent="0.25">
      <c r="A65" s="518" t="s">
        <v>137</v>
      </c>
      <c r="B65" s="509">
        <v>11755049.39605399</v>
      </c>
      <c r="C65" s="510">
        <f t="shared" si="0"/>
        <v>352651.48188161972</v>
      </c>
      <c r="D65" s="519">
        <v>352651</v>
      </c>
      <c r="E65" s="402"/>
    </row>
    <row r="66" spans="1:5" x14ac:dyDescent="0.25">
      <c r="A66" s="518" t="s">
        <v>139</v>
      </c>
      <c r="B66" s="509">
        <v>790209.36</v>
      </c>
      <c r="C66" s="510">
        <f t="shared" si="0"/>
        <v>23706.2808</v>
      </c>
      <c r="D66" s="519">
        <v>23706</v>
      </c>
      <c r="E66" s="402"/>
    </row>
    <row r="67" spans="1:5" x14ac:dyDescent="0.25">
      <c r="A67" s="518" t="s">
        <v>141</v>
      </c>
      <c r="B67" s="509">
        <v>1809011.4886850002</v>
      </c>
      <c r="C67" s="510">
        <f t="shared" si="0"/>
        <v>54270.344660550007</v>
      </c>
      <c r="D67" s="519">
        <v>54270</v>
      </c>
      <c r="E67" s="402"/>
    </row>
    <row r="68" spans="1:5" ht="15.75" thickBot="1" x14ac:dyDescent="0.3">
      <c r="A68" s="520" t="s">
        <v>143</v>
      </c>
      <c r="B68" s="521">
        <v>741023.65078669996</v>
      </c>
      <c r="C68" s="522">
        <f t="shared" ref="C68" si="1">B68*0.03</f>
        <v>22230.709523600999</v>
      </c>
      <c r="D68" s="523">
        <v>22231</v>
      </c>
      <c r="E68" s="402"/>
    </row>
    <row r="69" spans="1:5" ht="11.25" customHeight="1" thickBot="1" x14ac:dyDescent="0.3">
      <c r="B69" s="20"/>
      <c r="C69" s="401"/>
    </row>
    <row r="70" spans="1:5" s="11" customFormat="1" ht="15.75" thickBot="1" x14ac:dyDescent="0.3">
      <c r="A70" s="524" t="s">
        <v>145</v>
      </c>
      <c r="B70" s="525">
        <f>SUM(B2:B68)</f>
        <v>453679337.76856393</v>
      </c>
      <c r="C70" s="525">
        <f>SUM(C2:C68)</f>
        <v>13610380.133056916</v>
      </c>
      <c r="D70" s="526">
        <f t="shared" ref="D70" si="2">SUM(D2:D68)</f>
        <v>13610376</v>
      </c>
      <c r="E70" s="4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New Revenue Summary</vt:lpstr>
      <vt:lpstr>Issue Requests </vt:lpstr>
      <vt:lpstr>Jury Shortfall Calc. </vt:lpstr>
      <vt:lpstr>New Judges Formula</vt:lpstr>
      <vt:lpstr>BUDGET CALCULATION </vt:lpstr>
      <vt:lpstr>FRS Calc.   </vt:lpstr>
      <vt:lpstr>"Glitch" Fix Allocation </vt:lpstr>
      <vt:lpstr>New Judges Calc. (1 FTE per)</vt:lpstr>
      <vt:lpstr>3% S&amp;B Increase</vt:lpstr>
      <vt:lpstr>Jury Allocation Calc. </vt:lpstr>
      <vt:lpstr>Unspent Budgeted Funds (22-23)</vt:lpstr>
      <vt:lpstr>Cumulative Excess (22-23) </vt:lpstr>
      <vt:lpstr>Peer Group Comparison </vt:lpstr>
      <vt:lpstr>Reduction Exercise </vt:lpstr>
      <vt:lpstr>'BUDGET CALCULATION '!Print_Area</vt:lpstr>
      <vt:lpstr>'Cumulative Excess (22-23) '!Print_Area</vt:lpstr>
      <vt:lpstr>'Jury Allocation Calc. '!Print_Area</vt:lpstr>
      <vt:lpstr>'Jury Shortfall Calc. '!Print_Area</vt:lpstr>
      <vt:lpstr>'"Glitch" Fix Allocation '!Print_Titles</vt:lpstr>
      <vt:lpstr>'BUDGET CALCULATION '!Print_Titles</vt:lpstr>
      <vt:lpstr>'Issue Requests '!Print_Titles</vt:lpstr>
      <vt:lpstr>'Jury Allocation Calc. '!Print_Titles</vt:lpstr>
      <vt:lpstr>'Jury Shortfall Calc. '!Print_Titles</vt:lpstr>
      <vt:lpstr>'Peer Group Comparison '!Print_Titles</vt:lpstr>
      <vt:lpstr>'Reduction Exercise '!Print_Titles</vt:lpstr>
      <vt:lpstr>'Unspent Budgeted Funds (22-23)'!Print_Titles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gkolchakian</dc:creator>
  <cp:lastModifiedBy>Griffin Kolchakian</cp:lastModifiedBy>
  <cp:lastPrinted>2024-07-22T12:08:38Z</cp:lastPrinted>
  <dcterms:created xsi:type="dcterms:W3CDTF">2023-05-23T19:47:21Z</dcterms:created>
  <dcterms:modified xsi:type="dcterms:W3CDTF">2024-10-07T14:04:16Z</dcterms:modified>
</cp:coreProperties>
</file>