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LCCOCSRV19\SharedAll\CCOC Committees\1- Budget Committee\2023 Meetings\"/>
    </mc:Choice>
  </mc:AlternateContent>
  <xr:revisionPtr revIDLastSave="0" documentId="13_ncr:1_{05AC2145-C877-488C-9BB3-9ACB28851EE4}" xr6:coauthVersionLast="47" xr6:coauthVersionMax="47" xr10:uidLastSave="{00000000-0000-0000-0000-000000000000}"/>
  <bookViews>
    <workbookView xWindow="28680" yWindow="-120" windowWidth="29040" windowHeight="15840" tabRatio="869" activeTab="2" xr2:uid="{38CFC309-A274-4488-94D0-824C27C05306}"/>
  </bookViews>
  <sheets>
    <sheet name="New Revenue Summary" sheetId="8" r:id="rId1"/>
    <sheet name="Issue Requests " sheetId="26" r:id="rId2"/>
    <sheet name="BUDGET CALCULATION " sheetId="62" r:id="rId3"/>
    <sheet name="FRS Calc.   " sheetId="40" r:id="rId4"/>
    <sheet name="FRS Blended Rate" sheetId="67" r:id="rId5"/>
    <sheet name="WWM Applied to $453.2M " sheetId="24" r:id="rId6"/>
    <sheet name="WWM Applied to $453.2M (by PG)" sheetId="52" r:id="rId7"/>
    <sheet name="UBF (21-22 Settle-Up) " sheetId="39" r:id="rId8"/>
    <sheet name="Additional CE (21-22) " sheetId="29" r:id="rId9"/>
    <sheet name="Peer Group Comparison " sheetId="27" r:id="rId10"/>
    <sheet name="Reduction Exercise " sheetId="38" r:id="rId11"/>
  </sheets>
  <definedNames>
    <definedName name="_xlnm._FilterDatabase" localSheetId="2" hidden="1">'BUDGET CALCULATION '!$A$1:$M$68</definedName>
    <definedName name="_xlnm._FilterDatabase" localSheetId="3" hidden="1">'FRS Calc.   '!$A$1:$E$303</definedName>
    <definedName name="_xlnm._FilterDatabase" localSheetId="1" hidden="1">'Issue Requests '!$A$1:$U$1</definedName>
    <definedName name="_xlnm._FilterDatabase" localSheetId="10" hidden="1">'Reduction Exercise '!$A$2:$C$69</definedName>
    <definedName name="_xlnm._FilterDatabase" localSheetId="7" hidden="1">'UBF (21-22 Settle-Up) '!$A$1:$L$68</definedName>
    <definedName name="_xlnm._FilterDatabase" localSheetId="5" hidden="1">'WWM Applied to $453.2M '!$A$2:$G$69</definedName>
    <definedName name="_xlnm.Print_Area" localSheetId="8">'Additional CE (21-22) '!$A$1:$B$17</definedName>
    <definedName name="_xlnm.Print_Area" localSheetId="2">'BUDGET CALCULATION '!$A$1:$M$76</definedName>
    <definedName name="_xlnm.Print_Area" localSheetId="0">'New Revenue Summary'!$A$1:$B$16</definedName>
    <definedName name="_xlnm.Print_Titles" localSheetId="2">'BUDGET CALCULATION '!$A:$B,'BUDGET CALCULATION '!$1:$1</definedName>
    <definedName name="_xlnm.Print_Titles" localSheetId="1">'Issue Requests '!$A:$B,'Issue Requests '!$1:$1</definedName>
    <definedName name="_xlnm.Print_Titles" localSheetId="9">'Peer Group Comparison '!$1:$2</definedName>
    <definedName name="_xlnm.Print_Titles" localSheetId="10">'Reduction Exercise '!$A:$B,'Reduction Exercise '!$2:$2</definedName>
    <definedName name="_xlnm.Print_Titles" localSheetId="7">'UBF (21-22 Settle-Up) '!$1:$1</definedName>
    <definedName name="_xlnm.Print_Titles" localSheetId="5">'WWM Applied to $453.2M '!$A:$B,'WWM Applied to $453.2M '!$2:$2</definedName>
    <definedName name="_xlnm.Print_Titles" localSheetId="6">'WWM Applied to $453.2M (by PG)'!$2:$2</definedName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'UBF (21-22 Settle-Up) '!$J$60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52" l="1"/>
  <c r="B21" i="8"/>
  <c r="B22" i="8" s="1"/>
  <c r="J359" i="67" l="1"/>
  <c r="I70" i="62"/>
  <c r="I57" i="26" l="1"/>
  <c r="R57" i="26"/>
  <c r="I62" i="26" l="1"/>
  <c r="H62" i="26" l="1"/>
  <c r="R62" i="26" l="1"/>
  <c r="K28" i="26" l="1"/>
  <c r="I74" i="26" l="1"/>
  <c r="H15" i="26" l="1"/>
  <c r="D1" i="38" l="1"/>
  <c r="D66" i="38"/>
  <c r="R45" i="26" l="1"/>
  <c r="H55" i="26"/>
  <c r="O59" i="26" l="1"/>
  <c r="L59" i="26"/>
  <c r="C2" i="67" l="1"/>
  <c r="E2" i="67"/>
  <c r="G2" i="67"/>
  <c r="I2" i="67"/>
  <c r="N2" i="67"/>
  <c r="P2" i="67"/>
  <c r="R2" i="67"/>
  <c r="T2" i="67"/>
  <c r="C3" i="67"/>
  <c r="E3" i="67"/>
  <c r="G3" i="67"/>
  <c r="I3" i="67"/>
  <c r="N3" i="67"/>
  <c r="P3" i="67"/>
  <c r="R3" i="67"/>
  <c r="T3" i="67"/>
  <c r="T16" i="67" s="1"/>
  <c r="C4" i="67"/>
  <c r="E4" i="67"/>
  <c r="G4" i="67"/>
  <c r="I4" i="67"/>
  <c r="N4" i="67"/>
  <c r="P4" i="67"/>
  <c r="R4" i="67"/>
  <c r="T4" i="67"/>
  <c r="C5" i="67"/>
  <c r="E5" i="67"/>
  <c r="G5" i="67"/>
  <c r="I5" i="67"/>
  <c r="N5" i="67"/>
  <c r="P5" i="67"/>
  <c r="R5" i="67"/>
  <c r="T5" i="67"/>
  <c r="C6" i="67"/>
  <c r="E6" i="67"/>
  <c r="G6" i="67"/>
  <c r="I6" i="67"/>
  <c r="N6" i="67"/>
  <c r="P6" i="67"/>
  <c r="R6" i="67"/>
  <c r="T6" i="67"/>
  <c r="C7" i="67"/>
  <c r="E7" i="67"/>
  <c r="G7" i="67"/>
  <c r="I7" i="67"/>
  <c r="N7" i="67"/>
  <c r="P7" i="67"/>
  <c r="R7" i="67"/>
  <c r="T7" i="67"/>
  <c r="C8" i="67"/>
  <c r="E8" i="67"/>
  <c r="G8" i="67"/>
  <c r="I8" i="67"/>
  <c r="N8" i="67"/>
  <c r="P8" i="67"/>
  <c r="R8" i="67"/>
  <c r="T8" i="67"/>
  <c r="C9" i="67"/>
  <c r="E9" i="67"/>
  <c r="G9" i="67"/>
  <c r="I9" i="67"/>
  <c r="N9" i="67"/>
  <c r="P9" i="67"/>
  <c r="R9" i="67"/>
  <c r="T9" i="67"/>
  <c r="C10" i="67"/>
  <c r="E10" i="67"/>
  <c r="G10" i="67"/>
  <c r="I10" i="67"/>
  <c r="N13" i="67"/>
  <c r="P13" i="67"/>
  <c r="D23" i="67"/>
  <c r="E23" i="67"/>
  <c r="D24" i="67"/>
  <c r="E24" i="67"/>
  <c r="D25" i="67"/>
  <c r="E25" i="67"/>
  <c r="D26" i="67"/>
  <c r="E26" i="67"/>
  <c r="C27" i="67"/>
  <c r="D28" i="67"/>
  <c r="E28" i="67"/>
  <c r="D29" i="67"/>
  <c r="E29" i="67"/>
  <c r="D30" i="67"/>
  <c r="E30" i="67"/>
  <c r="D31" i="67"/>
  <c r="E31" i="67"/>
  <c r="C32" i="67"/>
  <c r="D33" i="67"/>
  <c r="E33" i="67"/>
  <c r="D34" i="67"/>
  <c r="E34" i="67"/>
  <c r="D35" i="67"/>
  <c r="E35" i="67"/>
  <c r="D36" i="67"/>
  <c r="E36" i="67"/>
  <c r="C37" i="67"/>
  <c r="D38" i="67"/>
  <c r="E38" i="67"/>
  <c r="D39" i="67"/>
  <c r="E39" i="67"/>
  <c r="D40" i="67"/>
  <c r="E40" i="67"/>
  <c r="D41" i="67"/>
  <c r="E41" i="67"/>
  <c r="C42" i="67"/>
  <c r="D43" i="67"/>
  <c r="E43" i="67"/>
  <c r="D44" i="67"/>
  <c r="E44" i="67"/>
  <c r="D45" i="67"/>
  <c r="E45" i="67"/>
  <c r="D46" i="67"/>
  <c r="E46" i="67"/>
  <c r="C47" i="67"/>
  <c r="D48" i="67"/>
  <c r="E48" i="67"/>
  <c r="E52" i="67" s="1"/>
  <c r="D49" i="67"/>
  <c r="E49" i="67"/>
  <c r="D50" i="67"/>
  <c r="E50" i="67"/>
  <c r="D51" i="67"/>
  <c r="E51" i="67"/>
  <c r="C52" i="67"/>
  <c r="D53" i="67"/>
  <c r="E53" i="67"/>
  <c r="D54" i="67"/>
  <c r="D57" i="67" s="1"/>
  <c r="E54" i="67"/>
  <c r="D55" i="67"/>
  <c r="E55" i="67"/>
  <c r="D56" i="67"/>
  <c r="E56" i="67"/>
  <c r="C57" i="67"/>
  <c r="D58" i="67"/>
  <c r="E58" i="67"/>
  <c r="D59" i="67"/>
  <c r="E59" i="67"/>
  <c r="D60" i="67"/>
  <c r="E60" i="67"/>
  <c r="D61" i="67"/>
  <c r="E61" i="67"/>
  <c r="C62" i="67"/>
  <c r="D63" i="67"/>
  <c r="E63" i="67"/>
  <c r="D64" i="67"/>
  <c r="E64" i="67"/>
  <c r="D65" i="67"/>
  <c r="E65" i="67"/>
  <c r="D66" i="67"/>
  <c r="E66" i="67"/>
  <c r="C67" i="67"/>
  <c r="D68" i="67"/>
  <c r="E68" i="67"/>
  <c r="D69" i="67"/>
  <c r="E69" i="67"/>
  <c r="D70" i="67"/>
  <c r="E70" i="67"/>
  <c r="D71" i="67"/>
  <c r="E71" i="67"/>
  <c r="C72" i="67"/>
  <c r="D73" i="67"/>
  <c r="E73" i="67"/>
  <c r="D74" i="67"/>
  <c r="E74" i="67"/>
  <c r="D75" i="67"/>
  <c r="E75" i="67"/>
  <c r="D76" i="67"/>
  <c r="E76" i="67"/>
  <c r="C77" i="67"/>
  <c r="D78" i="67"/>
  <c r="E78" i="67"/>
  <c r="D79" i="67"/>
  <c r="E79" i="67"/>
  <c r="E82" i="67" s="1"/>
  <c r="D80" i="67"/>
  <c r="E80" i="67"/>
  <c r="D81" i="67"/>
  <c r="E81" i="67"/>
  <c r="C82" i="67"/>
  <c r="D83" i="67"/>
  <c r="D87" i="67" s="1"/>
  <c r="E83" i="67"/>
  <c r="D84" i="67"/>
  <c r="E84" i="67"/>
  <c r="D85" i="67"/>
  <c r="E85" i="67"/>
  <c r="D86" i="67"/>
  <c r="E86" i="67"/>
  <c r="C87" i="67"/>
  <c r="D88" i="67"/>
  <c r="E88" i="67"/>
  <c r="E92" i="67" s="1"/>
  <c r="D89" i="67"/>
  <c r="E89" i="67"/>
  <c r="D90" i="67"/>
  <c r="E90" i="67"/>
  <c r="D91" i="67"/>
  <c r="E91" i="67"/>
  <c r="C92" i="67"/>
  <c r="D93" i="67"/>
  <c r="E93" i="67"/>
  <c r="D94" i="67"/>
  <c r="E94" i="67"/>
  <c r="D95" i="67"/>
  <c r="E95" i="67"/>
  <c r="D96" i="67"/>
  <c r="E96" i="67"/>
  <c r="C97" i="67"/>
  <c r="D98" i="67"/>
  <c r="E98" i="67"/>
  <c r="D99" i="67"/>
  <c r="E99" i="67"/>
  <c r="D100" i="67"/>
  <c r="E100" i="67"/>
  <c r="D101" i="67"/>
  <c r="E101" i="67"/>
  <c r="C102" i="67"/>
  <c r="D103" i="67"/>
  <c r="E103" i="67"/>
  <c r="D104" i="67"/>
  <c r="E104" i="67"/>
  <c r="D105" i="67"/>
  <c r="E105" i="67"/>
  <c r="D106" i="67"/>
  <c r="E106" i="67"/>
  <c r="C107" i="67"/>
  <c r="D108" i="67"/>
  <c r="E108" i="67"/>
  <c r="D109" i="67"/>
  <c r="E109" i="67"/>
  <c r="D110" i="67"/>
  <c r="E110" i="67"/>
  <c r="D111" i="67"/>
  <c r="E111" i="67"/>
  <c r="C112" i="67"/>
  <c r="D113" i="67"/>
  <c r="E113" i="67"/>
  <c r="D114" i="67"/>
  <c r="E114" i="67"/>
  <c r="D115" i="67"/>
  <c r="E115" i="67"/>
  <c r="D116" i="67"/>
  <c r="E116" i="67"/>
  <c r="C117" i="67"/>
  <c r="D118" i="67"/>
  <c r="E118" i="67"/>
  <c r="D119" i="67"/>
  <c r="E119" i="67"/>
  <c r="D120" i="67"/>
  <c r="E120" i="67"/>
  <c r="D121" i="67"/>
  <c r="E121" i="67"/>
  <c r="C122" i="67"/>
  <c r="D123" i="67"/>
  <c r="E123" i="67"/>
  <c r="D124" i="67"/>
  <c r="E124" i="67"/>
  <c r="D125" i="67"/>
  <c r="E125" i="67"/>
  <c r="D126" i="67"/>
  <c r="E126" i="67"/>
  <c r="C127" i="67"/>
  <c r="D128" i="67"/>
  <c r="E128" i="67"/>
  <c r="D129" i="67"/>
  <c r="E129" i="67"/>
  <c r="D130" i="67"/>
  <c r="E130" i="67"/>
  <c r="D131" i="67"/>
  <c r="E131" i="67"/>
  <c r="C132" i="67"/>
  <c r="D133" i="67"/>
  <c r="E133" i="67"/>
  <c r="D134" i="67"/>
  <c r="E134" i="67"/>
  <c r="D135" i="67"/>
  <c r="E135" i="67"/>
  <c r="D136" i="67"/>
  <c r="E136" i="67"/>
  <c r="C137" i="67"/>
  <c r="D138" i="67"/>
  <c r="E138" i="67"/>
  <c r="D139" i="67"/>
  <c r="E139" i="67"/>
  <c r="D140" i="67"/>
  <c r="E140" i="67"/>
  <c r="D141" i="67"/>
  <c r="E141" i="67"/>
  <c r="C142" i="67"/>
  <c r="D143" i="67"/>
  <c r="E143" i="67"/>
  <c r="D144" i="67"/>
  <c r="E144" i="67"/>
  <c r="D145" i="67"/>
  <c r="E145" i="67"/>
  <c r="D146" i="67"/>
  <c r="E146" i="67"/>
  <c r="C147" i="67"/>
  <c r="D148" i="67"/>
  <c r="E148" i="67"/>
  <c r="D149" i="67"/>
  <c r="E149" i="67"/>
  <c r="D150" i="67"/>
  <c r="E150" i="67"/>
  <c r="D151" i="67"/>
  <c r="E151" i="67"/>
  <c r="C152" i="67"/>
  <c r="D153" i="67"/>
  <c r="E153" i="67"/>
  <c r="D154" i="67"/>
  <c r="E154" i="67"/>
  <c r="D155" i="67"/>
  <c r="E155" i="67"/>
  <c r="D156" i="67"/>
  <c r="E156" i="67"/>
  <c r="C157" i="67"/>
  <c r="D158" i="67"/>
  <c r="E158" i="67"/>
  <c r="D159" i="67"/>
  <c r="E159" i="67"/>
  <c r="D160" i="67"/>
  <c r="E160" i="67"/>
  <c r="D161" i="67"/>
  <c r="E161" i="67"/>
  <c r="C162" i="67"/>
  <c r="D163" i="67"/>
  <c r="E163" i="67"/>
  <c r="D164" i="67"/>
  <c r="E164" i="67"/>
  <c r="D165" i="67"/>
  <c r="E165" i="67"/>
  <c r="D166" i="67"/>
  <c r="E166" i="67"/>
  <c r="C167" i="67"/>
  <c r="D168" i="67"/>
  <c r="E168" i="67"/>
  <c r="D169" i="67"/>
  <c r="E169" i="67"/>
  <c r="D170" i="67"/>
  <c r="E170" i="67"/>
  <c r="D171" i="67"/>
  <c r="E171" i="67"/>
  <c r="C172" i="67"/>
  <c r="D173" i="67"/>
  <c r="E173" i="67"/>
  <c r="D174" i="67"/>
  <c r="E174" i="67"/>
  <c r="D175" i="67"/>
  <c r="E175" i="67"/>
  <c r="D176" i="67"/>
  <c r="E176" i="67"/>
  <c r="C177" i="67"/>
  <c r="D178" i="67"/>
  <c r="E178" i="67"/>
  <c r="D179" i="67"/>
  <c r="E179" i="67"/>
  <c r="D180" i="67"/>
  <c r="E180" i="67"/>
  <c r="D181" i="67"/>
  <c r="E181" i="67"/>
  <c r="C182" i="67"/>
  <c r="D183" i="67"/>
  <c r="E183" i="67"/>
  <c r="D184" i="67"/>
  <c r="E184" i="67"/>
  <c r="D185" i="67"/>
  <c r="E185" i="67"/>
  <c r="D186" i="67"/>
  <c r="E186" i="67"/>
  <c r="C187" i="67"/>
  <c r="D188" i="67"/>
  <c r="E188" i="67"/>
  <c r="D189" i="67"/>
  <c r="E189" i="67"/>
  <c r="D190" i="67"/>
  <c r="E190" i="67"/>
  <c r="D191" i="67"/>
  <c r="E191" i="67"/>
  <c r="C192" i="67"/>
  <c r="D193" i="67"/>
  <c r="E193" i="67"/>
  <c r="D194" i="67"/>
  <c r="E194" i="67"/>
  <c r="D195" i="67"/>
  <c r="E195" i="67"/>
  <c r="D196" i="67"/>
  <c r="E196" i="67"/>
  <c r="C197" i="67"/>
  <c r="D198" i="67"/>
  <c r="E198" i="67"/>
  <c r="D199" i="67"/>
  <c r="E199" i="67"/>
  <c r="D200" i="67"/>
  <c r="E200" i="67"/>
  <c r="D201" i="67"/>
  <c r="E201" i="67"/>
  <c r="C202" i="67"/>
  <c r="D203" i="67"/>
  <c r="E203" i="67"/>
  <c r="D204" i="67"/>
  <c r="E204" i="67"/>
  <c r="D205" i="67"/>
  <c r="E205" i="67"/>
  <c r="D206" i="67"/>
  <c r="E206" i="67"/>
  <c r="C207" i="67"/>
  <c r="D208" i="67"/>
  <c r="E208" i="67"/>
  <c r="D209" i="67"/>
  <c r="E209" i="67"/>
  <c r="D210" i="67"/>
  <c r="E210" i="67"/>
  <c r="D211" i="67"/>
  <c r="E211" i="67"/>
  <c r="C212" i="67"/>
  <c r="D213" i="67"/>
  <c r="D217" i="67" s="1"/>
  <c r="E213" i="67"/>
  <c r="E217" i="67" s="1"/>
  <c r="D214" i="67"/>
  <c r="E214" i="67"/>
  <c r="D215" i="67"/>
  <c r="E215" i="67"/>
  <c r="D216" i="67"/>
  <c r="E216" i="67"/>
  <c r="C217" i="67"/>
  <c r="D218" i="67"/>
  <c r="E218" i="67"/>
  <c r="D219" i="67"/>
  <c r="E219" i="67"/>
  <c r="D220" i="67"/>
  <c r="E220" i="67"/>
  <c r="D221" i="67"/>
  <c r="E221" i="67"/>
  <c r="C222" i="67"/>
  <c r="D223" i="67"/>
  <c r="E223" i="67"/>
  <c r="D224" i="67"/>
  <c r="E224" i="67"/>
  <c r="D225" i="67"/>
  <c r="E225" i="67"/>
  <c r="D226" i="67"/>
  <c r="E226" i="67"/>
  <c r="C227" i="67"/>
  <c r="D228" i="67"/>
  <c r="E228" i="67"/>
  <c r="D229" i="67"/>
  <c r="E229" i="67"/>
  <c r="D230" i="67"/>
  <c r="E230" i="67"/>
  <c r="D231" i="67"/>
  <c r="E231" i="67"/>
  <c r="C232" i="67"/>
  <c r="D233" i="67"/>
  <c r="E233" i="67"/>
  <c r="D234" i="67"/>
  <c r="E234" i="67"/>
  <c r="D235" i="67"/>
  <c r="E235" i="67"/>
  <c r="D236" i="67"/>
  <c r="E236" i="67"/>
  <c r="C237" i="67"/>
  <c r="D238" i="67"/>
  <c r="E238" i="67"/>
  <c r="D239" i="67"/>
  <c r="E239" i="67"/>
  <c r="E242" i="67" s="1"/>
  <c r="D240" i="67"/>
  <c r="E240" i="67"/>
  <c r="D241" i="67"/>
  <c r="E241" i="67"/>
  <c r="C242" i="67"/>
  <c r="D243" i="67"/>
  <c r="E243" i="67"/>
  <c r="D244" i="67"/>
  <c r="E244" i="67"/>
  <c r="D245" i="67"/>
  <c r="E245" i="67"/>
  <c r="D246" i="67"/>
  <c r="E246" i="67"/>
  <c r="C247" i="67"/>
  <c r="D248" i="67"/>
  <c r="E248" i="67"/>
  <c r="D249" i="67"/>
  <c r="E249" i="67"/>
  <c r="D250" i="67"/>
  <c r="E250" i="67"/>
  <c r="D251" i="67"/>
  <c r="E251" i="67"/>
  <c r="C252" i="67"/>
  <c r="D253" i="67"/>
  <c r="E253" i="67"/>
  <c r="D254" i="67"/>
  <c r="E254" i="67"/>
  <c r="D255" i="67"/>
  <c r="E255" i="67"/>
  <c r="D256" i="67"/>
  <c r="E256" i="67"/>
  <c r="C257" i="67"/>
  <c r="D258" i="67"/>
  <c r="E258" i="67"/>
  <c r="D259" i="67"/>
  <c r="E259" i="67"/>
  <c r="D260" i="67"/>
  <c r="E260" i="67"/>
  <c r="D261" i="67"/>
  <c r="E261" i="67"/>
  <c r="C262" i="67"/>
  <c r="D263" i="67"/>
  <c r="E263" i="67"/>
  <c r="D264" i="67"/>
  <c r="E264" i="67"/>
  <c r="D265" i="67"/>
  <c r="E265" i="67"/>
  <c r="D266" i="67"/>
  <c r="E266" i="67"/>
  <c r="C267" i="67"/>
  <c r="D268" i="67"/>
  <c r="E268" i="67"/>
  <c r="D269" i="67"/>
  <c r="E269" i="67"/>
  <c r="D270" i="67"/>
  <c r="E270" i="67"/>
  <c r="D271" i="67"/>
  <c r="E271" i="67"/>
  <c r="C272" i="67"/>
  <c r="D273" i="67"/>
  <c r="E273" i="67"/>
  <c r="D274" i="67"/>
  <c r="E274" i="67"/>
  <c r="D275" i="67"/>
  <c r="E275" i="67"/>
  <c r="D276" i="67"/>
  <c r="E276" i="67"/>
  <c r="C277" i="67"/>
  <c r="D278" i="67"/>
  <c r="E278" i="67"/>
  <c r="D279" i="67"/>
  <c r="E279" i="67"/>
  <c r="D280" i="67"/>
  <c r="E280" i="67"/>
  <c r="D281" i="67"/>
  <c r="E281" i="67"/>
  <c r="C282" i="67"/>
  <c r="D283" i="67"/>
  <c r="E283" i="67"/>
  <c r="D284" i="67"/>
  <c r="E284" i="67"/>
  <c r="D285" i="67"/>
  <c r="E285" i="67"/>
  <c r="D286" i="67"/>
  <c r="E286" i="67"/>
  <c r="C287" i="67"/>
  <c r="D288" i="67"/>
  <c r="E288" i="67"/>
  <c r="D289" i="67"/>
  <c r="E289" i="67"/>
  <c r="D290" i="67"/>
  <c r="E290" i="67"/>
  <c r="D291" i="67"/>
  <c r="E291" i="67"/>
  <c r="C292" i="67"/>
  <c r="D293" i="67"/>
  <c r="E293" i="67"/>
  <c r="D294" i="67"/>
  <c r="E294" i="67"/>
  <c r="D295" i="67"/>
  <c r="E295" i="67"/>
  <c r="D296" i="67"/>
  <c r="E296" i="67"/>
  <c r="C297" i="67"/>
  <c r="D298" i="67"/>
  <c r="E298" i="67"/>
  <c r="D299" i="67"/>
  <c r="E299" i="67"/>
  <c r="D300" i="67"/>
  <c r="E300" i="67"/>
  <c r="D301" i="67"/>
  <c r="E301" i="67"/>
  <c r="C302" i="67"/>
  <c r="D303" i="67"/>
  <c r="E303" i="67"/>
  <c r="D304" i="67"/>
  <c r="E304" i="67"/>
  <c r="D305" i="67"/>
  <c r="E305" i="67"/>
  <c r="D306" i="67"/>
  <c r="E306" i="67"/>
  <c r="C307" i="67"/>
  <c r="D308" i="67"/>
  <c r="E308" i="67"/>
  <c r="D309" i="67"/>
  <c r="E309" i="67"/>
  <c r="D310" i="67"/>
  <c r="E310" i="67"/>
  <c r="D311" i="67"/>
  <c r="E311" i="67"/>
  <c r="C312" i="67"/>
  <c r="D313" i="67"/>
  <c r="E313" i="67"/>
  <c r="D314" i="67"/>
  <c r="E314" i="67"/>
  <c r="D315" i="67"/>
  <c r="E315" i="67"/>
  <c r="D316" i="67"/>
  <c r="E316" i="67"/>
  <c r="C317" i="67"/>
  <c r="D317" i="67"/>
  <c r="D318" i="67"/>
  <c r="E318" i="67"/>
  <c r="D319" i="67"/>
  <c r="E319" i="67"/>
  <c r="E322" i="67" s="1"/>
  <c r="D320" i="67"/>
  <c r="E320" i="67"/>
  <c r="D321" i="67"/>
  <c r="E321" i="67"/>
  <c r="C322" i="67"/>
  <c r="D323" i="67"/>
  <c r="E323" i="67"/>
  <c r="D324" i="67"/>
  <c r="E324" i="67"/>
  <c r="D325" i="67"/>
  <c r="E325" i="67"/>
  <c r="D326" i="67"/>
  <c r="E326" i="67"/>
  <c r="C327" i="67"/>
  <c r="D328" i="67"/>
  <c r="E328" i="67"/>
  <c r="D329" i="67"/>
  <c r="E329" i="67"/>
  <c r="D330" i="67"/>
  <c r="E330" i="67"/>
  <c r="D331" i="67"/>
  <c r="E331" i="67"/>
  <c r="C332" i="67"/>
  <c r="D333" i="67"/>
  <c r="E333" i="67"/>
  <c r="D334" i="67"/>
  <c r="E334" i="67"/>
  <c r="D335" i="67"/>
  <c r="E335" i="67"/>
  <c r="D336" i="67"/>
  <c r="E336" i="67"/>
  <c r="C337" i="67"/>
  <c r="D338" i="67"/>
  <c r="E338" i="67"/>
  <c r="E342" i="67" s="1"/>
  <c r="D339" i="67"/>
  <c r="E339" i="67"/>
  <c r="D340" i="67"/>
  <c r="E340" i="67"/>
  <c r="D341" i="67"/>
  <c r="E341" i="67"/>
  <c r="C342" i="67"/>
  <c r="D343" i="67"/>
  <c r="E343" i="67"/>
  <c r="D344" i="67"/>
  <c r="E344" i="67"/>
  <c r="D345" i="67"/>
  <c r="E345" i="67"/>
  <c r="D346" i="67"/>
  <c r="E346" i="67"/>
  <c r="C347" i="67"/>
  <c r="D348" i="67"/>
  <c r="E348" i="67"/>
  <c r="D349" i="67"/>
  <c r="E349" i="67"/>
  <c r="D350" i="67"/>
  <c r="E350" i="67"/>
  <c r="D351" i="67"/>
  <c r="E351" i="67"/>
  <c r="C352" i="67"/>
  <c r="D353" i="67"/>
  <c r="E353" i="67"/>
  <c r="D354" i="67"/>
  <c r="E354" i="67"/>
  <c r="D355" i="67"/>
  <c r="E355" i="67"/>
  <c r="D356" i="67"/>
  <c r="E356" i="67"/>
  <c r="C357" i="67"/>
  <c r="D47" i="67" l="1"/>
  <c r="D132" i="67"/>
  <c r="D117" i="67"/>
  <c r="D97" i="67"/>
  <c r="D222" i="67"/>
  <c r="E222" i="67"/>
  <c r="E292" i="67"/>
  <c r="E202" i="67"/>
  <c r="D177" i="67"/>
  <c r="D167" i="67"/>
  <c r="D157" i="67"/>
  <c r="P15" i="67"/>
  <c r="F184" i="67" s="1"/>
  <c r="G184" i="67" s="1"/>
  <c r="D247" i="67"/>
  <c r="D77" i="67"/>
  <c r="D297" i="67"/>
  <c r="D137" i="67"/>
  <c r="D152" i="67"/>
  <c r="D142" i="67"/>
  <c r="E117" i="67"/>
  <c r="D342" i="67"/>
  <c r="D107" i="67"/>
  <c r="D332" i="67"/>
  <c r="D272" i="67"/>
  <c r="E72" i="67"/>
  <c r="E47" i="67"/>
  <c r="E122" i="67"/>
  <c r="D262" i="67"/>
  <c r="E27" i="67"/>
  <c r="E262" i="67"/>
  <c r="E182" i="67"/>
  <c r="D357" i="67"/>
  <c r="D182" i="67"/>
  <c r="E62" i="67"/>
  <c r="E302" i="67"/>
  <c r="R15" i="67"/>
  <c r="F40" i="67" s="1"/>
  <c r="P17" i="67"/>
  <c r="N17" i="67"/>
  <c r="D172" i="67"/>
  <c r="D277" i="67"/>
  <c r="E162" i="67"/>
  <c r="D212" i="67"/>
  <c r="E197" i="67"/>
  <c r="E142" i="67"/>
  <c r="D327" i="67"/>
  <c r="D232" i="67"/>
  <c r="D197" i="67"/>
  <c r="G144" i="67"/>
  <c r="F210" i="67"/>
  <c r="G210" i="67" s="1"/>
  <c r="F70" i="67"/>
  <c r="G70" i="67" s="1"/>
  <c r="F145" i="67"/>
  <c r="G145" i="67" s="1"/>
  <c r="F270" i="67"/>
  <c r="G270" i="67" s="1"/>
  <c r="F330" i="67"/>
  <c r="G330" i="67" s="1"/>
  <c r="F350" i="67"/>
  <c r="G350" i="67" s="1"/>
  <c r="F50" i="67"/>
  <c r="G50" i="67" s="1"/>
  <c r="F85" i="67"/>
  <c r="G85" i="67" s="1"/>
  <c r="F105" i="67"/>
  <c r="G105" i="67" s="1"/>
  <c r="F90" i="67"/>
  <c r="G90" i="67" s="1"/>
  <c r="F140" i="67"/>
  <c r="G140" i="67" s="1"/>
  <c r="F285" i="67"/>
  <c r="G285" i="67" s="1"/>
  <c r="F310" i="67"/>
  <c r="G310" i="67" s="1"/>
  <c r="F245" i="67"/>
  <c r="G245" i="67" s="1"/>
  <c r="F325" i="67"/>
  <c r="G325" i="67" s="1"/>
  <c r="F160" i="67"/>
  <c r="G160" i="67" s="1"/>
  <c r="F100" i="67"/>
  <c r="G100" i="67" s="1"/>
  <c r="F120" i="67"/>
  <c r="F345" i="67"/>
  <c r="G345" i="67" s="1"/>
  <c r="F110" i="67"/>
  <c r="G110" i="67" s="1"/>
  <c r="F80" i="67"/>
  <c r="G80" i="67" s="1"/>
  <c r="F180" i="67"/>
  <c r="G180" i="67" s="1"/>
  <c r="F155" i="67"/>
  <c r="G155" i="67" s="1"/>
  <c r="F260" i="67"/>
  <c r="G260" i="67" s="1"/>
  <c r="F280" i="67"/>
  <c r="G280" i="67" s="1"/>
  <c r="F60" i="67"/>
  <c r="G60" i="67" s="1"/>
  <c r="F95" i="67"/>
  <c r="G95" i="67" s="1"/>
  <c r="F340" i="67"/>
  <c r="G340" i="67" s="1"/>
  <c r="F175" i="67"/>
  <c r="G175" i="67" s="1"/>
  <c r="F295" i="67"/>
  <c r="G295" i="67" s="1"/>
  <c r="F315" i="67"/>
  <c r="G315" i="67" s="1"/>
  <c r="F130" i="67"/>
  <c r="G130" i="67" s="1"/>
  <c r="F255" i="67"/>
  <c r="G255" i="67" s="1"/>
  <c r="F275" i="67"/>
  <c r="G275" i="67" s="1"/>
  <c r="F55" i="67"/>
  <c r="G55" i="67" s="1"/>
  <c r="F335" i="67"/>
  <c r="G335" i="67" s="1"/>
  <c r="F355" i="67"/>
  <c r="G355" i="67" s="1"/>
  <c r="F290" i="67"/>
  <c r="G290" i="67" s="1"/>
  <c r="F54" i="67"/>
  <c r="G54" i="67" s="1"/>
  <c r="F204" i="67"/>
  <c r="G204" i="67" s="1"/>
  <c r="F224" i="67"/>
  <c r="G224" i="67" s="1"/>
  <c r="F244" i="67"/>
  <c r="G244" i="67" s="1"/>
  <c r="F324" i="67"/>
  <c r="G324" i="67" s="1"/>
  <c r="F159" i="67"/>
  <c r="G159" i="67" s="1"/>
  <c r="F99" i="67"/>
  <c r="G99" i="67" s="1"/>
  <c r="F299" i="67"/>
  <c r="G299" i="67" s="1"/>
  <c r="F269" i="67"/>
  <c r="G269" i="67" s="1"/>
  <c r="F154" i="67"/>
  <c r="G154" i="67" s="1"/>
  <c r="F179" i="67"/>
  <c r="G179" i="67" s="1"/>
  <c r="F219" i="67"/>
  <c r="G219" i="67" s="1"/>
  <c r="F259" i="67"/>
  <c r="G259" i="67" s="1"/>
  <c r="F339" i="67"/>
  <c r="G339" i="67" s="1"/>
  <c r="F294" i="67"/>
  <c r="G294" i="67" s="1"/>
  <c r="F149" i="67"/>
  <c r="G149" i="67" s="1"/>
  <c r="F254" i="67"/>
  <c r="G254" i="67" s="1"/>
  <c r="F274" i="67"/>
  <c r="G274" i="67" s="1"/>
  <c r="F354" i="67"/>
  <c r="G354" i="67" s="1"/>
  <c r="F249" i="67"/>
  <c r="G249" i="67" s="1"/>
  <c r="F144" i="67"/>
  <c r="F229" i="67"/>
  <c r="G229" i="67" s="1"/>
  <c r="F164" i="67"/>
  <c r="G164" i="67" s="1"/>
  <c r="E327" i="67"/>
  <c r="E307" i="67"/>
  <c r="E287" i="67"/>
  <c r="E247" i="67"/>
  <c r="E207" i="67"/>
  <c r="D162" i="67"/>
  <c r="E87" i="67"/>
  <c r="D42" i="67"/>
  <c r="D27" i="67"/>
  <c r="R16" i="67"/>
  <c r="E127" i="67"/>
  <c r="E42" i="67"/>
  <c r="E232" i="67"/>
  <c r="E167" i="67"/>
  <c r="E147" i="67"/>
  <c r="E102" i="67"/>
  <c r="E312" i="67"/>
  <c r="D252" i="67"/>
  <c r="R19" i="67"/>
  <c r="D237" i="67"/>
  <c r="D192" i="67"/>
  <c r="D72" i="67"/>
  <c r="E32" i="67"/>
  <c r="P19" i="67"/>
  <c r="E152" i="67"/>
  <c r="D92" i="67"/>
  <c r="E57" i="67"/>
  <c r="D337" i="67"/>
  <c r="D312" i="67"/>
  <c r="D257" i="67"/>
  <c r="D112" i="67"/>
  <c r="E357" i="67"/>
  <c r="E277" i="67"/>
  <c r="E237" i="67"/>
  <c r="D32" i="67"/>
  <c r="E317" i="67"/>
  <c r="D227" i="67"/>
  <c r="G120" i="67"/>
  <c r="E77" i="67"/>
  <c r="D62" i="67"/>
  <c r="D307" i="67"/>
  <c r="E297" i="67"/>
  <c r="E282" i="67"/>
  <c r="P16" i="67"/>
  <c r="E212" i="67"/>
  <c r="D52" i="67"/>
  <c r="N16" i="67"/>
  <c r="D207" i="67"/>
  <c r="D147" i="67"/>
  <c r="E37" i="67"/>
  <c r="E347" i="67"/>
  <c r="D347" i="67"/>
  <c r="D302" i="67"/>
  <c r="D287" i="67"/>
  <c r="D282" i="67"/>
  <c r="E267" i="67"/>
  <c r="E157" i="67"/>
  <c r="E137" i="67"/>
  <c r="D102" i="67"/>
  <c r="E67" i="67"/>
  <c r="D267" i="67"/>
  <c r="D202" i="67"/>
  <c r="E187" i="67"/>
  <c r="D67" i="67"/>
  <c r="D352" i="67"/>
  <c r="D322" i="67"/>
  <c r="D292" i="67"/>
  <c r="D242" i="67"/>
  <c r="E227" i="67"/>
  <c r="D187" i="67"/>
  <c r="E132" i="67"/>
  <c r="D127" i="67"/>
  <c r="D122" i="67"/>
  <c r="E107" i="67"/>
  <c r="D82" i="67"/>
  <c r="D37" i="67"/>
  <c r="F64" i="67"/>
  <c r="G64" i="67" s="1"/>
  <c r="F29" i="67"/>
  <c r="G29" i="67" s="1"/>
  <c r="E332" i="67"/>
  <c r="E252" i="67"/>
  <c r="E172" i="67"/>
  <c r="N19" i="67"/>
  <c r="N15" i="67"/>
  <c r="T15" i="67"/>
  <c r="T18" i="67"/>
  <c r="T14" i="67"/>
  <c r="T19" i="67"/>
  <c r="R18" i="67"/>
  <c r="R14" i="67"/>
  <c r="E352" i="67"/>
  <c r="E272" i="67"/>
  <c r="E192" i="67"/>
  <c r="F129" i="67"/>
  <c r="G129" i="67" s="1"/>
  <c r="E112" i="67"/>
  <c r="F35" i="67"/>
  <c r="G35" i="67" s="1"/>
  <c r="P18" i="67"/>
  <c r="P14" i="67"/>
  <c r="N18" i="67"/>
  <c r="N14" i="67"/>
  <c r="T17" i="67"/>
  <c r="T13" i="67"/>
  <c r="F104" i="67"/>
  <c r="G104" i="67" s="1"/>
  <c r="F45" i="67"/>
  <c r="G45" i="67" s="1"/>
  <c r="R17" i="67"/>
  <c r="R13" i="67"/>
  <c r="E337" i="67"/>
  <c r="E257" i="67"/>
  <c r="E177" i="67"/>
  <c r="E97" i="67"/>
  <c r="F44" i="67"/>
  <c r="G44" i="67" s="1"/>
  <c r="M21" i="67"/>
  <c r="F334" i="67" l="1"/>
  <c r="G334" i="67" s="1"/>
  <c r="F199" i="67"/>
  <c r="G199" i="67" s="1"/>
  <c r="F284" i="67"/>
  <c r="G284" i="67" s="1"/>
  <c r="F134" i="67"/>
  <c r="G134" i="67" s="1"/>
  <c r="F24" i="67"/>
  <c r="G24" i="67" s="1"/>
  <c r="F84" i="67"/>
  <c r="G84" i="67" s="1"/>
  <c r="F189" i="67"/>
  <c r="G189" i="67" s="1"/>
  <c r="F214" i="67"/>
  <c r="G214" i="67" s="1"/>
  <c r="F344" i="67"/>
  <c r="G344" i="67" s="1"/>
  <c r="F139" i="67"/>
  <c r="G139" i="67" s="1"/>
  <c r="F89" i="67"/>
  <c r="G89" i="67" s="1"/>
  <c r="F59" i="67"/>
  <c r="G59" i="67" s="1"/>
  <c r="F69" i="67"/>
  <c r="G69" i="67" s="1"/>
  <c r="F194" i="67"/>
  <c r="G194" i="67" s="1"/>
  <c r="F319" i="67"/>
  <c r="G319" i="67" s="1"/>
  <c r="F304" i="67"/>
  <c r="G304" i="67" s="1"/>
  <c r="F209" i="67"/>
  <c r="G209" i="67" s="1"/>
  <c r="F234" i="67"/>
  <c r="G234" i="67" s="1"/>
  <c r="F239" i="67"/>
  <c r="G239" i="67" s="1"/>
  <c r="F124" i="67"/>
  <c r="G124" i="67" s="1"/>
  <c r="F94" i="67"/>
  <c r="G94" i="67" s="1"/>
  <c r="F169" i="67"/>
  <c r="G169" i="67" s="1"/>
  <c r="F174" i="67"/>
  <c r="G174" i="67" s="1"/>
  <c r="F119" i="67"/>
  <c r="G119" i="67" s="1"/>
  <c r="F349" i="67"/>
  <c r="G349" i="67" s="1"/>
  <c r="F309" i="67"/>
  <c r="G309" i="67" s="1"/>
  <c r="F34" i="67"/>
  <c r="G34" i="67" s="1"/>
  <c r="F314" i="67"/>
  <c r="G314" i="67" s="1"/>
  <c r="F39" i="67"/>
  <c r="G39" i="67" s="1"/>
  <c r="F49" i="67"/>
  <c r="G49" i="67" s="1"/>
  <c r="F74" i="67"/>
  <c r="G74" i="67" s="1"/>
  <c r="F289" i="67"/>
  <c r="G289" i="67" s="1"/>
  <c r="F329" i="67"/>
  <c r="G329" i="67" s="1"/>
  <c r="F264" i="67"/>
  <c r="G264" i="67" s="1"/>
  <c r="F79" i="67"/>
  <c r="G79" i="67" s="1"/>
  <c r="F114" i="67"/>
  <c r="G114" i="67" s="1"/>
  <c r="F109" i="67"/>
  <c r="G109" i="67" s="1"/>
  <c r="F279" i="67"/>
  <c r="G279" i="67" s="1"/>
  <c r="F265" i="67"/>
  <c r="G265" i="67" s="1"/>
  <c r="F230" i="67"/>
  <c r="G230" i="67" s="1"/>
  <c r="F150" i="67"/>
  <c r="G150" i="67" s="1"/>
  <c r="F320" i="67"/>
  <c r="G320" i="67" s="1"/>
  <c r="F225" i="67"/>
  <c r="G225" i="67" s="1"/>
  <c r="F250" i="67"/>
  <c r="G250" i="67" s="1"/>
  <c r="F235" i="67"/>
  <c r="G235" i="67" s="1"/>
  <c r="F240" i="67"/>
  <c r="G240" i="67" s="1"/>
  <c r="F205" i="67"/>
  <c r="G205" i="67" s="1"/>
  <c r="F125" i="67"/>
  <c r="G125" i="67" s="1"/>
  <c r="F215" i="67"/>
  <c r="G215" i="67" s="1"/>
  <c r="F220" i="67"/>
  <c r="G220" i="67" s="1"/>
  <c r="F185" i="67"/>
  <c r="G185" i="67" s="1"/>
  <c r="F25" i="67"/>
  <c r="G25" i="67" s="1"/>
  <c r="F195" i="67"/>
  <c r="G195" i="67" s="1"/>
  <c r="F200" i="67"/>
  <c r="G200" i="67" s="1"/>
  <c r="F65" i="67"/>
  <c r="G65" i="67" s="1"/>
  <c r="F190" i="67"/>
  <c r="G190" i="67" s="1"/>
  <c r="F30" i="67"/>
  <c r="G30" i="67" s="1"/>
  <c r="F115" i="67"/>
  <c r="G115" i="67" s="1"/>
  <c r="F300" i="67"/>
  <c r="G300" i="67" s="1"/>
  <c r="F305" i="67"/>
  <c r="G305" i="67" s="1"/>
  <c r="F170" i="67"/>
  <c r="G170" i="67" s="1"/>
  <c r="F75" i="67"/>
  <c r="G75" i="67" s="1"/>
  <c r="F135" i="67"/>
  <c r="G135" i="67" s="1"/>
  <c r="F165" i="67"/>
  <c r="G165" i="67" s="1"/>
  <c r="F113" i="67"/>
  <c r="F193" i="67"/>
  <c r="F273" i="67"/>
  <c r="F353" i="67"/>
  <c r="F318" i="67"/>
  <c r="F33" i="67"/>
  <c r="F68" i="67"/>
  <c r="F148" i="67"/>
  <c r="F228" i="67"/>
  <c r="F308" i="67"/>
  <c r="F103" i="67"/>
  <c r="F183" i="67"/>
  <c r="F263" i="67"/>
  <c r="F343" i="67"/>
  <c r="F158" i="67"/>
  <c r="F23" i="67"/>
  <c r="F58" i="67"/>
  <c r="F138" i="67"/>
  <c r="F218" i="67"/>
  <c r="F298" i="67"/>
  <c r="F93" i="67"/>
  <c r="F173" i="67"/>
  <c r="F253" i="67"/>
  <c r="F333" i="67"/>
  <c r="F238" i="67"/>
  <c r="F48" i="67"/>
  <c r="F128" i="67"/>
  <c r="F208" i="67"/>
  <c r="F288" i="67"/>
  <c r="F83" i="67"/>
  <c r="F163" i="67"/>
  <c r="F243" i="67"/>
  <c r="F323" i="67"/>
  <c r="F118" i="67"/>
  <c r="F198" i="67"/>
  <c r="F278" i="67"/>
  <c r="F38" i="67"/>
  <c r="F73" i="67"/>
  <c r="F153" i="67"/>
  <c r="F233" i="67"/>
  <c r="F313" i="67"/>
  <c r="F108" i="67"/>
  <c r="F188" i="67"/>
  <c r="F268" i="67"/>
  <c r="F348" i="67"/>
  <c r="F28" i="67"/>
  <c r="F63" i="67"/>
  <c r="F143" i="67"/>
  <c r="F223" i="67"/>
  <c r="F303" i="67"/>
  <c r="F98" i="67"/>
  <c r="F178" i="67"/>
  <c r="F258" i="67"/>
  <c r="F338" i="67"/>
  <c r="F53" i="67"/>
  <c r="F133" i="67"/>
  <c r="F213" i="67"/>
  <c r="F293" i="67"/>
  <c r="F88" i="67"/>
  <c r="F168" i="67"/>
  <c r="F248" i="67"/>
  <c r="F328" i="67"/>
  <c r="F78" i="67"/>
  <c r="F43" i="67"/>
  <c r="F123" i="67"/>
  <c r="F203" i="67"/>
  <c r="F283" i="67"/>
  <c r="F96" i="67"/>
  <c r="G96" i="67" s="1"/>
  <c r="F176" i="67"/>
  <c r="G176" i="67" s="1"/>
  <c r="F256" i="67"/>
  <c r="G256" i="67" s="1"/>
  <c r="F336" i="67"/>
  <c r="G336" i="67" s="1"/>
  <c r="F351" i="67"/>
  <c r="G351" i="67" s="1"/>
  <c r="F51" i="67"/>
  <c r="G51" i="67" s="1"/>
  <c r="F131" i="67"/>
  <c r="G131" i="67" s="1"/>
  <c r="F211" i="67"/>
  <c r="G211" i="67" s="1"/>
  <c r="F291" i="67"/>
  <c r="G291" i="67" s="1"/>
  <c r="F86" i="67"/>
  <c r="G86" i="67" s="1"/>
  <c r="F166" i="67"/>
  <c r="G166" i="67" s="1"/>
  <c r="F246" i="67"/>
  <c r="G246" i="67" s="1"/>
  <c r="F326" i="67"/>
  <c r="G326" i="67" s="1"/>
  <c r="F41" i="67"/>
  <c r="G41" i="67" s="1"/>
  <c r="F121" i="67"/>
  <c r="G121" i="67" s="1"/>
  <c r="F201" i="67"/>
  <c r="G201" i="67" s="1"/>
  <c r="F281" i="67"/>
  <c r="G281" i="67" s="1"/>
  <c r="F76" i="67"/>
  <c r="G76" i="67" s="1"/>
  <c r="F156" i="67"/>
  <c r="G156" i="67" s="1"/>
  <c r="F236" i="67"/>
  <c r="G236" i="67" s="1"/>
  <c r="F316" i="67"/>
  <c r="G316" i="67" s="1"/>
  <c r="F111" i="67"/>
  <c r="G111" i="67" s="1"/>
  <c r="F191" i="67"/>
  <c r="G191" i="67" s="1"/>
  <c r="F271" i="67"/>
  <c r="G271" i="67" s="1"/>
  <c r="F301" i="67"/>
  <c r="G301" i="67" s="1"/>
  <c r="F31" i="67"/>
  <c r="G31" i="67" s="1"/>
  <c r="F66" i="67"/>
  <c r="G66" i="67" s="1"/>
  <c r="F146" i="67"/>
  <c r="G146" i="67" s="1"/>
  <c r="F226" i="67"/>
  <c r="G226" i="67" s="1"/>
  <c r="F306" i="67"/>
  <c r="G306" i="67" s="1"/>
  <c r="F26" i="67"/>
  <c r="G26" i="67" s="1"/>
  <c r="F141" i="67"/>
  <c r="G141" i="67" s="1"/>
  <c r="F101" i="67"/>
  <c r="G101" i="67" s="1"/>
  <c r="F181" i="67"/>
  <c r="G181" i="67" s="1"/>
  <c r="F261" i="67"/>
  <c r="G261" i="67" s="1"/>
  <c r="F341" i="67"/>
  <c r="G341" i="67" s="1"/>
  <c r="F221" i="67"/>
  <c r="G221" i="67" s="1"/>
  <c r="F56" i="67"/>
  <c r="G56" i="67" s="1"/>
  <c r="F136" i="67"/>
  <c r="G136" i="67" s="1"/>
  <c r="F216" i="67"/>
  <c r="G216" i="67" s="1"/>
  <c r="F296" i="67"/>
  <c r="G296" i="67" s="1"/>
  <c r="F91" i="67"/>
  <c r="G91" i="67" s="1"/>
  <c r="F171" i="67"/>
  <c r="G171" i="67" s="1"/>
  <c r="F251" i="67"/>
  <c r="G251" i="67" s="1"/>
  <c r="F331" i="67"/>
  <c r="G331" i="67" s="1"/>
  <c r="F46" i="67"/>
  <c r="G46" i="67" s="1"/>
  <c r="F126" i="67"/>
  <c r="G126" i="67" s="1"/>
  <c r="F206" i="67"/>
  <c r="G206" i="67" s="1"/>
  <c r="F286" i="67"/>
  <c r="G286" i="67" s="1"/>
  <c r="F81" i="67"/>
  <c r="G81" i="67" s="1"/>
  <c r="F161" i="67"/>
  <c r="G161" i="67" s="1"/>
  <c r="F241" i="67"/>
  <c r="G241" i="67" s="1"/>
  <c r="F321" i="67"/>
  <c r="G321" i="67" s="1"/>
  <c r="F116" i="67"/>
  <c r="G116" i="67" s="1"/>
  <c r="F196" i="67"/>
  <c r="G196" i="67" s="1"/>
  <c r="F276" i="67"/>
  <c r="G276" i="67" s="1"/>
  <c r="F356" i="67"/>
  <c r="G356" i="67" s="1"/>
  <c r="F36" i="67"/>
  <c r="G36" i="67" s="1"/>
  <c r="F71" i="67"/>
  <c r="G71" i="67" s="1"/>
  <c r="F151" i="67"/>
  <c r="G151" i="67" s="1"/>
  <c r="F231" i="67"/>
  <c r="G231" i="67" s="1"/>
  <c r="F311" i="67"/>
  <c r="G311" i="67" s="1"/>
  <c r="F61" i="67"/>
  <c r="G61" i="67" s="1"/>
  <c r="F106" i="67"/>
  <c r="G106" i="67" s="1"/>
  <c r="F186" i="67"/>
  <c r="G186" i="67" s="1"/>
  <c r="F266" i="67"/>
  <c r="G266" i="67" s="1"/>
  <c r="F346" i="67"/>
  <c r="G346" i="67" s="1"/>
  <c r="G88" i="67" l="1"/>
  <c r="F92" i="67"/>
  <c r="G92" i="67" s="1"/>
  <c r="H92" i="67" s="1"/>
  <c r="I92" i="67" s="1"/>
  <c r="G188" i="67"/>
  <c r="F192" i="67"/>
  <c r="G192" i="67" s="1"/>
  <c r="H192" i="67" s="1"/>
  <c r="I192" i="67" s="1"/>
  <c r="G103" i="67"/>
  <c r="F107" i="67"/>
  <c r="G107" i="67" s="1"/>
  <c r="H107" i="67" s="1"/>
  <c r="I107" i="67" s="1"/>
  <c r="G293" i="67"/>
  <c r="F297" i="67"/>
  <c r="G297" i="67" s="1"/>
  <c r="H297" i="67" s="1"/>
  <c r="I297" i="67" s="1"/>
  <c r="G108" i="67"/>
  <c r="F112" i="67"/>
  <c r="G112" i="67" s="1"/>
  <c r="H112" i="67" s="1"/>
  <c r="I112" i="67" s="1"/>
  <c r="F52" i="67"/>
  <c r="G52" i="67" s="1"/>
  <c r="H52" i="67" s="1"/>
  <c r="I52" i="67" s="1"/>
  <c r="G48" i="67"/>
  <c r="F312" i="67"/>
  <c r="G312" i="67" s="1"/>
  <c r="H312" i="67" s="1"/>
  <c r="I312" i="67" s="1"/>
  <c r="G308" i="67"/>
  <c r="G213" i="67"/>
  <c r="F217" i="67"/>
  <c r="G217" i="67" s="1"/>
  <c r="H217" i="67" s="1"/>
  <c r="I217" i="67" s="1"/>
  <c r="G313" i="67"/>
  <c r="F317" i="67"/>
  <c r="G317" i="67" s="1"/>
  <c r="H317" i="67" s="1"/>
  <c r="I317" i="67" s="1"/>
  <c r="F242" i="67"/>
  <c r="G242" i="67" s="1"/>
  <c r="H242" i="67" s="1"/>
  <c r="I242" i="67" s="1"/>
  <c r="G238" i="67"/>
  <c r="F232" i="67"/>
  <c r="G232" i="67" s="1"/>
  <c r="H232" i="67" s="1"/>
  <c r="I232" i="67" s="1"/>
  <c r="G228" i="67"/>
  <c r="F132" i="67"/>
  <c r="G132" i="67" s="1"/>
  <c r="H132" i="67" s="1"/>
  <c r="I132" i="67" s="1"/>
  <c r="G128" i="67"/>
  <c r="G133" i="67"/>
  <c r="F137" i="67"/>
  <c r="G137" i="67" s="1"/>
  <c r="H137" i="67" s="1"/>
  <c r="I137" i="67" s="1"/>
  <c r="F237" i="67"/>
  <c r="G237" i="67" s="1"/>
  <c r="H237" i="67" s="1"/>
  <c r="I237" i="67" s="1"/>
  <c r="G233" i="67"/>
  <c r="G333" i="67"/>
  <c r="F337" i="67"/>
  <c r="G337" i="67" s="1"/>
  <c r="H337" i="67" s="1"/>
  <c r="I337" i="67" s="1"/>
  <c r="G148" i="67"/>
  <c r="F152" i="67"/>
  <c r="G152" i="67" s="1"/>
  <c r="H152" i="67" s="1"/>
  <c r="I152" i="67" s="1"/>
  <c r="F157" i="67"/>
  <c r="G157" i="67" s="1"/>
  <c r="H157" i="67" s="1"/>
  <c r="I157" i="67" s="1"/>
  <c r="G153" i="67"/>
  <c r="F342" i="67"/>
  <c r="G342" i="67" s="1"/>
  <c r="H342" i="67" s="1"/>
  <c r="I342" i="67" s="1"/>
  <c r="G338" i="67"/>
  <c r="F77" i="67"/>
  <c r="G77" i="67" s="1"/>
  <c r="H77" i="67" s="1"/>
  <c r="I77" i="67" s="1"/>
  <c r="G73" i="67"/>
  <c r="G173" i="67"/>
  <c r="F177" i="67"/>
  <c r="G177" i="67" s="1"/>
  <c r="H177" i="67" s="1"/>
  <c r="I177" i="67" s="1"/>
  <c r="F37" i="67"/>
  <c r="G37" i="67" s="1"/>
  <c r="H37" i="67" s="1"/>
  <c r="I37" i="67" s="1"/>
  <c r="G33" i="67"/>
  <c r="F262" i="67"/>
  <c r="G262" i="67" s="1"/>
  <c r="H262" i="67" s="1"/>
  <c r="I262" i="67" s="1"/>
  <c r="G258" i="67"/>
  <c r="G93" i="67"/>
  <c r="F97" i="67"/>
  <c r="G97" i="67" s="1"/>
  <c r="H97" i="67" s="1"/>
  <c r="I97" i="67" s="1"/>
  <c r="F322" i="67"/>
  <c r="G322" i="67" s="1"/>
  <c r="H322" i="67" s="1"/>
  <c r="I322" i="67" s="1"/>
  <c r="G318" i="67"/>
  <c r="G68" i="67"/>
  <c r="F72" i="67"/>
  <c r="G72" i="67" s="1"/>
  <c r="H72" i="67" s="1"/>
  <c r="I72" i="67" s="1"/>
  <c r="F42" i="67"/>
  <c r="G42" i="67" s="1"/>
  <c r="H42" i="67" s="1"/>
  <c r="I42" i="67" s="1"/>
  <c r="G38" i="67"/>
  <c r="F182" i="67"/>
  <c r="G182" i="67" s="1"/>
  <c r="H182" i="67" s="1"/>
  <c r="I182" i="67" s="1"/>
  <c r="G178" i="67"/>
  <c r="F282" i="67"/>
  <c r="G282" i="67" s="1"/>
  <c r="H282" i="67" s="1"/>
  <c r="I282" i="67" s="1"/>
  <c r="G278" i="67"/>
  <c r="G298" i="67"/>
  <c r="F302" i="67"/>
  <c r="G302" i="67" s="1"/>
  <c r="H302" i="67" s="1"/>
  <c r="I302" i="67" s="1"/>
  <c r="F357" i="67"/>
  <c r="G353" i="67"/>
  <c r="G357" i="67" s="1"/>
  <c r="H357" i="67" s="1"/>
  <c r="I357" i="67" s="1"/>
  <c r="G283" i="67"/>
  <c r="F287" i="67"/>
  <c r="G287" i="67" s="1"/>
  <c r="H287" i="67" s="1"/>
  <c r="I287" i="67" s="1"/>
  <c r="G98" i="67"/>
  <c r="F102" i="67"/>
  <c r="G102" i="67" s="1"/>
  <c r="H102" i="67" s="1"/>
  <c r="I102" i="67" s="1"/>
  <c r="F202" i="67"/>
  <c r="G202" i="67" s="1"/>
  <c r="H202" i="67" s="1"/>
  <c r="I202" i="67" s="1"/>
  <c r="G198" i="67"/>
  <c r="G218" i="67"/>
  <c r="F222" i="67"/>
  <c r="G222" i="67" s="1"/>
  <c r="H222" i="67" s="1"/>
  <c r="I222" i="67" s="1"/>
  <c r="F277" i="67"/>
  <c r="G277" i="67" s="1"/>
  <c r="H277" i="67" s="1"/>
  <c r="I277" i="67" s="1"/>
  <c r="G273" i="67"/>
  <c r="G53" i="67"/>
  <c r="F57" i="67"/>
  <c r="G57" i="67" s="1"/>
  <c r="H57" i="67" s="1"/>
  <c r="I57" i="67" s="1"/>
  <c r="G203" i="67"/>
  <c r="F207" i="67"/>
  <c r="G207" i="67" s="1"/>
  <c r="H207" i="67" s="1"/>
  <c r="I207" i="67" s="1"/>
  <c r="F122" i="67"/>
  <c r="G122" i="67" s="1"/>
  <c r="H122" i="67" s="1"/>
  <c r="I122" i="67" s="1"/>
  <c r="G118" i="67"/>
  <c r="F197" i="67"/>
  <c r="G197" i="67" s="1"/>
  <c r="H197" i="67" s="1"/>
  <c r="I197" i="67" s="1"/>
  <c r="G193" i="67"/>
  <c r="G253" i="67"/>
  <c r="F257" i="67"/>
  <c r="G257" i="67" s="1"/>
  <c r="H257" i="67" s="1"/>
  <c r="I257" i="67" s="1"/>
  <c r="G303" i="67"/>
  <c r="F307" i="67"/>
  <c r="G307" i="67" s="1"/>
  <c r="H307" i="67" s="1"/>
  <c r="I307" i="67" s="1"/>
  <c r="G138" i="67"/>
  <c r="F142" i="67"/>
  <c r="G142" i="67" s="1"/>
  <c r="H142" i="67" s="1"/>
  <c r="I142" i="67" s="1"/>
  <c r="F127" i="67"/>
  <c r="G127" i="67" s="1"/>
  <c r="H127" i="67" s="1"/>
  <c r="I127" i="67" s="1"/>
  <c r="G123" i="67"/>
  <c r="G223" i="67"/>
  <c r="F227" i="67"/>
  <c r="G227" i="67" s="1"/>
  <c r="H227" i="67" s="1"/>
  <c r="I227" i="67" s="1"/>
  <c r="F327" i="67"/>
  <c r="G327" i="67" s="1"/>
  <c r="H327" i="67" s="1"/>
  <c r="I327" i="67" s="1"/>
  <c r="G323" i="67"/>
  <c r="G58" i="67"/>
  <c r="F62" i="67"/>
  <c r="G62" i="67" s="1"/>
  <c r="H62" i="67" s="1"/>
  <c r="I62" i="67" s="1"/>
  <c r="F117" i="67"/>
  <c r="G117" i="67" s="1"/>
  <c r="H117" i="67" s="1"/>
  <c r="I117" i="67" s="1"/>
  <c r="G113" i="67"/>
  <c r="F247" i="67"/>
  <c r="G247" i="67" s="1"/>
  <c r="H247" i="67" s="1"/>
  <c r="I247" i="67" s="1"/>
  <c r="G243" i="67"/>
  <c r="F82" i="67"/>
  <c r="G82" i="67" s="1"/>
  <c r="H82" i="67" s="1"/>
  <c r="I82" i="67" s="1"/>
  <c r="G78" i="67"/>
  <c r="G63" i="67"/>
  <c r="F67" i="67"/>
  <c r="G67" i="67" s="1"/>
  <c r="H67" i="67" s="1"/>
  <c r="I67" i="67" s="1"/>
  <c r="F167" i="67"/>
  <c r="G167" i="67" s="1"/>
  <c r="H167" i="67" s="1"/>
  <c r="I167" i="67" s="1"/>
  <c r="G163" i="67"/>
  <c r="F162" i="67"/>
  <c r="G162" i="67" s="1"/>
  <c r="H162" i="67" s="1"/>
  <c r="I162" i="67" s="1"/>
  <c r="G158" i="67"/>
  <c r="G43" i="67"/>
  <c r="F47" i="67"/>
  <c r="G47" i="67" s="1"/>
  <c r="H47" i="67" s="1"/>
  <c r="I47" i="67" s="1"/>
  <c r="G23" i="67"/>
  <c r="F27" i="67"/>
  <c r="G27" i="67" s="1"/>
  <c r="H27" i="67" s="1"/>
  <c r="F332" i="67"/>
  <c r="G332" i="67" s="1"/>
  <c r="H332" i="67" s="1"/>
  <c r="I332" i="67" s="1"/>
  <c r="G328" i="67"/>
  <c r="G28" i="67"/>
  <c r="F32" i="67"/>
  <c r="G32" i="67" s="1"/>
  <c r="H32" i="67" s="1"/>
  <c r="I32" i="67" s="1"/>
  <c r="F87" i="67"/>
  <c r="G87" i="67" s="1"/>
  <c r="H87" i="67" s="1"/>
  <c r="I87" i="67" s="1"/>
  <c r="G83" i="67"/>
  <c r="G343" i="67"/>
  <c r="F347" i="67"/>
  <c r="G347" i="67" s="1"/>
  <c r="H347" i="67" s="1"/>
  <c r="I347" i="67" s="1"/>
  <c r="F252" i="67"/>
  <c r="G252" i="67" s="1"/>
  <c r="H252" i="67" s="1"/>
  <c r="I252" i="67" s="1"/>
  <c r="G248" i="67"/>
  <c r="G348" i="67"/>
  <c r="F352" i="67"/>
  <c r="G352" i="67" s="1"/>
  <c r="H352" i="67" s="1"/>
  <c r="I352" i="67" s="1"/>
  <c r="F292" i="67"/>
  <c r="G292" i="67" s="1"/>
  <c r="H292" i="67" s="1"/>
  <c r="I292" i="67" s="1"/>
  <c r="G288" i="67"/>
  <c r="F267" i="67"/>
  <c r="G267" i="67" s="1"/>
  <c r="H267" i="67" s="1"/>
  <c r="I267" i="67" s="1"/>
  <c r="G263" i="67"/>
  <c r="G143" i="67"/>
  <c r="F147" i="67"/>
  <c r="G147" i="67" s="1"/>
  <c r="H147" i="67" s="1"/>
  <c r="I147" i="67" s="1"/>
  <c r="F172" i="67"/>
  <c r="G172" i="67" s="1"/>
  <c r="H172" i="67" s="1"/>
  <c r="I172" i="67" s="1"/>
  <c r="G168" i="67"/>
  <c r="F272" i="67"/>
  <c r="G272" i="67" s="1"/>
  <c r="H272" i="67" s="1"/>
  <c r="I272" i="67" s="1"/>
  <c r="G268" i="67"/>
  <c r="F212" i="67"/>
  <c r="G212" i="67" s="1"/>
  <c r="H212" i="67" s="1"/>
  <c r="I212" i="67" s="1"/>
  <c r="G208" i="67"/>
  <c r="G183" i="67"/>
  <c r="F187" i="67"/>
  <c r="G187" i="67" s="1"/>
  <c r="H187" i="67" s="1"/>
  <c r="I187" i="67" s="1"/>
  <c r="H24" i="26"/>
  <c r="H359" i="67" l="1"/>
  <c r="I27" i="67"/>
  <c r="I359" i="67" s="1"/>
  <c r="H67" i="26" l="1"/>
  <c r="J75" i="62" l="1"/>
  <c r="F70" i="62"/>
  <c r="G70" i="62"/>
  <c r="D70" i="62"/>
  <c r="C70" i="62"/>
  <c r="E68" i="62"/>
  <c r="E67" i="62"/>
  <c r="E66" i="62"/>
  <c r="E65" i="62"/>
  <c r="E64" i="62"/>
  <c r="E63" i="62"/>
  <c r="E62" i="62"/>
  <c r="E61" i="62"/>
  <c r="E60" i="62"/>
  <c r="E59" i="62"/>
  <c r="E58" i="62"/>
  <c r="E57" i="62"/>
  <c r="E56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E5" i="62"/>
  <c r="E4" i="62"/>
  <c r="E3" i="62"/>
  <c r="E2" i="62"/>
  <c r="E70" i="62" l="1"/>
  <c r="B6" i="8" l="1"/>
  <c r="B9" i="8" s="1"/>
  <c r="B15" i="8" l="1"/>
  <c r="H73" i="62" s="1"/>
  <c r="H64" i="62" s="1"/>
  <c r="J64" i="62" s="1"/>
  <c r="B16" i="8"/>
  <c r="H40" i="26"/>
  <c r="I61" i="26"/>
  <c r="R61" i="26"/>
  <c r="O65" i="26"/>
  <c r="H68" i="62" l="1"/>
  <c r="J68" i="62" s="1"/>
  <c r="H67" i="62"/>
  <c r="J67" i="62" s="1"/>
  <c r="H12" i="62"/>
  <c r="J12" i="62" s="1"/>
  <c r="H66" i="62"/>
  <c r="J66" i="62" s="1"/>
  <c r="H65" i="62"/>
  <c r="J65" i="62" s="1"/>
  <c r="H8" i="62"/>
  <c r="J8" i="62" s="1"/>
  <c r="H51" i="62"/>
  <c r="J51" i="62" s="1"/>
  <c r="H47" i="62"/>
  <c r="J47" i="62" s="1"/>
  <c r="H24" i="62"/>
  <c r="J24" i="62" s="1"/>
  <c r="H5" i="62"/>
  <c r="J5" i="62" s="1"/>
  <c r="H48" i="62"/>
  <c r="J48" i="62" s="1"/>
  <c r="H63" i="62"/>
  <c r="J63" i="62" s="1"/>
  <c r="H62" i="62"/>
  <c r="J62" i="62" s="1"/>
  <c r="H28" i="62"/>
  <c r="J28" i="62" s="1"/>
  <c r="H60" i="62"/>
  <c r="J60" i="62" s="1"/>
  <c r="H22" i="62"/>
  <c r="J22" i="62" s="1"/>
  <c r="H17" i="62"/>
  <c r="J17" i="62" s="1"/>
  <c r="H40" i="62"/>
  <c r="J40" i="62" s="1"/>
  <c r="H23" i="62"/>
  <c r="J23" i="62" s="1"/>
  <c r="H9" i="62"/>
  <c r="J9" i="62" s="1"/>
  <c r="H55" i="62"/>
  <c r="J55" i="62" s="1"/>
  <c r="H42" i="62"/>
  <c r="J42" i="62" s="1"/>
  <c r="H53" i="62"/>
  <c r="J53" i="62" s="1"/>
  <c r="H35" i="62"/>
  <c r="J35" i="62" s="1"/>
  <c r="H46" i="62"/>
  <c r="J46" i="62" s="1"/>
  <c r="H52" i="62"/>
  <c r="J52" i="62" s="1"/>
  <c r="H32" i="62"/>
  <c r="J32" i="62" s="1"/>
  <c r="H27" i="62"/>
  <c r="J27" i="62" s="1"/>
  <c r="H43" i="62"/>
  <c r="J43" i="62" s="1"/>
  <c r="H16" i="62"/>
  <c r="J16" i="62" s="1"/>
  <c r="H25" i="62"/>
  <c r="J25" i="62" s="1"/>
  <c r="H57" i="62"/>
  <c r="J57" i="62" s="1"/>
  <c r="H11" i="62"/>
  <c r="J11" i="62" s="1"/>
  <c r="H13" i="62"/>
  <c r="J13" i="62" s="1"/>
  <c r="H29" i="62"/>
  <c r="J29" i="62" s="1"/>
  <c r="H38" i="62"/>
  <c r="J38" i="62" s="1"/>
  <c r="H33" i="62"/>
  <c r="J33" i="62" s="1"/>
  <c r="H10" i="62"/>
  <c r="J10" i="62" s="1"/>
  <c r="H50" i="62"/>
  <c r="J50" i="62" s="1"/>
  <c r="H26" i="62"/>
  <c r="J26" i="62" s="1"/>
  <c r="H7" i="62"/>
  <c r="J7" i="62" s="1"/>
  <c r="H45" i="62"/>
  <c r="J45" i="62" s="1"/>
  <c r="H36" i="62"/>
  <c r="J36" i="62" s="1"/>
  <c r="H41" i="62"/>
  <c r="J41" i="62" s="1"/>
  <c r="H61" i="62"/>
  <c r="J61" i="62" s="1"/>
  <c r="H14" i="62"/>
  <c r="J14" i="62" s="1"/>
  <c r="H21" i="62"/>
  <c r="J21" i="62" s="1"/>
  <c r="H37" i="62"/>
  <c r="J37" i="62" s="1"/>
  <c r="H58" i="62"/>
  <c r="J58" i="62" s="1"/>
  <c r="H54" i="62"/>
  <c r="J54" i="62" s="1"/>
  <c r="H59" i="62"/>
  <c r="J59" i="62" s="1"/>
  <c r="H44" i="62"/>
  <c r="J44" i="62" s="1"/>
  <c r="H6" i="62"/>
  <c r="J6" i="62" s="1"/>
  <c r="H19" i="62"/>
  <c r="J19" i="62" s="1"/>
  <c r="H4" i="62"/>
  <c r="J4" i="62" s="1"/>
  <c r="H15" i="62"/>
  <c r="J15" i="62" s="1"/>
  <c r="H34" i="62"/>
  <c r="J34" i="62" s="1"/>
  <c r="H49" i="62"/>
  <c r="J49" i="62" s="1"/>
  <c r="H31" i="62"/>
  <c r="J31" i="62" s="1"/>
  <c r="H39" i="62"/>
  <c r="J39" i="62" s="1"/>
  <c r="H2" i="62"/>
  <c r="J2" i="62" s="1"/>
  <c r="H30" i="62"/>
  <c r="J30" i="62" s="1"/>
  <c r="H18" i="62"/>
  <c r="J18" i="62" s="1"/>
  <c r="H3" i="62"/>
  <c r="J3" i="62" s="1"/>
  <c r="H56" i="62"/>
  <c r="J56" i="62" s="1"/>
  <c r="H20" i="62"/>
  <c r="J20" i="62" s="1"/>
  <c r="Q55" i="26"/>
  <c r="K38" i="62" l="1"/>
  <c r="K33" i="62"/>
  <c r="K18" i="62"/>
  <c r="K58" i="62"/>
  <c r="K12" i="62"/>
  <c r="K23" i="62"/>
  <c r="K30" i="62"/>
  <c r="K37" i="62"/>
  <c r="K13" i="62"/>
  <c r="K40" i="62"/>
  <c r="K45" i="62"/>
  <c r="K21" i="62"/>
  <c r="K11" i="62"/>
  <c r="K17" i="62"/>
  <c r="K20" i="62"/>
  <c r="H70" i="62"/>
  <c r="K39" i="62"/>
  <c r="K14" i="62"/>
  <c r="K57" i="62"/>
  <c r="K22" i="62"/>
  <c r="K64" i="62"/>
  <c r="K68" i="62"/>
  <c r="K61" i="62"/>
  <c r="K25" i="62"/>
  <c r="K60" i="62"/>
  <c r="K31" i="62"/>
  <c r="K16" i="62"/>
  <c r="K28" i="62"/>
  <c r="K41" i="62"/>
  <c r="K49" i="62"/>
  <c r="K36" i="62"/>
  <c r="K43" i="62"/>
  <c r="K62" i="62"/>
  <c r="K63" i="62"/>
  <c r="K7" i="62"/>
  <c r="K32" i="62"/>
  <c r="K48" i="62"/>
  <c r="K27" i="62"/>
  <c r="K15" i="62"/>
  <c r="K67" i="62"/>
  <c r="K52" i="62"/>
  <c r="K5" i="62"/>
  <c r="K34" i="62"/>
  <c r="K46" i="62"/>
  <c r="K24" i="62"/>
  <c r="K19" i="62"/>
  <c r="K50" i="62"/>
  <c r="K35" i="62"/>
  <c r="K47" i="62"/>
  <c r="K6" i="62"/>
  <c r="K10" i="62"/>
  <c r="K53" i="62"/>
  <c r="K66" i="62"/>
  <c r="K44" i="62"/>
  <c r="K42" i="62"/>
  <c r="K51" i="62"/>
  <c r="K26" i="62"/>
  <c r="K59" i="62"/>
  <c r="K55" i="62"/>
  <c r="K8" i="62"/>
  <c r="K4" i="62"/>
  <c r="K56" i="62"/>
  <c r="K3" i="62"/>
  <c r="K54" i="62"/>
  <c r="K29" i="62"/>
  <c r="K9" i="62"/>
  <c r="K65" i="62"/>
  <c r="H52" i="26"/>
  <c r="J70" i="62" l="1"/>
  <c r="M56" i="62"/>
  <c r="L56" i="62"/>
  <c r="L54" i="62"/>
  <c r="M54" i="62"/>
  <c r="M52" i="62"/>
  <c r="L52" i="62"/>
  <c r="L67" i="62"/>
  <c r="M67" i="62"/>
  <c r="M42" i="62"/>
  <c r="L42" i="62"/>
  <c r="M17" i="62"/>
  <c r="L17" i="62"/>
  <c r="L23" i="62"/>
  <c r="M23" i="62"/>
  <c r="L36" i="62"/>
  <c r="M36" i="62"/>
  <c r="L51" i="62"/>
  <c r="M51" i="62"/>
  <c r="M61" i="62"/>
  <c r="L61" i="62"/>
  <c r="M41" i="62"/>
  <c r="L41" i="62"/>
  <c r="M12" i="62"/>
  <c r="L12" i="62"/>
  <c r="M26" i="62"/>
  <c r="L26" i="62"/>
  <c r="L25" i="62"/>
  <c r="M25" i="62"/>
  <c r="L13" i="62"/>
  <c r="M13" i="62"/>
  <c r="K2" i="62"/>
  <c r="M4" i="62"/>
  <c r="L4" i="62"/>
  <c r="M19" i="62"/>
  <c r="L19" i="62"/>
  <c r="L66" i="62"/>
  <c r="M66" i="62"/>
  <c r="M11" i="62"/>
  <c r="L11" i="62"/>
  <c r="L46" i="62"/>
  <c r="M46" i="62"/>
  <c r="L28" i="62"/>
  <c r="M28" i="62"/>
  <c r="M22" i="62"/>
  <c r="L22" i="62"/>
  <c r="M21" i="62"/>
  <c r="L21" i="62"/>
  <c r="L58" i="62"/>
  <c r="M58" i="62"/>
  <c r="L44" i="62"/>
  <c r="M44" i="62"/>
  <c r="L8" i="62"/>
  <c r="M8" i="62"/>
  <c r="L48" i="62"/>
  <c r="M48" i="62"/>
  <c r="M62" i="62"/>
  <c r="L62" i="62"/>
  <c r="M37" i="62"/>
  <c r="L37" i="62"/>
  <c r="L20" i="62"/>
  <c r="M20" i="62"/>
  <c r="M68" i="62"/>
  <c r="L68" i="62"/>
  <c r="M64" i="62"/>
  <c r="L64" i="62"/>
  <c r="M32" i="62"/>
  <c r="L32" i="62"/>
  <c r="L38" i="62"/>
  <c r="M38" i="62"/>
  <c r="M10" i="62"/>
  <c r="L10" i="62"/>
  <c r="M34" i="62"/>
  <c r="L34" i="62"/>
  <c r="L7" i="62"/>
  <c r="M7" i="62"/>
  <c r="M16" i="62"/>
  <c r="L16" i="62"/>
  <c r="M57" i="62"/>
  <c r="L57" i="62"/>
  <c r="M45" i="62"/>
  <c r="L45" i="62"/>
  <c r="L18" i="62"/>
  <c r="M18" i="62"/>
  <c r="M60" i="62"/>
  <c r="L60" i="62"/>
  <c r="L3" i="62"/>
  <c r="M3" i="62"/>
  <c r="L15" i="62"/>
  <c r="M15" i="62"/>
  <c r="M55" i="62"/>
  <c r="L55" i="62"/>
  <c r="M53" i="62"/>
  <c r="L53" i="62"/>
  <c r="M9" i="62"/>
  <c r="L9" i="62"/>
  <c r="L47" i="62"/>
  <c r="M47" i="62"/>
  <c r="L35" i="62"/>
  <c r="M35" i="62"/>
  <c r="L50" i="62"/>
  <c r="M50" i="62"/>
  <c r="L49" i="62"/>
  <c r="M49" i="62"/>
  <c r="M29" i="62"/>
  <c r="L29" i="62"/>
  <c r="M59" i="62"/>
  <c r="L59" i="62"/>
  <c r="M6" i="62"/>
  <c r="L6" i="62"/>
  <c r="L5" i="62"/>
  <c r="M5" i="62"/>
  <c r="M63" i="62"/>
  <c r="L63" i="62"/>
  <c r="M31" i="62"/>
  <c r="L31" i="62"/>
  <c r="L14" i="62"/>
  <c r="M14" i="62"/>
  <c r="L40" i="62"/>
  <c r="M40" i="62"/>
  <c r="M33" i="62"/>
  <c r="L33" i="62"/>
  <c r="L39" i="62"/>
  <c r="M39" i="62"/>
  <c r="M43" i="62"/>
  <c r="L43" i="62"/>
  <c r="M30" i="62"/>
  <c r="L30" i="62"/>
  <c r="M27" i="62"/>
  <c r="L27" i="62"/>
  <c r="M24" i="62"/>
  <c r="L24" i="62"/>
  <c r="M65" i="62"/>
  <c r="L65" i="62"/>
  <c r="H44" i="26"/>
  <c r="J76" i="62" l="1"/>
  <c r="J73" i="62"/>
  <c r="L70" i="62"/>
  <c r="L2" i="62"/>
  <c r="K70" i="62"/>
  <c r="M70" i="62" s="1"/>
  <c r="M2" i="62"/>
  <c r="M70" i="26"/>
  <c r="I31" i="26" l="1"/>
  <c r="R31" i="26"/>
  <c r="H28" i="26"/>
  <c r="H23" i="26" l="1"/>
  <c r="R21" i="26" l="1"/>
  <c r="K44" i="39" l="1"/>
  <c r="R63" i="26" l="1"/>
  <c r="R60" i="26" l="1"/>
  <c r="H37" i="26"/>
  <c r="H56" i="26"/>
  <c r="R56" i="26"/>
  <c r="I56" i="26"/>
  <c r="H22" i="26"/>
  <c r="H9" i="26"/>
  <c r="N70" i="26" l="1"/>
  <c r="H32" i="26" l="1"/>
  <c r="K36" i="26"/>
  <c r="K70" i="26" s="1"/>
  <c r="H30" i="26" l="1"/>
  <c r="C77" i="52"/>
  <c r="C71" i="52"/>
  <c r="C65" i="52"/>
  <c r="C51" i="52"/>
  <c r="C41" i="52"/>
  <c r="C31" i="52"/>
  <c r="C19" i="52"/>
  <c r="C7" i="52"/>
  <c r="E73" i="52"/>
  <c r="E74" i="52"/>
  <c r="E75" i="52"/>
  <c r="E76" i="52"/>
  <c r="E72" i="52"/>
  <c r="E67" i="52"/>
  <c r="E68" i="52"/>
  <c r="E69" i="52"/>
  <c r="E70" i="52"/>
  <c r="E66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52" i="52"/>
  <c r="E43" i="52"/>
  <c r="E44" i="52"/>
  <c r="E45" i="52"/>
  <c r="E46" i="52"/>
  <c r="E47" i="52"/>
  <c r="E48" i="52"/>
  <c r="E49" i="52"/>
  <c r="E50" i="52"/>
  <c r="E42" i="52"/>
  <c r="E33" i="52"/>
  <c r="E34" i="52"/>
  <c r="E35" i="52"/>
  <c r="E36" i="52"/>
  <c r="E37" i="52"/>
  <c r="E38" i="52"/>
  <c r="E39" i="52"/>
  <c r="E40" i="52"/>
  <c r="E32" i="52"/>
  <c r="E21" i="52"/>
  <c r="E22" i="52"/>
  <c r="E23" i="52"/>
  <c r="E24" i="52"/>
  <c r="E25" i="52"/>
  <c r="E26" i="52"/>
  <c r="E27" i="52"/>
  <c r="E28" i="52"/>
  <c r="E29" i="52"/>
  <c r="E30" i="52"/>
  <c r="E20" i="52"/>
  <c r="E9" i="52"/>
  <c r="E10" i="52"/>
  <c r="E11" i="52"/>
  <c r="E12" i="52"/>
  <c r="E13" i="52"/>
  <c r="E14" i="52"/>
  <c r="E15" i="52"/>
  <c r="E16" i="52"/>
  <c r="E17" i="52"/>
  <c r="E18" i="52"/>
  <c r="E8" i="52"/>
  <c r="E4" i="52"/>
  <c r="E5" i="52"/>
  <c r="E6" i="52"/>
  <c r="E3" i="52"/>
  <c r="D77" i="52"/>
  <c r="E77" i="52" s="1"/>
  <c r="D71" i="52"/>
  <c r="D65" i="52"/>
  <c r="D51" i="52"/>
  <c r="D41" i="52"/>
  <c r="D31" i="52"/>
  <c r="D19" i="52"/>
  <c r="E19" i="52" s="1"/>
  <c r="D7" i="52"/>
  <c r="E7" i="52" l="1"/>
  <c r="E31" i="52"/>
  <c r="E41" i="52"/>
  <c r="E51" i="52"/>
  <c r="F43" i="52" s="1"/>
  <c r="E65" i="52"/>
  <c r="F64" i="52" s="1"/>
  <c r="E71" i="52"/>
  <c r="F66" i="52" s="1"/>
  <c r="C79" i="52"/>
  <c r="F12" i="52"/>
  <c r="F38" i="52"/>
  <c r="F76" i="52"/>
  <c r="D79" i="52"/>
  <c r="F68" i="52"/>
  <c r="F45" i="52"/>
  <c r="F47" i="52"/>
  <c r="F49" i="52"/>
  <c r="F5" i="52"/>
  <c r="F4" i="52"/>
  <c r="F70" i="52" l="1"/>
  <c r="F69" i="52"/>
  <c r="F67" i="52"/>
  <c r="F52" i="52"/>
  <c r="F50" i="52"/>
  <c r="F46" i="52"/>
  <c r="F44" i="52"/>
  <c r="F48" i="52"/>
  <c r="F42" i="52"/>
  <c r="E79" i="52"/>
  <c r="F71" i="52"/>
  <c r="F77" i="52"/>
  <c r="F65" i="52"/>
  <c r="F51" i="52"/>
  <c r="F41" i="52"/>
  <c r="F31" i="52"/>
  <c r="F19" i="52"/>
  <c r="F7" i="52"/>
  <c r="F33" i="52"/>
  <c r="F62" i="52"/>
  <c r="F55" i="52"/>
  <c r="F57" i="52"/>
  <c r="F54" i="52"/>
  <c r="F61" i="52"/>
  <c r="F36" i="52"/>
  <c r="F53" i="52"/>
  <c r="F37" i="52"/>
  <c r="F58" i="52"/>
  <c r="F59" i="52"/>
  <c r="F18" i="52"/>
  <c r="F9" i="52"/>
  <c r="F32" i="52"/>
  <c r="F34" i="52"/>
  <c r="F63" i="52"/>
  <c r="F72" i="52"/>
  <c r="F16" i="52"/>
  <c r="F14" i="52"/>
  <c r="F35" i="52"/>
  <c r="F17" i="52"/>
  <c r="F11" i="52"/>
  <c r="F73" i="52"/>
  <c r="F40" i="52"/>
  <c r="F75" i="52"/>
  <c r="F39" i="52"/>
  <c r="F60" i="52"/>
  <c r="F56" i="52"/>
  <c r="F74" i="52"/>
  <c r="F8" i="52"/>
  <c r="F13" i="52"/>
  <c r="F6" i="52"/>
  <c r="F15" i="52"/>
  <c r="F10" i="52"/>
  <c r="F3" i="52"/>
  <c r="F30" i="52"/>
  <c r="F28" i="52"/>
  <c r="F26" i="52"/>
  <c r="F24" i="52"/>
  <c r="F22" i="52"/>
  <c r="F20" i="52"/>
  <c r="F29" i="52"/>
  <c r="F27" i="52"/>
  <c r="F25" i="52"/>
  <c r="F23" i="52"/>
  <c r="F21" i="52"/>
  <c r="G4" i="52" l="1"/>
  <c r="G22" i="52"/>
  <c r="H22" i="52" s="1"/>
  <c r="G57" i="52"/>
  <c r="G75" i="52"/>
  <c r="G5" i="52"/>
  <c r="G23" i="52"/>
  <c r="H23" i="52" s="1"/>
  <c r="G40" i="52"/>
  <c r="G58" i="52"/>
  <c r="G76" i="52"/>
  <c r="G6" i="52"/>
  <c r="G24" i="52"/>
  <c r="G42" i="52"/>
  <c r="G59" i="52"/>
  <c r="G3" i="52"/>
  <c r="G8" i="52"/>
  <c r="G25" i="52"/>
  <c r="H25" i="52" s="1"/>
  <c r="G43" i="52"/>
  <c r="G60" i="52"/>
  <c r="G28" i="52"/>
  <c r="H28" i="52" s="1"/>
  <c r="G63" i="52"/>
  <c r="G49" i="52"/>
  <c r="G9" i="52"/>
  <c r="G26" i="52"/>
  <c r="H26" i="52" s="1"/>
  <c r="G44" i="52"/>
  <c r="G61" i="52"/>
  <c r="G10" i="52"/>
  <c r="G27" i="52"/>
  <c r="H27" i="52" s="1"/>
  <c r="G45" i="52"/>
  <c r="G62" i="52"/>
  <c r="G11" i="52"/>
  <c r="G46" i="52"/>
  <c r="G12" i="52"/>
  <c r="G29" i="52"/>
  <c r="H29" i="52" s="1"/>
  <c r="G47" i="52"/>
  <c r="G64" i="52"/>
  <c r="G32" i="52"/>
  <c r="G13" i="52"/>
  <c r="G30" i="52"/>
  <c r="H30" i="52" s="1"/>
  <c r="G48" i="52"/>
  <c r="G66" i="52"/>
  <c r="G14" i="52"/>
  <c r="G15" i="52"/>
  <c r="G33" i="52"/>
  <c r="G50" i="52"/>
  <c r="G68" i="52"/>
  <c r="G36" i="52"/>
  <c r="G37" i="52"/>
  <c r="G67" i="52"/>
  <c r="G16" i="52"/>
  <c r="G34" i="52"/>
  <c r="G52" i="52"/>
  <c r="G69" i="52"/>
  <c r="G72" i="52"/>
  <c r="G55" i="52"/>
  <c r="G73" i="52"/>
  <c r="G17" i="52"/>
  <c r="G35" i="52"/>
  <c r="G53" i="52"/>
  <c r="G70" i="52"/>
  <c r="G18" i="52"/>
  <c r="G54" i="52"/>
  <c r="G20" i="52"/>
  <c r="H20" i="52" s="1"/>
  <c r="G21" i="52"/>
  <c r="H21" i="52" s="1"/>
  <c r="G38" i="52"/>
  <c r="G56" i="52"/>
  <c r="G74" i="52"/>
  <c r="H74" i="52" s="1"/>
  <c r="G39" i="52"/>
  <c r="H39" i="52" l="1"/>
  <c r="I39" i="52" s="1"/>
  <c r="K39" i="52" s="1"/>
  <c r="L39" i="52" s="1"/>
  <c r="H16" i="52"/>
  <c r="I16" i="52" s="1"/>
  <c r="K16" i="52" s="1"/>
  <c r="L16" i="52" s="1"/>
  <c r="H73" i="52"/>
  <c r="I73" i="52" s="1"/>
  <c r="K73" i="52" s="1"/>
  <c r="L73" i="52" s="1"/>
  <c r="H60" i="52"/>
  <c r="I60" i="52" s="1"/>
  <c r="K60" i="52" s="1"/>
  <c r="L60" i="52" s="1"/>
  <c r="H37" i="52"/>
  <c r="I37" i="52" s="1"/>
  <c r="K37" i="52" s="1"/>
  <c r="L37" i="52" s="1"/>
  <c r="H72" i="52"/>
  <c r="I72" i="52" s="1"/>
  <c r="H55" i="52"/>
  <c r="I55" i="52" s="1"/>
  <c r="K55" i="52" s="1"/>
  <c r="L55" i="52" s="1"/>
  <c r="H54" i="52"/>
  <c r="I54" i="52" s="1"/>
  <c r="K54" i="52" s="1"/>
  <c r="L54" i="52" s="1"/>
  <c r="H69" i="52"/>
  <c r="I69" i="52" s="1"/>
  <c r="K69" i="52" s="1"/>
  <c r="L69" i="52" s="1"/>
  <c r="H12" i="52"/>
  <c r="I12" i="52" s="1"/>
  <c r="K12" i="52" s="1"/>
  <c r="L12" i="52" s="1"/>
  <c r="H57" i="52"/>
  <c r="I57" i="52" s="1"/>
  <c r="K57" i="52" s="1"/>
  <c r="L57" i="52" s="1"/>
  <c r="H62" i="52"/>
  <c r="I62" i="52" s="1"/>
  <c r="K62" i="52" s="1"/>
  <c r="L62" i="52" s="1"/>
  <c r="H5" i="52"/>
  <c r="I5" i="52" s="1"/>
  <c r="K5" i="52" s="1"/>
  <c r="L5" i="52" s="1"/>
  <c r="H47" i="52"/>
  <c r="I47" i="52" s="1"/>
  <c r="K47" i="52" s="1"/>
  <c r="L47" i="52" s="1"/>
  <c r="I23" i="52"/>
  <c r="K23" i="52" s="1"/>
  <c r="L23" i="52" s="1"/>
  <c r="H45" i="52"/>
  <c r="I45" i="52" s="1"/>
  <c r="K45" i="52" s="1"/>
  <c r="L45" i="52" s="1"/>
  <c r="H10" i="52"/>
  <c r="I10" i="52" s="1"/>
  <c r="K10" i="52" s="1"/>
  <c r="L10" i="52" s="1"/>
  <c r="I20" i="52"/>
  <c r="H35" i="52"/>
  <c r="I35" i="52" s="1"/>
  <c r="K35" i="52" s="1"/>
  <c r="L35" i="52" s="1"/>
  <c r="H48" i="52"/>
  <c r="I48" i="52" s="1"/>
  <c r="K48" i="52" s="1"/>
  <c r="L48" i="52" s="1"/>
  <c r="H46" i="52"/>
  <c r="I46" i="52" s="1"/>
  <c r="K46" i="52" s="1"/>
  <c r="L46" i="52" s="1"/>
  <c r="H14" i="52"/>
  <c r="I14" i="52" s="1"/>
  <c r="K14" i="52" s="1"/>
  <c r="L14" i="52" s="1"/>
  <c r="H15" i="52"/>
  <c r="I15" i="52" s="1"/>
  <c r="K15" i="52" s="1"/>
  <c r="L15" i="52" s="1"/>
  <c r="I22" i="52"/>
  <c r="K22" i="52" s="1"/>
  <c r="L22" i="52" s="1"/>
  <c r="I21" i="52"/>
  <c r="K21" i="52" s="1"/>
  <c r="L21" i="52" s="1"/>
  <c r="H76" i="52"/>
  <c r="I76" i="52" s="1"/>
  <c r="K76" i="52" s="1"/>
  <c r="L76" i="52" s="1"/>
  <c r="H32" i="52"/>
  <c r="I32" i="52" s="1"/>
  <c r="I27" i="52"/>
  <c r="K27" i="52" s="1"/>
  <c r="L27" i="52" s="1"/>
  <c r="H64" i="52"/>
  <c r="I64" i="52" s="1"/>
  <c r="K64" i="52" s="1"/>
  <c r="L64" i="52" s="1"/>
  <c r="H9" i="52"/>
  <c r="I9" i="52" s="1"/>
  <c r="K9" i="52" s="1"/>
  <c r="L9" i="52" s="1"/>
  <c r="H59" i="52"/>
  <c r="I59" i="52" s="1"/>
  <c r="K59" i="52" s="1"/>
  <c r="L59" i="52" s="1"/>
  <c r="H50" i="52"/>
  <c r="I50" i="52" s="1"/>
  <c r="K50" i="52" s="1"/>
  <c r="L50" i="52" s="1"/>
  <c r="H11" i="52"/>
  <c r="I11" i="52" s="1"/>
  <c r="K11" i="52" s="1"/>
  <c r="L11" i="52" s="1"/>
  <c r="H63" i="52"/>
  <c r="I63" i="52" s="1"/>
  <c r="K63" i="52" s="1"/>
  <c r="L63" i="52" s="1"/>
  <c r="I74" i="52"/>
  <c r="K74" i="52" s="1"/>
  <c r="L74" i="52" s="1"/>
  <c r="H58" i="52"/>
  <c r="I58" i="52" s="1"/>
  <c r="K58" i="52" s="1"/>
  <c r="L58" i="52" s="1"/>
  <c r="H4" i="52"/>
  <c r="I4" i="52" s="1"/>
  <c r="K4" i="52" s="1"/>
  <c r="L4" i="52" s="1"/>
  <c r="H43" i="52"/>
  <c r="I43" i="52" s="1"/>
  <c r="K43" i="52" s="1"/>
  <c r="L43" i="52" s="1"/>
  <c r="H34" i="52"/>
  <c r="I34" i="52" s="1"/>
  <c r="K34" i="52" s="1"/>
  <c r="L34" i="52" s="1"/>
  <c r="I26" i="52"/>
  <c r="K26" i="52" s="1"/>
  <c r="L26" i="52" s="1"/>
  <c r="H33" i="52"/>
  <c r="I33" i="52" s="1"/>
  <c r="K33" i="52" s="1"/>
  <c r="L33" i="52" s="1"/>
  <c r="H68" i="52"/>
  <c r="I68" i="52" s="1"/>
  <c r="K68" i="52" s="1"/>
  <c r="H6" i="52"/>
  <c r="I6" i="52" s="1"/>
  <c r="K6" i="52" s="1"/>
  <c r="L6" i="52" s="1"/>
  <c r="H61" i="52"/>
  <c r="I61" i="52" s="1"/>
  <c r="K61" i="52" s="1"/>
  <c r="L61" i="52" s="1"/>
  <c r="I25" i="52"/>
  <c r="K25" i="52" s="1"/>
  <c r="L25" i="52" s="1"/>
  <c r="H13" i="52"/>
  <c r="I13" i="52" s="1"/>
  <c r="K13" i="52" s="1"/>
  <c r="L13" i="52" s="1"/>
  <c r="H17" i="52"/>
  <c r="I17" i="52" s="1"/>
  <c r="K17" i="52" s="1"/>
  <c r="L17" i="52" s="1"/>
  <c r="H67" i="52"/>
  <c r="I67" i="52" s="1"/>
  <c r="K67" i="52" s="1"/>
  <c r="L67" i="52" s="1"/>
  <c r="H36" i="52"/>
  <c r="I36" i="52" s="1"/>
  <c r="K36" i="52" s="1"/>
  <c r="L36" i="52" s="1"/>
  <c r="H52" i="52"/>
  <c r="I52" i="52" s="1"/>
  <c r="H40" i="52"/>
  <c r="I40" i="52" s="1"/>
  <c r="K40" i="52" s="1"/>
  <c r="L40" i="52" s="1"/>
  <c r="H56" i="52"/>
  <c r="I56" i="52" s="1"/>
  <c r="K56" i="52" s="1"/>
  <c r="L56" i="52" s="1"/>
  <c r="H18" i="52"/>
  <c r="I18" i="52" s="1"/>
  <c r="K18" i="52" s="1"/>
  <c r="L18" i="52" s="1"/>
  <c r="I28" i="52"/>
  <c r="K28" i="52" s="1"/>
  <c r="L28" i="52" s="1"/>
  <c r="H44" i="52"/>
  <c r="I44" i="52" s="1"/>
  <c r="K44" i="52" s="1"/>
  <c r="L44" i="52" s="1"/>
  <c r="H49" i="52"/>
  <c r="I49" i="52" s="1"/>
  <c r="K49" i="52" s="1"/>
  <c r="L49" i="52" s="1"/>
  <c r="H38" i="52"/>
  <c r="I38" i="52" s="1"/>
  <c r="K38" i="52" s="1"/>
  <c r="L38" i="52" s="1"/>
  <c r="I30" i="52"/>
  <c r="K30" i="52" s="1"/>
  <c r="L30" i="52" s="1"/>
  <c r="H66" i="52"/>
  <c r="I66" i="52" s="1"/>
  <c r="H70" i="52"/>
  <c r="I70" i="52" s="1"/>
  <c r="K70" i="52" s="1"/>
  <c r="L70" i="52" s="1"/>
  <c r="H8" i="52"/>
  <c r="I8" i="52" s="1"/>
  <c r="I29" i="52"/>
  <c r="K29" i="52" s="1"/>
  <c r="L29" i="52" s="1"/>
  <c r="H42" i="52"/>
  <c r="I42" i="52" s="1"/>
  <c r="H75" i="52"/>
  <c r="I75" i="52" s="1"/>
  <c r="K75" i="52" s="1"/>
  <c r="L75" i="52" s="1"/>
  <c r="H3" i="52"/>
  <c r="I3" i="52" s="1"/>
  <c r="H24" i="52"/>
  <c r="I24" i="52" s="1"/>
  <c r="K24" i="52" s="1"/>
  <c r="H53" i="52"/>
  <c r="I53" i="52" s="1"/>
  <c r="K53" i="52" s="1"/>
  <c r="L53" i="52" s="1"/>
  <c r="E2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J66" i="52" l="1"/>
  <c r="K66" i="52"/>
  <c r="L66" i="52" s="1"/>
  <c r="J32" i="52"/>
  <c r="K32" i="52"/>
  <c r="K71" i="52"/>
  <c r="L68" i="52"/>
  <c r="J42" i="52"/>
  <c r="K42" i="52"/>
  <c r="J8" i="52"/>
  <c r="K8" i="52"/>
  <c r="L8" i="52" s="1"/>
  <c r="J72" i="52"/>
  <c r="K72" i="52"/>
  <c r="L72" i="52" s="1"/>
  <c r="K31" i="52"/>
  <c r="L24" i="52"/>
  <c r="J52" i="52"/>
  <c r="K52" i="52"/>
  <c r="J20" i="52"/>
  <c r="K20" i="52"/>
  <c r="L20" i="52" s="1"/>
  <c r="J28" i="52"/>
  <c r="J11" i="52"/>
  <c r="J39" i="52"/>
  <c r="J67" i="52"/>
  <c r="J45" i="52"/>
  <c r="J17" i="52"/>
  <c r="J59" i="52"/>
  <c r="J23" i="52"/>
  <c r="J29" i="52"/>
  <c r="J13" i="52"/>
  <c r="J9" i="52"/>
  <c r="J47" i="52"/>
  <c r="J10" i="52"/>
  <c r="J75" i="52"/>
  <c r="J50" i="52"/>
  <c r="J25" i="52"/>
  <c r="J64" i="52"/>
  <c r="J5" i="52"/>
  <c r="J43" i="52"/>
  <c r="J70" i="52"/>
  <c r="J6" i="52"/>
  <c r="K3" i="52"/>
  <c r="L3" i="52" s="1"/>
  <c r="J3" i="52"/>
  <c r="J61" i="52"/>
  <c r="J27" i="52"/>
  <c r="J57" i="52"/>
  <c r="J68" i="52"/>
  <c r="J76" i="52"/>
  <c r="J12" i="52"/>
  <c r="J38" i="52"/>
  <c r="J33" i="52"/>
  <c r="J21" i="52"/>
  <c r="J69" i="52"/>
  <c r="J36" i="52"/>
  <c r="J62" i="52"/>
  <c r="J30" i="52"/>
  <c r="J49" i="52"/>
  <c r="J26" i="52"/>
  <c r="J22" i="52"/>
  <c r="J54" i="52"/>
  <c r="J44" i="52"/>
  <c r="J34" i="52"/>
  <c r="J15" i="52"/>
  <c r="J55" i="52"/>
  <c r="J14" i="52"/>
  <c r="J18" i="52"/>
  <c r="J4" i="52"/>
  <c r="J37" i="52"/>
  <c r="J58" i="52"/>
  <c r="J48" i="52"/>
  <c r="J53" i="52"/>
  <c r="J40" i="52"/>
  <c r="J74" i="52"/>
  <c r="J35" i="52"/>
  <c r="J73" i="52"/>
  <c r="J46" i="52"/>
  <c r="J56" i="52"/>
  <c r="J60" i="52"/>
  <c r="J24" i="52"/>
  <c r="J63" i="52"/>
  <c r="J16" i="52"/>
  <c r="I41" i="52"/>
  <c r="I65" i="52"/>
  <c r="I19" i="52"/>
  <c r="I51" i="52"/>
  <c r="I71" i="52"/>
  <c r="I77" i="52"/>
  <c r="I7" i="52"/>
  <c r="I31" i="52"/>
  <c r="L52" i="52" l="1"/>
  <c r="K65" i="52"/>
  <c r="L42" i="52"/>
  <c r="K51" i="52"/>
  <c r="L32" i="52"/>
  <c r="K41" i="52"/>
  <c r="J79" i="52"/>
  <c r="I79" i="52"/>
  <c r="I83" i="52" s="1"/>
  <c r="K19" i="52"/>
  <c r="K7" i="52"/>
  <c r="K77" i="52"/>
  <c r="K79" i="52" l="1"/>
  <c r="E2" i="40" l="1"/>
  <c r="E3" i="40"/>
  <c r="E4" i="40"/>
  <c r="E5" i="40"/>
  <c r="C6" i="40"/>
  <c r="E7" i="40"/>
  <c r="E8" i="40"/>
  <c r="E9" i="40"/>
  <c r="E10" i="40"/>
  <c r="C11" i="40"/>
  <c r="E12" i="40"/>
  <c r="E13" i="40"/>
  <c r="E14" i="40"/>
  <c r="E15" i="40"/>
  <c r="C16" i="40"/>
  <c r="E17" i="40"/>
  <c r="E18" i="40"/>
  <c r="E19" i="40"/>
  <c r="C20" i="40"/>
  <c r="E21" i="40"/>
  <c r="E22" i="40"/>
  <c r="E23" i="40"/>
  <c r="E24" i="40"/>
  <c r="C25" i="40"/>
  <c r="E26" i="40"/>
  <c r="E27" i="40"/>
  <c r="E28" i="40"/>
  <c r="E29" i="40"/>
  <c r="C30" i="40"/>
  <c r="E31" i="40"/>
  <c r="E32" i="40"/>
  <c r="E33" i="40"/>
  <c r="C34" i="40"/>
  <c r="E35" i="40"/>
  <c r="E36" i="40"/>
  <c r="E37" i="40"/>
  <c r="E38" i="40"/>
  <c r="C39" i="40"/>
  <c r="E40" i="40"/>
  <c r="E41" i="40"/>
  <c r="E42" i="40"/>
  <c r="E43" i="40"/>
  <c r="C44" i="40"/>
  <c r="E45" i="40"/>
  <c r="E46" i="40"/>
  <c r="E47" i="40"/>
  <c r="E48" i="40"/>
  <c r="C49" i="40"/>
  <c r="E50" i="40"/>
  <c r="E51" i="40"/>
  <c r="E52" i="40"/>
  <c r="E53" i="40"/>
  <c r="C54" i="40"/>
  <c r="E55" i="40"/>
  <c r="E56" i="40"/>
  <c r="E57" i="40"/>
  <c r="C58" i="40"/>
  <c r="E59" i="40"/>
  <c r="E60" i="40"/>
  <c r="E61" i="40"/>
  <c r="C62" i="40"/>
  <c r="E63" i="40"/>
  <c r="E64" i="40"/>
  <c r="E65" i="40"/>
  <c r="E66" i="40"/>
  <c r="C67" i="40"/>
  <c r="E68" i="40"/>
  <c r="E69" i="40"/>
  <c r="E70" i="40"/>
  <c r="E71" i="40"/>
  <c r="C72" i="40"/>
  <c r="E73" i="40"/>
  <c r="E74" i="40"/>
  <c r="E75" i="40"/>
  <c r="E76" i="40"/>
  <c r="C77" i="40"/>
  <c r="E78" i="40"/>
  <c r="E79" i="40"/>
  <c r="E80" i="40"/>
  <c r="C81" i="40"/>
  <c r="E82" i="40"/>
  <c r="E83" i="40"/>
  <c r="E84" i="40"/>
  <c r="E85" i="40"/>
  <c r="C86" i="40"/>
  <c r="E87" i="40"/>
  <c r="E88" i="40"/>
  <c r="E89" i="40"/>
  <c r="E90" i="40"/>
  <c r="C91" i="40"/>
  <c r="E92" i="40"/>
  <c r="E93" i="40"/>
  <c r="E94" i="40"/>
  <c r="C95" i="40"/>
  <c r="E96" i="40"/>
  <c r="E97" i="40"/>
  <c r="E98" i="40"/>
  <c r="C99" i="40"/>
  <c r="E100" i="40"/>
  <c r="E101" i="40"/>
  <c r="E102" i="40"/>
  <c r="C103" i="40"/>
  <c r="E104" i="40"/>
  <c r="E105" i="40"/>
  <c r="E106" i="40"/>
  <c r="C107" i="40"/>
  <c r="E108" i="40"/>
  <c r="E109" i="40"/>
  <c r="E110" i="40"/>
  <c r="C111" i="40"/>
  <c r="E112" i="40"/>
  <c r="E113" i="40"/>
  <c r="E114" i="40"/>
  <c r="C115" i="40"/>
  <c r="E116" i="40"/>
  <c r="E117" i="40"/>
  <c r="E118" i="40"/>
  <c r="E119" i="40"/>
  <c r="C120" i="40"/>
  <c r="E121" i="40"/>
  <c r="E122" i="40"/>
  <c r="E123" i="40"/>
  <c r="E124" i="40"/>
  <c r="C125" i="40"/>
  <c r="E126" i="40"/>
  <c r="E127" i="40"/>
  <c r="E128" i="40"/>
  <c r="E129" i="40"/>
  <c r="C130" i="40"/>
  <c r="E131" i="40"/>
  <c r="E132" i="40"/>
  <c r="E133" i="40"/>
  <c r="C134" i="40"/>
  <c r="E135" i="40"/>
  <c r="E136" i="40"/>
  <c r="E137" i="40"/>
  <c r="E138" i="40"/>
  <c r="C139" i="40"/>
  <c r="E140" i="40"/>
  <c r="E141" i="40"/>
  <c r="E142" i="40"/>
  <c r="C143" i="40"/>
  <c r="E144" i="40"/>
  <c r="E145" i="40"/>
  <c r="E146" i="40" s="1"/>
  <c r="C146" i="40"/>
  <c r="E147" i="40"/>
  <c r="E148" i="40"/>
  <c r="C149" i="40"/>
  <c r="E150" i="40"/>
  <c r="E151" i="40"/>
  <c r="E152" i="40"/>
  <c r="E153" i="40"/>
  <c r="C154" i="40"/>
  <c r="E155" i="40"/>
  <c r="E156" i="40"/>
  <c r="E157" i="40"/>
  <c r="E158" i="40"/>
  <c r="C159" i="40"/>
  <c r="E160" i="40"/>
  <c r="E161" i="40"/>
  <c r="E162" i="40"/>
  <c r="E163" i="40"/>
  <c r="C164" i="40"/>
  <c r="E165" i="40"/>
  <c r="E166" i="40"/>
  <c r="E167" i="40"/>
  <c r="C168" i="40"/>
  <c r="E169" i="40"/>
  <c r="E170" i="40"/>
  <c r="E171" i="40"/>
  <c r="C172" i="40"/>
  <c r="E173" i="40"/>
  <c r="E174" i="40"/>
  <c r="C175" i="40"/>
  <c r="E176" i="40"/>
  <c r="E177" i="40"/>
  <c r="E178" i="40"/>
  <c r="E179" i="40"/>
  <c r="C180" i="40"/>
  <c r="E181" i="40"/>
  <c r="E182" i="40"/>
  <c r="E183" i="40"/>
  <c r="E184" i="40"/>
  <c r="C185" i="40"/>
  <c r="E186" i="40"/>
  <c r="E187" i="40"/>
  <c r="E188" i="40"/>
  <c r="E189" i="40"/>
  <c r="C190" i="40"/>
  <c r="E191" i="40"/>
  <c r="E192" i="40"/>
  <c r="E193" i="40"/>
  <c r="E194" i="40"/>
  <c r="C195" i="40"/>
  <c r="E196" i="40"/>
  <c r="E197" i="40"/>
  <c r="E198" i="40"/>
  <c r="E199" i="40"/>
  <c r="C200" i="40"/>
  <c r="E201" i="40"/>
  <c r="E202" i="40"/>
  <c r="E203" i="40"/>
  <c r="E204" i="40"/>
  <c r="C205" i="40"/>
  <c r="E206" i="40"/>
  <c r="E207" i="40"/>
  <c r="E208" i="40"/>
  <c r="C209" i="40"/>
  <c r="E210" i="40"/>
  <c r="E211" i="40"/>
  <c r="C212" i="40"/>
  <c r="E213" i="40"/>
  <c r="E214" i="40"/>
  <c r="E215" i="40"/>
  <c r="E216" i="40"/>
  <c r="C217" i="40"/>
  <c r="E218" i="40"/>
  <c r="E219" i="40"/>
  <c r="E220" i="40"/>
  <c r="E221" i="40"/>
  <c r="C222" i="40"/>
  <c r="E223" i="40"/>
  <c r="E224" i="40"/>
  <c r="E225" i="40"/>
  <c r="E226" i="40"/>
  <c r="C227" i="40"/>
  <c r="E228" i="40"/>
  <c r="E229" i="40"/>
  <c r="E230" i="40"/>
  <c r="E231" i="40"/>
  <c r="C232" i="40"/>
  <c r="E233" i="40"/>
  <c r="E234" i="40"/>
  <c r="E235" i="40"/>
  <c r="C236" i="40"/>
  <c r="E237" i="40"/>
  <c r="E238" i="40"/>
  <c r="E239" i="40"/>
  <c r="C240" i="40"/>
  <c r="E241" i="40"/>
  <c r="E242" i="40"/>
  <c r="E243" i="40"/>
  <c r="E244" i="40"/>
  <c r="C245" i="40"/>
  <c r="E246" i="40"/>
  <c r="E247" i="40"/>
  <c r="E248" i="40"/>
  <c r="E249" i="40"/>
  <c r="C250" i="40"/>
  <c r="E251" i="40"/>
  <c r="E252" i="40"/>
  <c r="E253" i="40"/>
  <c r="C254" i="40"/>
  <c r="E255" i="40"/>
  <c r="E256" i="40"/>
  <c r="E257" i="40"/>
  <c r="E258" i="40"/>
  <c r="C259" i="40"/>
  <c r="E260" i="40"/>
  <c r="E261" i="40"/>
  <c r="E262" i="40"/>
  <c r="E263" i="40"/>
  <c r="C264" i="40"/>
  <c r="E265" i="40"/>
  <c r="E266" i="40"/>
  <c r="E267" i="40"/>
  <c r="E268" i="40"/>
  <c r="C269" i="40"/>
  <c r="E270" i="40"/>
  <c r="E271" i="40"/>
  <c r="E272" i="40"/>
  <c r="C273" i="40"/>
  <c r="E274" i="40"/>
  <c r="E275" i="40"/>
  <c r="E276" i="40"/>
  <c r="C277" i="40"/>
  <c r="E278" i="40"/>
  <c r="E279" i="40"/>
  <c r="E280" i="40"/>
  <c r="C281" i="40"/>
  <c r="E282" i="40"/>
  <c r="E283" i="40"/>
  <c r="E284" i="40"/>
  <c r="C285" i="40"/>
  <c r="E286" i="40"/>
  <c r="E287" i="40"/>
  <c r="E288" i="40"/>
  <c r="E289" i="40"/>
  <c r="C290" i="40"/>
  <c r="E291" i="40"/>
  <c r="E292" i="40"/>
  <c r="E293" i="40"/>
  <c r="C294" i="40"/>
  <c r="E295" i="40"/>
  <c r="E296" i="40"/>
  <c r="E297" i="40"/>
  <c r="C298" i="40"/>
  <c r="E299" i="40"/>
  <c r="E300" i="40"/>
  <c r="E301" i="40"/>
  <c r="E302" i="40"/>
  <c r="C303" i="40"/>
  <c r="C308" i="40"/>
  <c r="C309" i="40"/>
  <c r="C310" i="40"/>
  <c r="C311" i="40"/>
  <c r="E44" i="40" l="1"/>
  <c r="E232" i="40"/>
  <c r="E20" i="40"/>
  <c r="E130" i="40"/>
  <c r="E294" i="40"/>
  <c r="E62" i="40"/>
  <c r="E269" i="40"/>
  <c r="E212" i="40"/>
  <c r="E91" i="40"/>
  <c r="E81" i="40"/>
  <c r="E180" i="40"/>
  <c r="E149" i="40"/>
  <c r="E195" i="40"/>
  <c r="E25" i="40"/>
  <c r="E281" i="40"/>
  <c r="E209" i="40"/>
  <c r="E58" i="40"/>
  <c r="E250" i="40"/>
  <c r="E245" i="40"/>
  <c r="E139" i="40"/>
  <c r="E185" i="40"/>
  <c r="E159" i="40"/>
  <c r="E125" i="40"/>
  <c r="E39" i="40"/>
  <c r="E259" i="40"/>
  <c r="E217" i="40"/>
  <c r="E95" i="40"/>
  <c r="E103" i="40"/>
  <c r="E303" i="40"/>
  <c r="E290" i="40"/>
  <c r="E298" i="40"/>
  <c r="E107" i="40"/>
  <c r="E16" i="40"/>
  <c r="C305" i="40"/>
  <c r="E134" i="40"/>
  <c r="E72" i="40"/>
  <c r="E277" i="40"/>
  <c r="E273" i="40"/>
  <c r="E236" i="40"/>
  <c r="E254" i="40"/>
  <c r="E240" i="40"/>
  <c r="E175" i="40"/>
  <c r="E172" i="40"/>
  <c r="E168" i="40"/>
  <c r="E143" i="40"/>
  <c r="E115" i="40"/>
  <c r="E111" i="40"/>
  <c r="E99" i="40"/>
  <c r="E34" i="40"/>
  <c r="E264" i="40"/>
  <c r="E227" i="40"/>
  <c r="E222" i="40"/>
  <c r="E205" i="40"/>
  <c r="E200" i="40"/>
  <c r="E190" i="40"/>
  <c r="E164" i="40"/>
  <c r="E154" i="40"/>
  <c r="E120" i="40"/>
  <c r="E86" i="40"/>
  <c r="E77" i="40"/>
  <c r="E67" i="40"/>
  <c r="E310" i="40"/>
  <c r="E54" i="40"/>
  <c r="E30" i="40"/>
  <c r="E308" i="40"/>
  <c r="E309" i="40"/>
  <c r="E311" i="40"/>
  <c r="E6" i="40"/>
  <c r="E285" i="40"/>
  <c r="C312" i="40"/>
  <c r="E49" i="40"/>
  <c r="E11" i="40"/>
  <c r="C313" i="40" l="1"/>
  <c r="E312" i="40"/>
  <c r="E305" i="40"/>
  <c r="E313" i="40" l="1"/>
  <c r="D4" i="29"/>
  <c r="E4" i="29"/>
  <c r="H70" i="39" l="1"/>
  <c r="E70" i="39"/>
  <c r="D70" i="39"/>
  <c r="C70" i="39"/>
  <c r="B70" i="39"/>
  <c r="J68" i="39"/>
  <c r="I68" i="39"/>
  <c r="F68" i="39"/>
  <c r="K68" i="39" s="1"/>
  <c r="L68" i="39" s="1"/>
  <c r="J67" i="39"/>
  <c r="I67" i="39"/>
  <c r="F67" i="39"/>
  <c r="K67" i="39" s="1"/>
  <c r="L67" i="39" s="1"/>
  <c r="J66" i="39"/>
  <c r="I66" i="39"/>
  <c r="F66" i="39"/>
  <c r="K66" i="39" s="1"/>
  <c r="L66" i="39" s="1"/>
  <c r="K65" i="39"/>
  <c r="L65" i="39" s="1"/>
  <c r="J65" i="39"/>
  <c r="I65" i="39"/>
  <c r="F65" i="39"/>
  <c r="K64" i="39"/>
  <c r="L64" i="39" s="1"/>
  <c r="J64" i="39"/>
  <c r="I64" i="39"/>
  <c r="F64" i="39"/>
  <c r="J63" i="39"/>
  <c r="I63" i="39"/>
  <c r="F63" i="39"/>
  <c r="K63" i="39" s="1"/>
  <c r="L63" i="39" s="1"/>
  <c r="J62" i="39"/>
  <c r="K62" i="39" s="1"/>
  <c r="L62" i="39" s="1"/>
  <c r="I62" i="39"/>
  <c r="F62" i="39"/>
  <c r="J61" i="39"/>
  <c r="K61" i="39" s="1"/>
  <c r="L61" i="39" s="1"/>
  <c r="I61" i="39"/>
  <c r="F61" i="39"/>
  <c r="J60" i="39"/>
  <c r="I60" i="39"/>
  <c r="F60" i="39"/>
  <c r="K60" i="39" s="1"/>
  <c r="L60" i="39" s="1"/>
  <c r="K59" i="39"/>
  <c r="L59" i="39" s="1"/>
  <c r="J59" i="39"/>
  <c r="I59" i="39"/>
  <c r="G59" i="39"/>
  <c r="F59" i="39"/>
  <c r="J58" i="39"/>
  <c r="K58" i="39" s="1"/>
  <c r="L58" i="39" s="1"/>
  <c r="I58" i="39"/>
  <c r="F58" i="39"/>
  <c r="J57" i="39"/>
  <c r="I57" i="39"/>
  <c r="F57" i="39"/>
  <c r="K57" i="39" s="1"/>
  <c r="L57" i="39" s="1"/>
  <c r="K56" i="39"/>
  <c r="L56" i="39" s="1"/>
  <c r="J56" i="39"/>
  <c r="I56" i="39"/>
  <c r="F56" i="39"/>
  <c r="J55" i="39"/>
  <c r="K55" i="39" s="1"/>
  <c r="L55" i="39" s="1"/>
  <c r="I55" i="39"/>
  <c r="F55" i="39"/>
  <c r="J54" i="39"/>
  <c r="I54" i="39"/>
  <c r="F54" i="39"/>
  <c r="K54" i="39" s="1"/>
  <c r="L54" i="39" s="1"/>
  <c r="J53" i="39"/>
  <c r="I53" i="39"/>
  <c r="F53" i="39"/>
  <c r="K53" i="39" s="1"/>
  <c r="L53" i="39" s="1"/>
  <c r="J52" i="39"/>
  <c r="I52" i="39"/>
  <c r="F52" i="39"/>
  <c r="K52" i="39" s="1"/>
  <c r="L52" i="39" s="1"/>
  <c r="K51" i="39"/>
  <c r="L51" i="39" s="1"/>
  <c r="J51" i="39"/>
  <c r="I51" i="39"/>
  <c r="F51" i="39"/>
  <c r="K50" i="39"/>
  <c r="L50" i="39" s="1"/>
  <c r="J50" i="39"/>
  <c r="I50" i="39"/>
  <c r="F50" i="39"/>
  <c r="J49" i="39"/>
  <c r="I49" i="39"/>
  <c r="F49" i="39"/>
  <c r="K49" i="39" s="1"/>
  <c r="L49" i="39" s="1"/>
  <c r="J48" i="39"/>
  <c r="I48" i="39"/>
  <c r="F48" i="39"/>
  <c r="K48" i="39" s="1"/>
  <c r="L48" i="39" s="1"/>
  <c r="J47" i="39"/>
  <c r="I47" i="39"/>
  <c r="F47" i="39"/>
  <c r="K47" i="39" s="1"/>
  <c r="L47" i="39" s="1"/>
  <c r="K46" i="39"/>
  <c r="L46" i="39" s="1"/>
  <c r="J46" i="39"/>
  <c r="I46" i="39"/>
  <c r="F46" i="39"/>
  <c r="K45" i="39"/>
  <c r="L45" i="39" s="1"/>
  <c r="J45" i="39"/>
  <c r="I45" i="39"/>
  <c r="F45" i="39"/>
  <c r="J44" i="39"/>
  <c r="I44" i="39"/>
  <c r="F44" i="39"/>
  <c r="L44" i="39" s="1"/>
  <c r="J43" i="39"/>
  <c r="I43" i="39"/>
  <c r="G43" i="39"/>
  <c r="G70" i="39" s="1"/>
  <c r="F43" i="39"/>
  <c r="K43" i="39" s="1"/>
  <c r="L43" i="39" s="1"/>
  <c r="K42" i="39"/>
  <c r="L42" i="39" s="1"/>
  <c r="J42" i="39"/>
  <c r="I42" i="39"/>
  <c r="F42" i="39"/>
  <c r="J41" i="39"/>
  <c r="I41" i="39"/>
  <c r="F41" i="39"/>
  <c r="K41" i="39" s="1"/>
  <c r="L41" i="39" s="1"/>
  <c r="J40" i="39"/>
  <c r="K40" i="39" s="1"/>
  <c r="L40" i="39" s="1"/>
  <c r="I40" i="39"/>
  <c r="F40" i="39"/>
  <c r="J39" i="39"/>
  <c r="K39" i="39" s="1"/>
  <c r="L39" i="39" s="1"/>
  <c r="I39" i="39"/>
  <c r="F39" i="39"/>
  <c r="J38" i="39"/>
  <c r="I38" i="39"/>
  <c r="F38" i="39"/>
  <c r="K38" i="39" s="1"/>
  <c r="L38" i="39" s="1"/>
  <c r="J37" i="39"/>
  <c r="K37" i="39" s="1"/>
  <c r="L37" i="39" s="1"/>
  <c r="I37" i="39"/>
  <c r="F37" i="39"/>
  <c r="J36" i="39"/>
  <c r="K36" i="39" s="1"/>
  <c r="L36" i="39" s="1"/>
  <c r="I36" i="39"/>
  <c r="F36" i="39"/>
  <c r="J35" i="39"/>
  <c r="I35" i="39"/>
  <c r="F35" i="39"/>
  <c r="K35" i="39" s="1"/>
  <c r="L35" i="39" s="1"/>
  <c r="J34" i="39"/>
  <c r="I34" i="39"/>
  <c r="F34" i="39"/>
  <c r="K34" i="39" s="1"/>
  <c r="L34" i="39" s="1"/>
  <c r="J33" i="39"/>
  <c r="I33" i="39"/>
  <c r="F33" i="39"/>
  <c r="K33" i="39" s="1"/>
  <c r="L33" i="39" s="1"/>
  <c r="J32" i="39"/>
  <c r="I32" i="39"/>
  <c r="F32" i="39"/>
  <c r="K32" i="39" s="1"/>
  <c r="L32" i="39" s="1"/>
  <c r="K31" i="39"/>
  <c r="L31" i="39" s="1"/>
  <c r="J31" i="39"/>
  <c r="I31" i="39"/>
  <c r="F31" i="39"/>
  <c r="J30" i="39"/>
  <c r="I30" i="39"/>
  <c r="F30" i="39"/>
  <c r="K30" i="39" s="1"/>
  <c r="L30" i="39" s="1"/>
  <c r="J29" i="39"/>
  <c r="I29" i="39"/>
  <c r="F29" i="39"/>
  <c r="K29" i="39" s="1"/>
  <c r="L29" i="39" s="1"/>
  <c r="J28" i="39"/>
  <c r="I28" i="39"/>
  <c r="F28" i="39"/>
  <c r="K28" i="39" s="1"/>
  <c r="L28" i="39" s="1"/>
  <c r="K27" i="39"/>
  <c r="L27" i="39" s="1"/>
  <c r="J27" i="39"/>
  <c r="I27" i="39"/>
  <c r="F27" i="39"/>
  <c r="K26" i="39"/>
  <c r="L26" i="39" s="1"/>
  <c r="J26" i="39"/>
  <c r="I26" i="39"/>
  <c r="F26" i="39"/>
  <c r="J25" i="39"/>
  <c r="I25" i="39"/>
  <c r="F25" i="39"/>
  <c r="K25" i="39" s="1"/>
  <c r="L25" i="39" s="1"/>
  <c r="J24" i="39"/>
  <c r="K24" i="39" s="1"/>
  <c r="L24" i="39" s="1"/>
  <c r="I24" i="39"/>
  <c r="F24" i="39"/>
  <c r="J23" i="39"/>
  <c r="K23" i="39" s="1"/>
  <c r="L23" i="39" s="1"/>
  <c r="I23" i="39"/>
  <c r="F23" i="39"/>
  <c r="J22" i="39"/>
  <c r="I22" i="39"/>
  <c r="F22" i="39"/>
  <c r="K22" i="39" s="1"/>
  <c r="L22" i="39" s="1"/>
  <c r="K21" i="39"/>
  <c r="L21" i="39" s="1"/>
  <c r="J21" i="39"/>
  <c r="I21" i="39"/>
  <c r="F21" i="39"/>
  <c r="J20" i="39"/>
  <c r="K20" i="39" s="1"/>
  <c r="L20" i="39" s="1"/>
  <c r="I20" i="39"/>
  <c r="F20" i="39"/>
  <c r="J19" i="39"/>
  <c r="I19" i="39"/>
  <c r="F19" i="39"/>
  <c r="K19" i="39" s="1"/>
  <c r="L19" i="39" s="1"/>
  <c r="J18" i="39"/>
  <c r="I18" i="39"/>
  <c r="F18" i="39"/>
  <c r="K18" i="39" s="1"/>
  <c r="L18" i="39" s="1"/>
  <c r="J17" i="39"/>
  <c r="I17" i="39"/>
  <c r="F17" i="39"/>
  <c r="J16" i="39"/>
  <c r="I16" i="39"/>
  <c r="F16" i="39"/>
  <c r="K16" i="39" s="1"/>
  <c r="L16" i="39" s="1"/>
  <c r="K15" i="39"/>
  <c r="L15" i="39" s="1"/>
  <c r="J15" i="39"/>
  <c r="I15" i="39"/>
  <c r="F15" i="39"/>
  <c r="J14" i="39"/>
  <c r="I14" i="39"/>
  <c r="F14" i="39"/>
  <c r="K14" i="39" s="1"/>
  <c r="L14" i="39" s="1"/>
  <c r="L13" i="39"/>
  <c r="K13" i="39"/>
  <c r="J13" i="39"/>
  <c r="I13" i="39"/>
  <c r="F13" i="39"/>
  <c r="J12" i="39"/>
  <c r="I12" i="39"/>
  <c r="F12" i="39"/>
  <c r="K12" i="39" s="1"/>
  <c r="L12" i="39" s="1"/>
  <c r="K11" i="39"/>
  <c r="L11" i="39" s="1"/>
  <c r="J11" i="39"/>
  <c r="I11" i="39"/>
  <c r="F11" i="39"/>
  <c r="K10" i="39"/>
  <c r="L10" i="39" s="1"/>
  <c r="J10" i="39"/>
  <c r="I10" i="39"/>
  <c r="F10" i="39"/>
  <c r="J9" i="39"/>
  <c r="I9" i="39"/>
  <c r="F9" i="39"/>
  <c r="K9" i="39" s="1"/>
  <c r="L9" i="39" s="1"/>
  <c r="J8" i="39"/>
  <c r="K8" i="39" s="1"/>
  <c r="L8" i="39" s="1"/>
  <c r="I8" i="39"/>
  <c r="F8" i="39"/>
  <c r="J7" i="39"/>
  <c r="K7" i="39" s="1"/>
  <c r="L7" i="39" s="1"/>
  <c r="I7" i="39"/>
  <c r="F7" i="39"/>
  <c r="J6" i="39"/>
  <c r="I6" i="39"/>
  <c r="F6" i="39"/>
  <c r="K6" i="39" s="1"/>
  <c r="L6" i="39" s="1"/>
  <c r="K5" i="39"/>
  <c r="L5" i="39" s="1"/>
  <c r="J5" i="39"/>
  <c r="I5" i="39"/>
  <c r="F5" i="39"/>
  <c r="J4" i="39"/>
  <c r="K4" i="39" s="1"/>
  <c r="L4" i="39" s="1"/>
  <c r="I4" i="39"/>
  <c r="F4" i="39"/>
  <c r="J3" i="39"/>
  <c r="I3" i="39"/>
  <c r="F3" i="39"/>
  <c r="K3" i="39" s="1"/>
  <c r="L3" i="39" s="1"/>
  <c r="J2" i="39"/>
  <c r="I2" i="39"/>
  <c r="F2" i="39"/>
  <c r="F70" i="39" s="1"/>
  <c r="B8" i="29"/>
  <c r="I70" i="39" l="1"/>
  <c r="J70" i="39"/>
  <c r="K17" i="39"/>
  <c r="L17" i="39" s="1"/>
  <c r="K2" i="39"/>
  <c r="D4" i="38"/>
  <c r="E4" i="38" s="1"/>
  <c r="F4" i="38" s="1"/>
  <c r="D5" i="38"/>
  <c r="E5" i="38" s="1"/>
  <c r="F5" i="38" s="1"/>
  <c r="D6" i="38"/>
  <c r="E6" i="38" s="1"/>
  <c r="F6" i="38" s="1"/>
  <c r="D7" i="38"/>
  <c r="E7" i="38" s="1"/>
  <c r="F7" i="38" s="1"/>
  <c r="D8" i="38"/>
  <c r="E8" i="38" s="1"/>
  <c r="F8" i="38" s="1"/>
  <c r="D9" i="38"/>
  <c r="E9" i="38" s="1"/>
  <c r="F9" i="38" s="1"/>
  <c r="D10" i="38"/>
  <c r="E10" i="38" s="1"/>
  <c r="F10" i="38" s="1"/>
  <c r="D11" i="38"/>
  <c r="E11" i="38" s="1"/>
  <c r="F11" i="38" s="1"/>
  <c r="D12" i="38"/>
  <c r="E12" i="38" s="1"/>
  <c r="F12" i="38" s="1"/>
  <c r="D13" i="38"/>
  <c r="E13" i="38" s="1"/>
  <c r="F13" i="38" s="1"/>
  <c r="D14" i="38"/>
  <c r="E14" i="38" s="1"/>
  <c r="F14" i="38" s="1"/>
  <c r="D15" i="38"/>
  <c r="E15" i="38" s="1"/>
  <c r="F15" i="38" s="1"/>
  <c r="D16" i="38"/>
  <c r="E16" i="38" s="1"/>
  <c r="F16" i="38" s="1"/>
  <c r="D17" i="38"/>
  <c r="E17" i="38" s="1"/>
  <c r="F17" i="38" s="1"/>
  <c r="D18" i="38"/>
  <c r="E18" i="38" s="1"/>
  <c r="F18" i="38" s="1"/>
  <c r="D19" i="38"/>
  <c r="E19" i="38" s="1"/>
  <c r="F19" i="38" s="1"/>
  <c r="D20" i="38"/>
  <c r="E20" i="38" s="1"/>
  <c r="F20" i="38" s="1"/>
  <c r="D21" i="38"/>
  <c r="E21" i="38" s="1"/>
  <c r="F21" i="38" s="1"/>
  <c r="D22" i="38"/>
  <c r="E22" i="38" s="1"/>
  <c r="F22" i="38" s="1"/>
  <c r="D23" i="38"/>
  <c r="E23" i="38" s="1"/>
  <c r="F23" i="38" s="1"/>
  <c r="D24" i="38"/>
  <c r="E24" i="38" s="1"/>
  <c r="F24" i="38" s="1"/>
  <c r="D25" i="38"/>
  <c r="E25" i="38" s="1"/>
  <c r="F25" i="38" s="1"/>
  <c r="D26" i="38"/>
  <c r="E26" i="38" s="1"/>
  <c r="F26" i="38" s="1"/>
  <c r="D27" i="38"/>
  <c r="E27" i="38" s="1"/>
  <c r="F27" i="38" s="1"/>
  <c r="D28" i="38"/>
  <c r="E28" i="38" s="1"/>
  <c r="F28" i="38" s="1"/>
  <c r="D29" i="38"/>
  <c r="E29" i="38" s="1"/>
  <c r="F29" i="38" s="1"/>
  <c r="D30" i="38"/>
  <c r="E30" i="38" s="1"/>
  <c r="F30" i="38" s="1"/>
  <c r="D31" i="38"/>
  <c r="E31" i="38" s="1"/>
  <c r="F31" i="38" s="1"/>
  <c r="D32" i="38"/>
  <c r="E32" i="38" s="1"/>
  <c r="F32" i="38" s="1"/>
  <c r="D33" i="38"/>
  <c r="E33" i="38" s="1"/>
  <c r="F33" i="38" s="1"/>
  <c r="D34" i="38"/>
  <c r="E34" i="38" s="1"/>
  <c r="F34" i="38" s="1"/>
  <c r="D35" i="38"/>
  <c r="E35" i="38" s="1"/>
  <c r="F35" i="38" s="1"/>
  <c r="D36" i="38"/>
  <c r="E36" i="38" s="1"/>
  <c r="F36" i="38" s="1"/>
  <c r="D37" i="38"/>
  <c r="E37" i="38" s="1"/>
  <c r="F37" i="38" s="1"/>
  <c r="D38" i="38"/>
  <c r="E38" i="38" s="1"/>
  <c r="F38" i="38" s="1"/>
  <c r="D39" i="38"/>
  <c r="E39" i="38" s="1"/>
  <c r="F39" i="38" s="1"/>
  <c r="D40" i="38"/>
  <c r="E40" i="38" s="1"/>
  <c r="F40" i="38" s="1"/>
  <c r="D41" i="38"/>
  <c r="E41" i="38" s="1"/>
  <c r="F41" i="38" s="1"/>
  <c r="D42" i="38"/>
  <c r="E42" i="38" s="1"/>
  <c r="F42" i="38" s="1"/>
  <c r="D43" i="38"/>
  <c r="E43" i="38" s="1"/>
  <c r="F43" i="38" s="1"/>
  <c r="D44" i="38"/>
  <c r="E44" i="38" s="1"/>
  <c r="F44" i="38" s="1"/>
  <c r="D45" i="38"/>
  <c r="E45" i="38" s="1"/>
  <c r="F45" i="38" s="1"/>
  <c r="D46" i="38"/>
  <c r="E46" i="38" s="1"/>
  <c r="F46" i="38" s="1"/>
  <c r="D47" i="38"/>
  <c r="E47" i="38" s="1"/>
  <c r="F47" i="38" s="1"/>
  <c r="D48" i="38"/>
  <c r="E48" i="38" s="1"/>
  <c r="F48" i="38" s="1"/>
  <c r="D49" i="38"/>
  <c r="E49" i="38" s="1"/>
  <c r="F49" i="38" s="1"/>
  <c r="D50" i="38"/>
  <c r="E50" i="38" s="1"/>
  <c r="F50" i="38" s="1"/>
  <c r="D51" i="38"/>
  <c r="E51" i="38" s="1"/>
  <c r="F51" i="38" s="1"/>
  <c r="D52" i="38"/>
  <c r="E52" i="38" s="1"/>
  <c r="F52" i="38" s="1"/>
  <c r="D53" i="38"/>
  <c r="E53" i="38" s="1"/>
  <c r="F53" i="38" s="1"/>
  <c r="D54" i="38"/>
  <c r="E54" i="38" s="1"/>
  <c r="F54" i="38" s="1"/>
  <c r="D55" i="38"/>
  <c r="E55" i="38" s="1"/>
  <c r="F55" i="38" s="1"/>
  <c r="D56" i="38"/>
  <c r="E56" i="38" s="1"/>
  <c r="F56" i="38" s="1"/>
  <c r="D57" i="38"/>
  <c r="E57" i="38" s="1"/>
  <c r="F57" i="38" s="1"/>
  <c r="D58" i="38"/>
  <c r="E58" i="38" s="1"/>
  <c r="F58" i="38" s="1"/>
  <c r="D59" i="38"/>
  <c r="E59" i="38" s="1"/>
  <c r="F59" i="38" s="1"/>
  <c r="D60" i="38"/>
  <c r="E60" i="38" s="1"/>
  <c r="F60" i="38" s="1"/>
  <c r="D61" i="38"/>
  <c r="E61" i="38" s="1"/>
  <c r="F61" i="38" s="1"/>
  <c r="D62" i="38"/>
  <c r="E62" i="38" s="1"/>
  <c r="F62" i="38" s="1"/>
  <c r="D63" i="38"/>
  <c r="E63" i="38" s="1"/>
  <c r="F63" i="38" s="1"/>
  <c r="D64" i="38"/>
  <c r="E64" i="38" s="1"/>
  <c r="F64" i="38" s="1"/>
  <c r="D65" i="38"/>
  <c r="E65" i="38" s="1"/>
  <c r="F65" i="38" s="1"/>
  <c r="E66" i="38"/>
  <c r="F66" i="38" s="1"/>
  <c r="D67" i="38"/>
  <c r="E67" i="38" s="1"/>
  <c r="F67" i="38" s="1"/>
  <c r="D68" i="38"/>
  <c r="E68" i="38" s="1"/>
  <c r="F68" i="38" s="1"/>
  <c r="D69" i="38"/>
  <c r="E69" i="38" s="1"/>
  <c r="F69" i="38" s="1"/>
  <c r="D3" i="38"/>
  <c r="E3" i="38" s="1"/>
  <c r="F3" i="38" s="1"/>
  <c r="C71" i="38"/>
  <c r="C77" i="27"/>
  <c r="C71" i="27"/>
  <c r="C65" i="27"/>
  <c r="C51" i="27"/>
  <c r="C41" i="27"/>
  <c r="C31" i="27"/>
  <c r="C19" i="27"/>
  <c r="C7" i="27"/>
  <c r="K70" i="39" l="1"/>
  <c r="L2" i="39"/>
  <c r="E71" i="38" l="1"/>
  <c r="F71" i="38" s="1"/>
  <c r="D71" i="38"/>
  <c r="I70" i="26" l="1"/>
  <c r="I72" i="26" s="1"/>
  <c r="D70" i="26" l="1"/>
  <c r="C70" i="26"/>
  <c r="E70" i="26" l="1"/>
  <c r="Q30" i="26" l="1"/>
  <c r="D5" i="29" l="1"/>
  <c r="E5" i="29" s="1"/>
  <c r="B5" i="29"/>
  <c r="E6" i="29" l="1"/>
  <c r="D76" i="27" l="1"/>
  <c r="D70" i="27"/>
  <c r="D60" i="27"/>
  <c r="D44" i="27"/>
  <c r="D40" i="27"/>
  <c r="D28" i="27"/>
  <c r="D12" i="27"/>
  <c r="C80" i="27" l="1"/>
  <c r="D47" i="27"/>
  <c r="D63" i="27"/>
  <c r="D16" i="27"/>
  <c r="D32" i="27"/>
  <c r="D48" i="27"/>
  <c r="D64" i="27"/>
  <c r="D17" i="27"/>
  <c r="D33" i="27"/>
  <c r="D49" i="27"/>
  <c r="D18" i="27"/>
  <c r="D34" i="27"/>
  <c r="D50" i="27"/>
  <c r="D66" i="27"/>
  <c r="D35" i="27"/>
  <c r="D67" i="27"/>
  <c r="D4" i="27"/>
  <c r="D20" i="27"/>
  <c r="D36" i="27"/>
  <c r="D52" i="27"/>
  <c r="D68" i="27"/>
  <c r="C78" i="27"/>
  <c r="D15" i="27"/>
  <c r="D3" i="27"/>
  <c r="D80" i="27" s="1"/>
  <c r="D5" i="27"/>
  <c r="D21" i="27"/>
  <c r="D37" i="27"/>
  <c r="D53" i="27"/>
  <c r="D69" i="27"/>
  <c r="D13" i="27"/>
  <c r="D29" i="27"/>
  <c r="D45" i="27"/>
  <c r="D61" i="27"/>
  <c r="D14" i="27"/>
  <c r="D30" i="27"/>
  <c r="D46" i="27"/>
  <c r="D62" i="27"/>
  <c r="D6" i="27"/>
  <c r="D22" i="27"/>
  <c r="D38" i="27"/>
  <c r="D54" i="27"/>
  <c r="D23" i="27"/>
  <c r="D39" i="27"/>
  <c r="D55" i="27"/>
  <c r="D57" i="27"/>
  <c r="D73" i="27"/>
  <c r="D10" i="27"/>
  <c r="D26" i="27"/>
  <c r="D42" i="27"/>
  <c r="D58" i="27"/>
  <c r="D74" i="27"/>
  <c r="D11" i="27"/>
  <c r="D27" i="27"/>
  <c r="D43" i="27"/>
  <c r="D59" i="27"/>
  <c r="D75" i="27"/>
  <c r="D8" i="27"/>
  <c r="D24" i="27"/>
  <c r="D56" i="27"/>
  <c r="D72" i="27"/>
  <c r="D9" i="27"/>
  <c r="D25" i="27"/>
  <c r="L70" i="26" l="1"/>
  <c r="R70" i="26" l="1"/>
  <c r="J70" i="26"/>
  <c r="O70" i="26"/>
  <c r="H70" i="26"/>
  <c r="P70" i="26"/>
  <c r="G70" i="26"/>
  <c r="F70" i="26"/>
  <c r="Q68" i="26"/>
  <c r="S68" i="26" s="1"/>
  <c r="U68" i="26" s="1"/>
  <c r="Q67" i="26"/>
  <c r="S67" i="26" s="1"/>
  <c r="Q66" i="26"/>
  <c r="S66" i="26" s="1"/>
  <c r="U66" i="26" s="1"/>
  <c r="Q65" i="26"/>
  <c r="S65" i="26" s="1"/>
  <c r="Q64" i="26"/>
  <c r="S64" i="26" s="1"/>
  <c r="U64" i="26" s="1"/>
  <c r="Q63" i="26"/>
  <c r="S63" i="26" s="1"/>
  <c r="Q62" i="26"/>
  <c r="S62" i="26" s="1"/>
  <c r="U62" i="26" s="1"/>
  <c r="Q61" i="26"/>
  <c r="S61" i="26" s="1"/>
  <c r="Q60" i="26"/>
  <c r="S60" i="26" s="1"/>
  <c r="U60" i="26" s="1"/>
  <c r="Q59" i="26"/>
  <c r="S59" i="26" s="1"/>
  <c r="Q58" i="26"/>
  <c r="S58" i="26" s="1"/>
  <c r="U58" i="26" s="1"/>
  <c r="Q57" i="26"/>
  <c r="S57" i="26" s="1"/>
  <c r="Q56" i="26"/>
  <c r="S56" i="26" s="1"/>
  <c r="U56" i="26" s="1"/>
  <c r="S55" i="26"/>
  <c r="Q54" i="26"/>
  <c r="S54" i="26" s="1"/>
  <c r="U54" i="26" s="1"/>
  <c r="Q53" i="26"/>
  <c r="S53" i="26" s="1"/>
  <c r="Q52" i="26"/>
  <c r="S52" i="26" s="1"/>
  <c r="U52" i="26" s="1"/>
  <c r="Q51" i="26"/>
  <c r="S51" i="26" s="1"/>
  <c r="Q50" i="26"/>
  <c r="S50" i="26" s="1"/>
  <c r="U50" i="26" s="1"/>
  <c r="Q49" i="26"/>
  <c r="S49" i="26" s="1"/>
  <c r="Q48" i="26"/>
  <c r="S48" i="26" s="1"/>
  <c r="U48" i="26" s="1"/>
  <c r="Q47" i="26"/>
  <c r="S47" i="26" s="1"/>
  <c r="Q46" i="26"/>
  <c r="S46" i="26" s="1"/>
  <c r="U46" i="26" s="1"/>
  <c r="Q45" i="26"/>
  <c r="S45" i="26" s="1"/>
  <c r="Q44" i="26"/>
  <c r="S44" i="26" s="1"/>
  <c r="U44" i="26" s="1"/>
  <c r="Q43" i="26"/>
  <c r="S43" i="26" s="1"/>
  <c r="Q42" i="26"/>
  <c r="S42" i="26" s="1"/>
  <c r="U42" i="26" s="1"/>
  <c r="Q41" i="26"/>
  <c r="S41" i="26" s="1"/>
  <c r="Q40" i="26"/>
  <c r="S40" i="26" s="1"/>
  <c r="U40" i="26" s="1"/>
  <c r="Q39" i="26"/>
  <c r="S39" i="26" s="1"/>
  <c r="Q38" i="26"/>
  <c r="S38" i="26" s="1"/>
  <c r="U38" i="26" s="1"/>
  <c r="Q37" i="26"/>
  <c r="S37" i="26" s="1"/>
  <c r="Q36" i="26"/>
  <c r="S36" i="26" s="1"/>
  <c r="U36" i="26" s="1"/>
  <c r="Q35" i="26"/>
  <c r="S35" i="26" s="1"/>
  <c r="Q34" i="26"/>
  <c r="S34" i="26" s="1"/>
  <c r="U34" i="26" s="1"/>
  <c r="Q33" i="26"/>
  <c r="S33" i="26" s="1"/>
  <c r="Q32" i="26"/>
  <c r="S32" i="26" s="1"/>
  <c r="U32" i="26" s="1"/>
  <c r="Q31" i="26"/>
  <c r="S31" i="26" s="1"/>
  <c r="S30" i="26"/>
  <c r="U30" i="26" s="1"/>
  <c r="Q29" i="26"/>
  <c r="S29" i="26" s="1"/>
  <c r="Q28" i="26"/>
  <c r="S28" i="26" s="1"/>
  <c r="U28" i="26" s="1"/>
  <c r="Q27" i="26"/>
  <c r="S27" i="26" s="1"/>
  <c r="Q26" i="26"/>
  <c r="S26" i="26" s="1"/>
  <c r="U26" i="26" s="1"/>
  <c r="Q25" i="26"/>
  <c r="S25" i="26" s="1"/>
  <c r="Q24" i="26"/>
  <c r="S24" i="26" s="1"/>
  <c r="U24" i="26" s="1"/>
  <c r="Q23" i="26"/>
  <c r="S23" i="26" s="1"/>
  <c r="Q22" i="26"/>
  <c r="S22" i="26" s="1"/>
  <c r="U22" i="26" s="1"/>
  <c r="Q21" i="26"/>
  <c r="S21" i="26" s="1"/>
  <c r="Q20" i="26"/>
  <c r="S20" i="26" s="1"/>
  <c r="U20" i="26" s="1"/>
  <c r="Q19" i="26"/>
  <c r="S19" i="26" s="1"/>
  <c r="Q18" i="26"/>
  <c r="S18" i="26" s="1"/>
  <c r="U18" i="26" s="1"/>
  <c r="Q17" i="26"/>
  <c r="S17" i="26" s="1"/>
  <c r="Q16" i="26"/>
  <c r="S16" i="26" s="1"/>
  <c r="U16" i="26" s="1"/>
  <c r="Q15" i="26"/>
  <c r="S15" i="26" s="1"/>
  <c r="Q14" i="26"/>
  <c r="S14" i="26" s="1"/>
  <c r="U14" i="26" s="1"/>
  <c r="Q13" i="26"/>
  <c r="S13" i="26" s="1"/>
  <c r="Q12" i="26"/>
  <c r="S12" i="26" s="1"/>
  <c r="U12" i="26" s="1"/>
  <c r="Q11" i="26"/>
  <c r="S11" i="26" s="1"/>
  <c r="Q10" i="26"/>
  <c r="S10" i="26" s="1"/>
  <c r="U10" i="26" s="1"/>
  <c r="Q9" i="26"/>
  <c r="S9" i="26" s="1"/>
  <c r="Q8" i="26"/>
  <c r="S8" i="26" s="1"/>
  <c r="U8" i="26" s="1"/>
  <c r="Q7" i="26"/>
  <c r="S7" i="26" s="1"/>
  <c r="Q6" i="26"/>
  <c r="S6" i="26" s="1"/>
  <c r="U6" i="26" s="1"/>
  <c r="Q5" i="26"/>
  <c r="S5" i="26" s="1"/>
  <c r="Q4" i="26"/>
  <c r="S4" i="26" s="1"/>
  <c r="U4" i="26" s="1"/>
  <c r="Q3" i="26"/>
  <c r="S3" i="26" s="1"/>
  <c r="Q2" i="26"/>
  <c r="T63" i="26" l="1"/>
  <c r="U63" i="26"/>
  <c r="T13" i="26"/>
  <c r="U13" i="26"/>
  <c r="T31" i="26"/>
  <c r="U31" i="26"/>
  <c r="T67" i="26"/>
  <c r="U67" i="26"/>
  <c r="T61" i="26"/>
  <c r="U61" i="26"/>
  <c r="T53" i="26"/>
  <c r="U53" i="26"/>
  <c r="T45" i="26"/>
  <c r="U45" i="26"/>
  <c r="T3" i="26"/>
  <c r="U3" i="26"/>
  <c r="T15" i="26"/>
  <c r="U15" i="26"/>
  <c r="T17" i="26"/>
  <c r="U17" i="26"/>
  <c r="T19" i="26"/>
  <c r="U19" i="26"/>
  <c r="T23" i="26"/>
  <c r="U23" i="26"/>
  <c r="T39" i="26"/>
  <c r="U39" i="26"/>
  <c r="T55" i="26"/>
  <c r="U55" i="26"/>
  <c r="T49" i="26"/>
  <c r="U49" i="26"/>
  <c r="T47" i="26"/>
  <c r="U47" i="26"/>
  <c r="T51" i="26"/>
  <c r="U51" i="26"/>
  <c r="U41" i="26"/>
  <c r="T41" i="26"/>
  <c r="T57" i="26"/>
  <c r="U57" i="26"/>
  <c r="T33" i="26"/>
  <c r="U33" i="26"/>
  <c r="T9" i="26"/>
  <c r="U9" i="26"/>
  <c r="T11" i="26"/>
  <c r="U11" i="26"/>
  <c r="T27" i="26"/>
  <c r="U27" i="26"/>
  <c r="T59" i="26"/>
  <c r="U59" i="26"/>
  <c r="T29" i="26"/>
  <c r="U29" i="26"/>
  <c r="T35" i="26"/>
  <c r="U35" i="26"/>
  <c r="T37" i="26"/>
  <c r="U37" i="26"/>
  <c r="T25" i="26"/>
  <c r="U25" i="26"/>
  <c r="T65" i="26"/>
  <c r="U65" i="26"/>
  <c r="T21" i="26"/>
  <c r="U21" i="26"/>
  <c r="T7" i="26"/>
  <c r="U7" i="26"/>
  <c r="T5" i="26"/>
  <c r="U5" i="26"/>
  <c r="T43" i="26"/>
  <c r="U43" i="26"/>
  <c r="Q70" i="26"/>
  <c r="Q72" i="26" s="1"/>
  <c r="T48" i="26"/>
  <c r="T10" i="26"/>
  <c r="T26" i="26"/>
  <c r="T50" i="26"/>
  <c r="T66" i="26"/>
  <c r="T58" i="26"/>
  <c r="T16" i="26"/>
  <c r="T32" i="26"/>
  <c r="T56" i="26"/>
  <c r="T34" i="26"/>
  <c r="T12" i="26"/>
  <c r="T20" i="26"/>
  <c r="T28" i="26"/>
  <c r="T36" i="26"/>
  <c r="T44" i="26"/>
  <c r="T52" i="26"/>
  <c r="T68" i="26"/>
  <c r="T8" i="26"/>
  <c r="T40" i="26"/>
  <c r="T60" i="26"/>
  <c r="T24" i="26"/>
  <c r="T64" i="26"/>
  <c r="T18" i="26"/>
  <c r="T42" i="26"/>
  <c r="T4" i="26"/>
  <c r="T6" i="26"/>
  <c r="T14" i="26"/>
  <c r="T22" i="26"/>
  <c r="T30" i="26"/>
  <c r="T38" i="26"/>
  <c r="T46" i="26"/>
  <c r="T54" i="26"/>
  <c r="T62" i="26"/>
  <c r="S2" i="26"/>
  <c r="U2" i="26" l="1"/>
  <c r="T2" i="26"/>
  <c r="S70" i="26"/>
  <c r="C71" i="24"/>
  <c r="E1" i="24" s="1"/>
  <c r="D71" i="24"/>
  <c r="E67" i="24" l="1"/>
  <c r="G67" i="24" s="1"/>
  <c r="H67" i="24" s="1"/>
  <c r="E68" i="24"/>
  <c r="E66" i="24"/>
  <c r="E65" i="24"/>
  <c r="E3" i="24"/>
  <c r="U70" i="26"/>
  <c r="T70" i="26"/>
  <c r="E61" i="24" l="1"/>
  <c r="E4" i="24"/>
  <c r="E40" i="24"/>
  <c r="E62" i="24"/>
  <c r="E6" i="24"/>
  <c r="E18" i="24"/>
  <c r="E31" i="24"/>
  <c r="E43" i="24"/>
  <c r="E56" i="24"/>
  <c r="E27" i="24"/>
  <c r="E7" i="24"/>
  <c r="E19" i="24"/>
  <c r="E32" i="24"/>
  <c r="E46" i="24"/>
  <c r="E58" i="24"/>
  <c r="E15" i="24"/>
  <c r="E8" i="24"/>
  <c r="E22" i="24"/>
  <c r="E34" i="24"/>
  <c r="E47" i="24"/>
  <c r="E64" i="24"/>
  <c r="E10" i="24"/>
  <c r="E23" i="24"/>
  <c r="E35" i="24"/>
  <c r="E48" i="24"/>
  <c r="E59" i="24"/>
  <c r="E11" i="24"/>
  <c r="E24" i="24"/>
  <c r="E38" i="24"/>
  <c r="E50" i="24"/>
  <c r="E54" i="24"/>
  <c r="E14" i="24"/>
  <c r="E26" i="24"/>
  <c r="E39" i="24"/>
  <c r="E51" i="24"/>
  <c r="F51" i="24" s="1"/>
  <c r="E63" i="24"/>
  <c r="E16" i="24"/>
  <c r="E30" i="24"/>
  <c r="E42" i="24"/>
  <c r="E55" i="24"/>
  <c r="E69" i="24"/>
  <c r="E29" i="24"/>
  <c r="E33" i="24"/>
  <c r="E49" i="24"/>
  <c r="E60" i="24"/>
  <c r="E28" i="24"/>
  <c r="E45" i="24"/>
  <c r="E17" i="24"/>
  <c r="E53" i="24"/>
  <c r="E21" i="24"/>
  <c r="E57" i="24"/>
  <c r="E25" i="24"/>
  <c r="E36" i="24"/>
  <c r="E52" i="24"/>
  <c r="E20" i="24"/>
  <c r="E13" i="24"/>
  <c r="E44" i="24"/>
  <c r="E12" i="24"/>
  <c r="E9" i="24"/>
  <c r="E37" i="24"/>
  <c r="E5" i="24"/>
  <c r="E41" i="24"/>
  <c r="F55" i="24" l="1"/>
  <c r="G55" i="24"/>
  <c r="H55" i="24" s="1"/>
  <c r="F26" i="24"/>
  <c r="G26" i="24"/>
  <c r="H26" i="24" s="1"/>
  <c r="F67" i="24"/>
  <c r="F9" i="24"/>
  <c r="G9" i="24"/>
  <c r="H9" i="24" s="1"/>
  <c r="G57" i="24"/>
  <c r="H57" i="24" s="1"/>
  <c r="F57" i="24"/>
  <c r="F49" i="24"/>
  <c r="G49" i="24"/>
  <c r="H49" i="24" s="1"/>
  <c r="F30" i="24"/>
  <c r="G30" i="24"/>
  <c r="H30" i="24" s="1"/>
  <c r="F54" i="24"/>
  <c r="G54" i="24"/>
  <c r="H54" i="24" s="1"/>
  <c r="F23" i="24"/>
  <c r="G23" i="24"/>
  <c r="H23" i="24" s="1"/>
  <c r="F58" i="24"/>
  <c r="G58" i="24"/>
  <c r="H58" i="24" s="1"/>
  <c r="F43" i="24"/>
  <c r="G43" i="24"/>
  <c r="H43" i="24" s="1"/>
  <c r="G12" i="24"/>
  <c r="H12" i="24" s="1"/>
  <c r="F12" i="24"/>
  <c r="G21" i="24"/>
  <c r="H21" i="24" s="1"/>
  <c r="F21" i="24"/>
  <c r="G33" i="24"/>
  <c r="H33" i="24" s="1"/>
  <c r="F33" i="24"/>
  <c r="F16" i="24"/>
  <c r="G16" i="24"/>
  <c r="H16" i="24" s="1"/>
  <c r="F50" i="24"/>
  <c r="G50" i="24"/>
  <c r="H50" i="24" s="1"/>
  <c r="F10" i="24"/>
  <c r="G10" i="24"/>
  <c r="H10" i="24" s="1"/>
  <c r="F46" i="24"/>
  <c r="G46" i="24"/>
  <c r="H46" i="24" s="1"/>
  <c r="F31" i="24"/>
  <c r="G31" i="24"/>
  <c r="H31" i="24" s="1"/>
  <c r="F36" i="24"/>
  <c r="G36" i="24"/>
  <c r="H36" i="24" s="1"/>
  <c r="G65" i="24"/>
  <c r="H65" i="24" s="1"/>
  <c r="F65" i="24"/>
  <c r="F38" i="24"/>
  <c r="G38" i="24"/>
  <c r="H38" i="24" s="1"/>
  <c r="F64" i="24"/>
  <c r="G64" i="24"/>
  <c r="H64" i="24" s="1"/>
  <c r="F32" i="24"/>
  <c r="G32" i="24"/>
  <c r="H32" i="24" s="1"/>
  <c r="F18" i="24"/>
  <c r="G18" i="24"/>
  <c r="H18" i="24" s="1"/>
  <c r="G53" i="24"/>
  <c r="H53" i="24" s="1"/>
  <c r="F53" i="24"/>
  <c r="G13" i="24"/>
  <c r="H13" i="24" s="1"/>
  <c r="F13" i="24"/>
  <c r="F63" i="24"/>
  <c r="G63" i="24"/>
  <c r="H63" i="24" s="1"/>
  <c r="F6" i="24"/>
  <c r="G6" i="24"/>
  <c r="H6" i="24" s="1"/>
  <c r="F24" i="24"/>
  <c r="G24" i="24"/>
  <c r="H24" i="24" s="1"/>
  <c r="G20" i="24"/>
  <c r="H20" i="24" s="1"/>
  <c r="F20" i="24"/>
  <c r="F17" i="24"/>
  <c r="G17" i="24"/>
  <c r="H17" i="24" s="1"/>
  <c r="F69" i="24"/>
  <c r="G69" i="24"/>
  <c r="H69" i="24" s="1"/>
  <c r="G51" i="24"/>
  <c r="H51" i="24" s="1"/>
  <c r="F11" i="24"/>
  <c r="G11" i="24"/>
  <c r="H11" i="24" s="1"/>
  <c r="F34" i="24"/>
  <c r="G34" i="24"/>
  <c r="H34" i="24" s="1"/>
  <c r="F7" i="24"/>
  <c r="G7" i="24"/>
  <c r="H7" i="24" s="1"/>
  <c r="F62" i="24"/>
  <c r="G62" i="24"/>
  <c r="H62" i="24" s="1"/>
  <c r="F28" i="24"/>
  <c r="G28" i="24"/>
  <c r="H28" i="24" s="1"/>
  <c r="F44" i="24"/>
  <c r="G44" i="24"/>
  <c r="H44" i="24" s="1"/>
  <c r="F3" i="24"/>
  <c r="G3" i="24"/>
  <c r="E71" i="24"/>
  <c r="F68" i="24"/>
  <c r="G68" i="24"/>
  <c r="H68" i="24" s="1"/>
  <c r="G29" i="24"/>
  <c r="H29" i="24" s="1"/>
  <c r="F29" i="24"/>
  <c r="F47" i="24"/>
  <c r="G47" i="24"/>
  <c r="H47" i="24" s="1"/>
  <c r="F19" i="24"/>
  <c r="G19" i="24"/>
  <c r="H19" i="24" s="1"/>
  <c r="G41" i="24"/>
  <c r="H41" i="24" s="1"/>
  <c r="F41" i="24"/>
  <c r="F52" i="24"/>
  <c r="G52" i="24"/>
  <c r="H52" i="24" s="1"/>
  <c r="G45" i="24"/>
  <c r="H45" i="24" s="1"/>
  <c r="F45" i="24"/>
  <c r="F66" i="24"/>
  <c r="G66" i="24"/>
  <c r="H66" i="24" s="1"/>
  <c r="F39" i="24"/>
  <c r="G39" i="24"/>
  <c r="H39" i="24" s="1"/>
  <c r="F59" i="24"/>
  <c r="G59" i="24"/>
  <c r="H59" i="24" s="1"/>
  <c r="F22" i="24"/>
  <c r="G22" i="24"/>
  <c r="H22" i="24" s="1"/>
  <c r="F27" i="24"/>
  <c r="G27" i="24"/>
  <c r="H27" i="24" s="1"/>
  <c r="F40" i="24"/>
  <c r="G40" i="24"/>
  <c r="H40" i="24" s="1"/>
  <c r="G5" i="24"/>
  <c r="H5" i="24" s="1"/>
  <c r="F5" i="24"/>
  <c r="F48" i="24"/>
  <c r="G48" i="24"/>
  <c r="H48" i="24" s="1"/>
  <c r="F8" i="24"/>
  <c r="G8" i="24"/>
  <c r="H8" i="24" s="1"/>
  <c r="F4" i="24"/>
  <c r="G4" i="24"/>
  <c r="H4" i="24" s="1"/>
  <c r="G37" i="24"/>
  <c r="H37" i="24" s="1"/>
  <c r="F37" i="24"/>
  <c r="G25" i="24"/>
  <c r="H25" i="24" s="1"/>
  <c r="F25" i="24"/>
  <c r="F60" i="24"/>
  <c r="G60" i="24"/>
  <c r="H60" i="24" s="1"/>
  <c r="F42" i="24"/>
  <c r="G42" i="24"/>
  <c r="H42" i="24" s="1"/>
  <c r="F14" i="24"/>
  <c r="G14" i="24"/>
  <c r="H14" i="24" s="1"/>
  <c r="F35" i="24"/>
  <c r="G35" i="24"/>
  <c r="H35" i="24" s="1"/>
  <c r="F15" i="24"/>
  <c r="G15" i="24"/>
  <c r="H15" i="24" s="1"/>
  <c r="F56" i="24"/>
  <c r="G56" i="24"/>
  <c r="H56" i="24" s="1"/>
  <c r="G61" i="24"/>
  <c r="H61" i="24" s="1"/>
  <c r="F61" i="24"/>
  <c r="H3" i="24" l="1"/>
  <c r="G73" i="24"/>
  <c r="G71" i="24"/>
  <c r="G74" i="24"/>
  <c r="F71" i="24"/>
</calcChain>
</file>

<file path=xl/sharedStrings.xml><?xml version="1.0" encoding="utf-8"?>
<sst xmlns="http://schemas.openxmlformats.org/spreadsheetml/2006/main" count="1804" uniqueCount="289">
  <si>
    <t>County</t>
  </si>
  <si>
    <t>Calhoun</t>
  </si>
  <si>
    <t>Lafayette</t>
  </si>
  <si>
    <t>Liberty</t>
  </si>
  <si>
    <t>Union</t>
  </si>
  <si>
    <t>Baker</t>
  </si>
  <si>
    <t>Dixie</t>
  </si>
  <si>
    <t>Franklin</t>
  </si>
  <si>
    <t>Gilchrist</t>
  </si>
  <si>
    <t>Glades</t>
  </si>
  <si>
    <t>Gulf</t>
  </si>
  <si>
    <t>Hamilton</t>
  </si>
  <si>
    <t>Holmes</t>
  </si>
  <si>
    <t>Jefferson</t>
  </si>
  <si>
    <t>Taylor</t>
  </si>
  <si>
    <t>Washington</t>
  </si>
  <si>
    <t>Bradford</t>
  </si>
  <si>
    <t>DeSoto</t>
  </si>
  <si>
    <t>Gadsden</t>
  </si>
  <si>
    <t>Hardee</t>
  </si>
  <si>
    <t>Hendry</t>
  </si>
  <si>
    <t>Jackson</t>
  </si>
  <si>
    <t>Levy</t>
  </si>
  <si>
    <t>Madison</t>
  </si>
  <si>
    <t>Okeechobee</t>
  </si>
  <si>
    <t>Suwannee</t>
  </si>
  <si>
    <t>Wakulla</t>
  </si>
  <si>
    <t>Citrus</t>
  </si>
  <si>
    <t>Columbia</t>
  </si>
  <si>
    <t>Flagler</t>
  </si>
  <si>
    <t>Highlands</t>
  </si>
  <si>
    <t>Indian River</t>
  </si>
  <si>
    <t>Nassau</t>
  </si>
  <si>
    <t>Putnam</t>
  </si>
  <si>
    <t>Sumter</t>
  </si>
  <si>
    <t>Walton</t>
  </si>
  <si>
    <t>Alachua</t>
  </si>
  <si>
    <t>Charlotte</t>
  </si>
  <si>
    <t>Clay</t>
  </si>
  <si>
    <t>Hernando</t>
  </si>
  <si>
    <t>Martin</t>
  </si>
  <si>
    <t>Monroe</t>
  </si>
  <si>
    <t>Okaloosa</t>
  </si>
  <si>
    <t>Saint Johns</t>
  </si>
  <si>
    <t>Santa Rosa</t>
  </si>
  <si>
    <t>Bay</t>
  </si>
  <si>
    <t>Brevard</t>
  </si>
  <si>
    <t>Collier</t>
  </si>
  <si>
    <t>Escambia</t>
  </si>
  <si>
    <t>Lake</t>
  </si>
  <si>
    <t>Leon</t>
  </si>
  <si>
    <t>Manatee</t>
  </si>
  <si>
    <t>Marion</t>
  </si>
  <si>
    <t>Osceola</t>
  </si>
  <si>
    <t>Pasco</t>
  </si>
  <si>
    <t>Saint Lucie</t>
  </si>
  <si>
    <t>Sarasota</t>
  </si>
  <si>
    <t>Seminole</t>
  </si>
  <si>
    <t>Duval</t>
  </si>
  <si>
    <t>Lee</t>
  </si>
  <si>
    <t>Pinellas</t>
  </si>
  <si>
    <t>Polk</t>
  </si>
  <si>
    <t>Volusia</t>
  </si>
  <si>
    <t>Broward</t>
  </si>
  <si>
    <t>Hillsborough</t>
  </si>
  <si>
    <t>Miami-Dade</t>
  </si>
  <si>
    <t>Orange</t>
  </si>
  <si>
    <t>Palm Beach</t>
  </si>
  <si>
    <t>STATEWIDE TOTAL</t>
  </si>
  <si>
    <t>Calculation Line</t>
  </si>
  <si>
    <t>New Revenue Summary</t>
  </si>
  <si>
    <t>Peer
Group</t>
  </si>
  <si>
    <t>TOTAL</t>
  </si>
  <si>
    <t>Difference</t>
  </si>
  <si>
    <t>Percentage of Total Budget</t>
  </si>
  <si>
    <t>CFY 2022-23 Revenue-Limited Budget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</si>
  <si>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Budget Reduction Issues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</si>
  <si>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Benefits/ COLA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</si>
  <si>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Cost Shifts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</si>
  <si>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Other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</si>
  <si>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Compliance Issues</t>
    </r>
  </si>
  <si>
    <t>TOTAL 
Funding 
Issues
Requested</t>
  </si>
  <si>
    <t>TOTAL 
FTE Requested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</si>
  <si>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IT Funded from CCOC</t>
    </r>
  </si>
  <si>
    <t>Budget Comparison to the Peer Group Average</t>
  </si>
  <si>
    <t>Peer Groups</t>
  </si>
  <si>
    <t>Peer Group 1 Average</t>
  </si>
  <si>
    <t>Peer Group 2 Average</t>
  </si>
  <si>
    <t>2 Average</t>
  </si>
  <si>
    <t>Peer Group 3 Average</t>
  </si>
  <si>
    <t>Peer Group 4 Average</t>
  </si>
  <si>
    <t>Peer Group 5 Average</t>
  </si>
  <si>
    <t>Peer Group 6 Average</t>
  </si>
  <si>
    <t>Peer Group 7 Average</t>
  </si>
  <si>
    <t>Peer Group 8 Average</t>
  </si>
  <si>
    <t>Grand Average</t>
  </si>
  <si>
    <t>Total 
Revenues
for Settle-Up</t>
  </si>
  <si>
    <t>Unspent 
Budgeted 
Funds</t>
  </si>
  <si>
    <t>Total Expenditures
for Settle-Up
(EC Report)</t>
  </si>
  <si>
    <t>Due To
(Due From) TF</t>
  </si>
  <si>
    <t>Statewide</t>
  </si>
  <si>
    <t>Actuals</t>
  </si>
  <si>
    <r>
      <t xml:space="preserve">Statutorily Required Amount to Reserve </t>
    </r>
    <r>
      <rPr>
        <sz val="10"/>
        <color theme="1"/>
        <rFont val="Franklin Gothic Book"/>
        <family val="2"/>
      </rPr>
      <t>(10%)</t>
    </r>
  </si>
  <si>
    <t xml:space="preserve">STATEWIDE TOTAL: </t>
  </si>
  <si>
    <t>FRS Type</t>
  </si>
  <si>
    <t>Salary Allocation Court Amount</t>
  </si>
  <si>
    <t>FRS Increase %</t>
  </si>
  <si>
    <t>Reg EE</t>
  </si>
  <si>
    <t>SMS</t>
  </si>
  <si>
    <t>DROP</t>
  </si>
  <si>
    <t>Clerk</t>
  </si>
  <si>
    <t>Alachua Total</t>
  </si>
  <si>
    <t>Baker Total</t>
  </si>
  <si>
    <t>Bay Total</t>
  </si>
  <si>
    <t>Bradford Total</t>
  </si>
  <si>
    <t>Brevard Total</t>
  </si>
  <si>
    <t>Broward Total</t>
  </si>
  <si>
    <t>Calhoun Total</t>
  </si>
  <si>
    <t>Charlotte Total</t>
  </si>
  <si>
    <t>Citrus Total</t>
  </si>
  <si>
    <t>Clay Total</t>
  </si>
  <si>
    <t>Collier Total</t>
  </si>
  <si>
    <t>Columbia Total</t>
  </si>
  <si>
    <t>DeSoto Total</t>
  </si>
  <si>
    <t>Dixie Total</t>
  </si>
  <si>
    <t>Duval Total</t>
  </si>
  <si>
    <t>Escambia Total</t>
  </si>
  <si>
    <t>Flagler Total</t>
  </si>
  <si>
    <t>Franklin Total</t>
  </si>
  <si>
    <t>Gadsden Total</t>
  </si>
  <si>
    <t>Gilchrist Total</t>
  </si>
  <si>
    <t>Glades Total</t>
  </si>
  <si>
    <t>Gulf Total</t>
  </si>
  <si>
    <t>Hamilton Total</t>
  </si>
  <si>
    <t>Hardee Total</t>
  </si>
  <si>
    <t>Hendry Total</t>
  </si>
  <si>
    <t>Hernando Total</t>
  </si>
  <si>
    <t>Highlands Total</t>
  </si>
  <si>
    <t>Hillsborough Total</t>
  </si>
  <si>
    <t>Holmes Total</t>
  </si>
  <si>
    <t>Indian River Total</t>
  </si>
  <si>
    <t>Jackson Total</t>
  </si>
  <si>
    <t>Jefferson Total</t>
  </si>
  <si>
    <t>Lafayette Total</t>
  </si>
  <si>
    <t>Lake Total</t>
  </si>
  <si>
    <t>Lee Total</t>
  </si>
  <si>
    <t>Leon Total</t>
  </si>
  <si>
    <t>Levy Total</t>
  </si>
  <si>
    <t>Liberty Total</t>
  </si>
  <si>
    <t>Madison Total</t>
  </si>
  <si>
    <t>Manatee Total</t>
  </si>
  <si>
    <t>Marion Total</t>
  </si>
  <si>
    <t>Martin Total</t>
  </si>
  <si>
    <t>Miami-Dade Total</t>
  </si>
  <si>
    <t>Monroe Total</t>
  </si>
  <si>
    <t>Nassau Total</t>
  </si>
  <si>
    <t>Okaloosa Total</t>
  </si>
  <si>
    <t>Okeechobee Total</t>
  </si>
  <si>
    <t>Orange Total</t>
  </si>
  <si>
    <t>Osceola Total</t>
  </si>
  <si>
    <t>Palm Beach Total</t>
  </si>
  <si>
    <t>Pasco Total</t>
  </si>
  <si>
    <t>Pinellas Total</t>
  </si>
  <si>
    <t>Polk Total</t>
  </si>
  <si>
    <t>Putnam Total</t>
  </si>
  <si>
    <t>Saint Johns Total</t>
  </si>
  <si>
    <t>Saint Lucie Total</t>
  </si>
  <si>
    <t>Santa Rosa Total</t>
  </si>
  <si>
    <t>Sarasota Total</t>
  </si>
  <si>
    <t>Seminole Total</t>
  </si>
  <si>
    <t>Sumter Total</t>
  </si>
  <si>
    <t>Suwannee Total</t>
  </si>
  <si>
    <t>Taylor Total</t>
  </si>
  <si>
    <t>Union Total</t>
  </si>
  <si>
    <t>Volusia Total</t>
  </si>
  <si>
    <t>Wakulla Total</t>
  </si>
  <si>
    <t>Walton Total</t>
  </si>
  <si>
    <t>Washington Total</t>
  </si>
  <si>
    <t>Grand Total</t>
  </si>
  <si>
    <t>weighted cases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</si>
  <si>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FRS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</si>
  <si>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Health Insurance 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</si>
  <si>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Pay &amp; Benefits: New FTE</t>
    </r>
  </si>
  <si>
    <t>FRS 
Increase</t>
  </si>
  <si>
    <t xml:space="preserve">Jury Reimbursement Funding:   </t>
  </si>
  <si>
    <t xml:space="preserve">Total New FTE:  </t>
  </si>
  <si>
    <t xml:space="preserve">Total Requested Funds:  </t>
  </si>
  <si>
    <t>Increase Over Base Budget</t>
  </si>
  <si>
    <t>Increase Over Current Year Budget</t>
  </si>
  <si>
    <t>Percent Above/
Below PG Avg.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</si>
  <si>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Reduction Exercise 
(10%)</t>
    </r>
  </si>
  <si>
    <t>Percent Decrease</t>
  </si>
  <si>
    <t>s. 28.35(2)(f)3., F.S. -- requires the CCOC to 'identify potential targeted budget reductions in the percentage amount provided in Schedule VIII-B of the state’s previous year’s legislative budget instructions, as referenced in s. 216.023(3), or an equivalent schedule or instruction as may be adopted by the Legislature.</t>
  </si>
  <si>
    <t>s. 28.35(2)(f)9., F.S., requires CCOC to identify the budget of any clerk which exceeds the average budget of similarly situated clerks by more than 10%.</t>
  </si>
  <si>
    <t xml:space="preserve">TOTAL COURT-RELATED BUDGET:  </t>
  </si>
  <si>
    <r>
      <t xml:space="preserve">Unspent Budgeted Funds </t>
    </r>
    <r>
      <rPr>
        <sz val="14"/>
        <color theme="1"/>
        <rFont val="Franklin Gothic Book"/>
        <family val="2"/>
      </rPr>
      <t>(CFY 2021-22)</t>
    </r>
  </si>
  <si>
    <r>
      <t xml:space="preserve">Additional Cumulative Excess </t>
    </r>
    <r>
      <rPr>
        <sz val="14"/>
        <color theme="1"/>
        <rFont val="Franklin Gothic Book"/>
        <family val="2"/>
      </rPr>
      <t>(CFY 2021-22)</t>
    </r>
  </si>
  <si>
    <t>Revenue Summary Used to Build CFY 2022-23</t>
  </si>
  <si>
    <r>
      <t xml:space="preserve">REC Revenue Estimate </t>
    </r>
    <r>
      <rPr>
        <sz val="10"/>
        <color theme="1"/>
        <rFont val="Franklin Gothic Book"/>
        <family val="2"/>
      </rPr>
      <t xml:space="preserve">(CFY 2022-23) </t>
    </r>
  </si>
  <si>
    <r>
      <t xml:space="preserve">REC Cumulative Excess Estimate - Clerks' Share of 50% </t>
    </r>
    <r>
      <rPr>
        <sz val="10"/>
        <color theme="1"/>
        <rFont val="Franklin Gothic Book"/>
        <family val="2"/>
      </rPr>
      <t>(CFY 2021-22)</t>
    </r>
    <r>
      <rPr>
        <sz val="12"/>
        <color theme="1"/>
        <rFont val="Franklin Gothic Book"/>
        <family val="2"/>
      </rPr>
      <t xml:space="preserve"> </t>
    </r>
  </si>
  <si>
    <r>
      <t xml:space="preserve">Unspent Budgeted Funds </t>
    </r>
    <r>
      <rPr>
        <sz val="10"/>
        <color theme="1"/>
        <rFont val="Franklin Gothic Book"/>
        <family val="2"/>
      </rPr>
      <t>(CFY 2020-21)</t>
    </r>
  </si>
  <si>
    <r>
      <t xml:space="preserve">Additional Cumulative Excess </t>
    </r>
    <r>
      <rPr>
        <sz val="10"/>
        <color theme="1"/>
        <rFont val="Franklin Gothic Book"/>
        <family val="2"/>
      </rPr>
      <t>(CFY 2020-21)</t>
    </r>
  </si>
  <si>
    <t>Final Spending Authority 
(Adopted by Exec. Council 8/11/21)</t>
  </si>
  <si>
    <t>Received from TF
(Sep 21-Aug 22)
(EC Report)</t>
  </si>
  <si>
    <t>CCOC Revenues
(Sep 21-Aug 22)
(EC Report)</t>
  </si>
  <si>
    <t>CFY 2021-22 Additional Revenues
(EC Report)</t>
  </si>
  <si>
    <t>Excess Revenue Sent to the TF 
(Oct 21-Sep 22)
(DOR Report)</t>
  </si>
  <si>
    <t>CCOC Expenditures
(Oct 21-Sep 22)
(EC Report)</t>
  </si>
  <si>
    <t>CFY 2021-22
Settle-Up
Calculation</t>
  </si>
  <si>
    <t>Non-FRS (SMS-Equivalent)</t>
  </si>
  <si>
    <t>Non-FRS (Investment Plan)</t>
  </si>
  <si>
    <t>Non-FRS (Pension)</t>
  </si>
  <si>
    <t>2023 
FRS Increase</t>
  </si>
  <si>
    <t>CFY 2023-24 Revenue-Limited Budget</t>
  </si>
  <si>
    <t>CFY 2023-24 Base Budget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</si>
  <si>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Weighted Workload Measure Allocation</t>
    </r>
  </si>
  <si>
    <t>Year-over-year Increase</t>
  </si>
  <si>
    <t xml:space="preserve">Over/(Under) Target:   </t>
  </si>
  <si>
    <t xml:space="preserve">Target Increase:   </t>
  </si>
  <si>
    <t xml:space="preserve">Grand Total  </t>
  </si>
  <si>
    <t>8 Total</t>
  </si>
  <si>
    <t>7 Total</t>
  </si>
  <si>
    <t>6 Total</t>
  </si>
  <si>
    <t>5 Total</t>
  </si>
  <si>
    <t>4 Total</t>
  </si>
  <si>
    <t>3 Total</t>
  </si>
  <si>
    <t>2 Total</t>
  </si>
  <si>
    <t>1 Total</t>
  </si>
  <si>
    <t>Weighted Cases Adjustment</t>
  </si>
  <si>
    <t>Pro-Rata Increase 
Share</t>
  </si>
  <si>
    <t>Percent Above or Below PG Average</t>
  </si>
  <si>
    <t xml:space="preserve">Cost Per Weighted Case </t>
  </si>
  <si>
    <t>Weighted Workload Measure 
(CFY 2021-22)</t>
  </si>
  <si>
    <t>WWM Applied to 100% of the $453.2M</t>
  </si>
  <si>
    <t>WWM Applied to 100% of the $453.2M
by Peer Group</t>
  </si>
  <si>
    <t>Increase/ Decrease Percentage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</si>
  <si>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Jury 
Funding</t>
    </r>
  </si>
  <si>
    <t>St. Johns</t>
  </si>
  <si>
    <t>Last 8</t>
  </si>
  <si>
    <t>Last 7</t>
  </si>
  <si>
    <t>Last 6</t>
  </si>
  <si>
    <t>Last 5</t>
  </si>
  <si>
    <t>Last 4</t>
  </si>
  <si>
    <t>Last 3</t>
  </si>
  <si>
    <t>Last 2</t>
  </si>
  <si>
    <t>23-24</t>
  </si>
  <si>
    <t>22-23</t>
  </si>
  <si>
    <t>21-22</t>
  </si>
  <si>
    <t>20-21</t>
  </si>
  <si>
    <t>19-20</t>
  </si>
  <si>
    <t>18-19</t>
  </si>
  <si>
    <t>17-18</t>
  </si>
  <si>
    <t>16-17</t>
  </si>
  <si>
    <t>15-16</t>
  </si>
  <si>
    <t>County Clerk</t>
  </si>
  <si>
    <t>Drop</t>
  </si>
  <si>
    <t>SMSC</t>
  </si>
  <si>
    <t>Regular</t>
  </si>
  <si>
    <t>State Fiscal Year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</si>
  <si>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AO, Court Order, Rule Change</t>
    </r>
  </si>
  <si>
    <t>CFY 2023-24 Total Requested Budget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</si>
  <si>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Blended FRS Rate for Q4 Projected Increase</t>
    </r>
  </si>
  <si>
    <t>Total All Counties</t>
  </si>
  <si>
    <t>St. Lucie</t>
  </si>
  <si>
    <t>Non-FRS (SMS-Equiv)</t>
  </si>
  <si>
    <t>Non-FRS(Invst &amp; Pen)</t>
  </si>
  <si>
    <t>Desoto</t>
  </si>
  <si>
    <t>CFY 2023-24 Total Blended FRS Increase</t>
  </si>
  <si>
    <t>CFY 2023-24 Total FRS Payable</t>
  </si>
  <si>
    <t>Amount Payable for FRS for Last 3 Months of Fiscal FY at Projected Legislative Rate FRS Increase</t>
  </si>
  <si>
    <t>Amount Payable for FRS for First 9 Months of FY at Legislative Adopted Rate FRS Increase</t>
  </si>
  <si>
    <t>Amount Payable for FRS for 22-23 FY at 22-23 Adopted Rate</t>
  </si>
  <si>
    <t>24-25</t>
  </si>
  <si>
    <t>Annual % Increase</t>
  </si>
  <si>
    <t>Average Increases</t>
  </si>
  <si>
    <r>
      <rPr>
        <b/>
        <sz val="8"/>
        <color theme="1"/>
        <rFont val="Franklin Gothic Book"/>
        <family val="2"/>
      </rPr>
      <t>Schedule VIIIB-2: Priority Listing of Agency Budget Issues for Possible Reduction in the Event of Revenue Shortfalls for Legislative Budget Request Year</t>
    </r>
    <r>
      <rPr>
        <sz val="8"/>
        <color theme="1"/>
        <rFont val="Franklin Gothic Book"/>
        <family val="2"/>
      </rPr>
      <t xml:space="preserve">
The purpose of the Schedule VIIIB-2 is to identify recurring budget reductions that can be made in Fiscal Year 2023-24 in the event that budget reductions are necessary. Agencies are required to submit a Schedule VIIIB-2 that contains reduction issues for Fiscal Year 2023-24, totaling at least 10 percent of their 2022-23 recurring general revenue funds and at least 10 percent of their 2022-23 recurring state trust funds, for consideration in developing the 2023-24 budget.
Page 99 of FY 23-24 LBR Instructions  [http://floridafiscalportal.state.fl.us/Document.aspx?ID=24291&amp;DocType=PDF]</t>
    </r>
  </si>
  <si>
    <t>CFY 2023-24 Statutorily- Required Reduction Exercise</t>
  </si>
  <si>
    <t>(1.1% - 56.8%)</t>
  </si>
  <si>
    <t>CFY 2023-24
Base Budget</t>
  </si>
  <si>
    <r>
      <t xml:space="preserve">REC Revenue Estimate </t>
    </r>
    <r>
      <rPr>
        <sz val="14"/>
        <color theme="1"/>
        <rFont val="Franklin Gothic Book"/>
        <family val="2"/>
      </rPr>
      <t>(CFY 2023-24)  [</t>
    </r>
    <r>
      <rPr>
        <u/>
        <sz val="14"/>
        <color theme="1"/>
        <rFont val="Franklin Gothic Book"/>
        <family val="2"/>
      </rPr>
      <t>July 2023</t>
    </r>
    <r>
      <rPr>
        <sz val="14"/>
        <color theme="1"/>
        <rFont val="Franklin Gothic Book"/>
        <family val="2"/>
      </rPr>
      <t>]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</si>
  <si>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Ensure a 3%  
Year-Over-Year Increase for Each Clerk</t>
    </r>
  </si>
  <si>
    <r>
      <t xml:space="preserve">Jury Management Funding </t>
    </r>
    <r>
      <rPr>
        <sz val="14"/>
        <color theme="1"/>
        <rFont val="Franklin Gothic Book"/>
        <family val="2"/>
      </rPr>
      <t>(State GR)</t>
    </r>
  </si>
  <si>
    <t>CFY 2023-24 Total Court-Side Budget Authority</t>
  </si>
  <si>
    <r>
      <t xml:space="preserve">Prior Year Revenue-Limited Budget </t>
    </r>
    <r>
      <rPr>
        <sz val="14"/>
        <color theme="1"/>
        <rFont val="Franklin Gothic Book"/>
        <family val="2"/>
      </rPr>
      <t>(CFY 2022-23)</t>
    </r>
  </si>
  <si>
    <t>Year-over-Year Revenue-Limited Budget Increase</t>
  </si>
  <si>
    <t>Year-over-Year Total Court-Side Budget Authority Increase</t>
  </si>
  <si>
    <r>
      <t xml:space="preserve">Prior Year Total Court-Side Budget Authority </t>
    </r>
    <r>
      <rPr>
        <sz val="14"/>
        <color theme="1"/>
        <rFont val="Franklin Gothic Book"/>
        <family val="2"/>
      </rPr>
      <t>(CFY 2022-23)</t>
    </r>
  </si>
  <si>
    <t>(3.0% - 5.6%)</t>
  </si>
  <si>
    <t xml:space="preserve">Statewide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</si>
</sst>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0.000000000%"/>
    <numFmt numFmtId="171" formatCode="#,##0.0_);\(#,##0.0\)"/>
    <numFmt numFmtId="172" formatCode="0.0000000%"/>
    <numFmt numFmtId="173" formatCode="0.000000"/>
    <numFmt numFmtId="174" formatCode="0.0000"/>
  </numFmts>
  <fonts count="6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theme="7"/>
      <name val="Franklin Gothic Book"/>
      <family val="2"/>
    </font>
    <font>
      <sz val="1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10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b/>
      <sz val="10"/>
      <color rgb="FFFF0000"/>
      <name val="Franklin Gothic Book"/>
      <family val="2"/>
    </font>
    <font>
      <sz val="8"/>
      <color theme="1"/>
      <name val="Franklin Gothic Book"/>
      <family val="2"/>
    </font>
    <font>
      <b/>
      <sz val="9"/>
      <color rgb="FFFF0000"/>
      <name val="Franklin Gothic Book"/>
      <family val="2"/>
    </font>
    <font>
      <i/>
      <sz val="9"/>
      <color theme="1"/>
      <name val="Franklin Gothic Book"/>
      <family val="2"/>
    </font>
    <font>
      <b/>
      <sz val="10"/>
      <color theme="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i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i/>
      <sz val="11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sz val="14"/>
      <color theme="1"/>
      <name val="Franklin Gothic Book"/>
      <family val="2"/>
    </font>
    <font>
      <sz val="14"/>
      <color theme="1"/>
      <name val="Franklin Gothic Book"/>
      <family val="2"/>
    </font>
    <font>
      <sz val="12"/>
      <color rgb="FFFF0000"/>
      <name val="Franklin Gothic Book"/>
      <family val="2"/>
    </font>
    <font>
      <i/>
      <sz val="12"/>
      <color rgb="FFFF0000"/>
      <name val="Franklin Gothic Book"/>
      <family val="2"/>
    </font>
    <font>
      <b/>
      <i/>
      <sz val="12"/>
      <color theme="1"/>
      <name val="Franklin Gothic Book"/>
      <family val="2"/>
    </font>
    <font>
      <b/>
      <sz val="11"/>
      <color theme="5" tint="-0.249977111117893"/>
      <name val="Franklin Gothic Book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Franklin Gothic Book"/>
      <family val="2"/>
    </font>
    <font>
      <u/>
      <sz val="14"/>
      <color theme="1"/>
      <name val="Franklin Gothic Book"/>
      <family val="2"/>
    </font>
    <font>
      <b/>
      <sz val="8"/>
      <color theme="1"/>
      <name val="Franklin Gothic Book"/>
      <family val="2"/>
    </font>
    <font>
      <b/>
      <sz val="9"/>
      <color theme="0"/>
      <name val="Franklin Gothic Book"/>
      <family val="2"/>
    </font>
    <font>
      <b/>
      <u/>
      <sz val="11"/>
      <color theme="1"/>
      <name val="Franklin Gothic Book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Franklin Gothic Book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 Greek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6"/>
      <color theme="3"/>
      <name val="Calibri Light"/>
      <family val="2"/>
      <scheme val="maj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Franklin Gothic Book"/>
      <family val="2"/>
    </font>
    <font>
      <sz val="8.5"/>
      <color theme="1"/>
      <name val="Franklin Gothic Book"/>
      <family val="2"/>
    </font>
    <font>
      <sz val="12"/>
      <color theme="1"/>
      <name val="Times New Roman"/>
      <family val="2"/>
    </font>
    <font>
      <sz val="10"/>
      <name val="Franklin Gothic Book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rgb="FFAF162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FB53B"/>
        <bgColor indexed="64"/>
      </patternFill>
    </fill>
    <fill>
      <patternFill patternType="solid">
        <fgColor rgb="FF009959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2" fillId="5" borderId="18">
      <alignment horizontal="center" vertical="center"/>
      <protection locked="0"/>
    </xf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16" borderId="0" applyNumberFormat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0" fillId="0" borderId="0"/>
    <xf numFmtId="0" fontId="50" fillId="0" borderId="0"/>
    <xf numFmtId="0" fontId="5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0"/>
    <xf numFmtId="49" fontId="54" fillId="0" borderId="0">
      <alignment horizontal="left" vertical="center"/>
    </xf>
    <xf numFmtId="49" fontId="49" fillId="19" borderId="0">
      <alignment horizontal="center" vertical="center"/>
    </xf>
    <xf numFmtId="0" fontId="3" fillId="0" borderId="0"/>
    <xf numFmtId="0" fontId="57" fillId="0" borderId="0" applyNumberFormat="0" applyFill="0" applyBorder="0" applyAlignment="0" applyProtection="0"/>
    <xf numFmtId="0" fontId="59" fillId="0" borderId="0"/>
  </cellStyleXfs>
  <cellXfs count="444">
    <xf numFmtId="0" fontId="0" fillId="0" borderId="0" xfId="0"/>
    <xf numFmtId="6" fontId="7" fillId="0" borderId="0" xfId="0" applyNumberFormat="1" applyFont="1" applyAlignment="1">
      <alignment horizontal="center" vertical="center"/>
    </xf>
    <xf numFmtId="10" fontId="15" fillId="0" borderId="0" xfId="2" applyNumberFormat="1" applyFont="1" applyAlignment="1">
      <alignment horizontal="center" vertical="center"/>
    </xf>
    <xf numFmtId="0" fontId="14" fillId="0" borderId="0" xfId="0" applyFont="1"/>
    <xf numFmtId="10" fontId="13" fillId="0" borderId="0" xfId="2" applyNumberFormat="1" applyFont="1" applyAlignment="1">
      <alignment horizontal="center" vertical="center"/>
    </xf>
    <xf numFmtId="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6" fontId="3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/>
    <xf numFmtId="0" fontId="14" fillId="0" borderId="0" xfId="0" applyFont="1" applyAlignment="1">
      <alignment horizontal="center"/>
    </xf>
    <xf numFmtId="0" fontId="16" fillId="0" borderId="19" xfId="0" applyFont="1" applyBorder="1"/>
    <xf numFmtId="2" fontId="13" fillId="0" borderId="0" xfId="2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3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42" fontId="3" fillId="0" borderId="0" xfId="1" applyNumberFormat="1" applyFont="1"/>
    <xf numFmtId="42" fontId="3" fillId="0" borderId="0" xfId="1" applyNumberFormat="1" applyFont="1" applyFill="1"/>
    <xf numFmtId="43" fontId="13" fillId="0" borderId="0" xfId="14" applyFont="1" applyAlignment="1">
      <alignment horizontal="center" vertical="center"/>
    </xf>
    <xf numFmtId="8" fontId="14" fillId="0" borderId="0" xfId="0" applyNumberFormat="1" applyFont="1"/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center"/>
    </xf>
    <xf numFmtId="10" fontId="7" fillId="0" borderId="2" xfId="2" applyNumberFormat="1" applyFont="1" applyFill="1" applyBorder="1" applyAlignment="1">
      <alignment horizontal="center" vertical="center" wrapText="1"/>
    </xf>
    <xf numFmtId="10" fontId="14" fillId="0" borderId="24" xfId="2" applyNumberFormat="1" applyFont="1" applyFill="1" applyBorder="1" applyAlignment="1">
      <alignment horizontal="center" vertical="center"/>
    </xf>
    <xf numFmtId="10" fontId="14" fillId="0" borderId="9" xfId="2" applyNumberFormat="1" applyFont="1" applyFill="1" applyBorder="1" applyAlignment="1">
      <alignment horizontal="center" vertical="center"/>
    </xf>
    <xf numFmtId="10" fontId="14" fillId="0" borderId="15" xfId="2" applyNumberFormat="1" applyFont="1" applyFill="1" applyBorder="1" applyAlignment="1">
      <alignment horizontal="center" vertical="center"/>
    </xf>
    <xf numFmtId="167" fontId="21" fillId="0" borderId="0" xfId="14" applyNumberFormat="1" applyFont="1" applyAlignment="1">
      <alignment horizontal="center" vertical="center"/>
    </xf>
    <xf numFmtId="0" fontId="16" fillId="0" borderId="0" xfId="0" applyFont="1"/>
    <xf numFmtId="10" fontId="22" fillId="0" borderId="0" xfId="2" applyNumberFormat="1" applyFont="1" applyAlignment="1">
      <alignment horizontal="center" vertical="center"/>
    </xf>
    <xf numFmtId="10" fontId="22" fillId="0" borderId="0" xfId="2" applyNumberFormat="1" applyFont="1" applyAlignment="1">
      <alignment horizontal="center"/>
    </xf>
    <xf numFmtId="167" fontId="22" fillId="0" borderId="0" xfId="14" applyNumberFormat="1" applyFont="1"/>
    <xf numFmtId="0" fontId="23" fillId="4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165" fontId="7" fillId="0" borderId="13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vertical="top"/>
    </xf>
    <xf numFmtId="165" fontId="10" fillId="2" borderId="2" xfId="1" applyNumberFormat="1" applyFont="1" applyFill="1" applyBorder="1" applyAlignment="1">
      <alignment vertical="top" wrapText="1"/>
    </xf>
    <xf numFmtId="165" fontId="9" fillId="3" borderId="2" xfId="1" applyNumberFormat="1" applyFont="1" applyFill="1" applyBorder="1" applyAlignment="1">
      <alignment vertical="top" wrapText="1"/>
    </xf>
    <xf numFmtId="165" fontId="7" fillId="0" borderId="9" xfId="1" applyNumberFormat="1" applyFont="1" applyBorder="1" applyAlignment="1">
      <alignment horizontal="right" vertical="center"/>
    </xf>
    <xf numFmtId="165" fontId="7" fillId="0" borderId="24" xfId="1" applyNumberFormat="1" applyFont="1" applyBorder="1" applyAlignment="1">
      <alignment horizontal="right" vertical="center"/>
    </xf>
    <xf numFmtId="165" fontId="7" fillId="0" borderId="1" xfId="1" applyNumberFormat="1" applyFont="1" applyBorder="1"/>
    <xf numFmtId="165" fontId="10" fillId="4" borderId="2" xfId="1" applyNumberFormat="1" applyFont="1" applyFill="1" applyBorder="1" applyAlignment="1">
      <alignment vertical="top" wrapText="1"/>
    </xf>
    <xf numFmtId="165" fontId="3" fillId="0" borderId="10" xfId="1" applyNumberFormat="1" applyFont="1" applyFill="1" applyBorder="1" applyAlignment="1">
      <alignment vertical="top"/>
    </xf>
    <xf numFmtId="165" fontId="3" fillId="0" borderId="27" xfId="1" applyNumberFormat="1" applyFont="1" applyFill="1" applyBorder="1" applyAlignment="1">
      <alignment vertical="top"/>
    </xf>
    <xf numFmtId="165" fontId="3" fillId="0" borderId="11" xfId="1" applyNumberFormat="1" applyFont="1" applyFill="1" applyBorder="1" applyAlignment="1">
      <alignment vertical="top"/>
    </xf>
    <xf numFmtId="165" fontId="3" fillId="0" borderId="17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165" fontId="3" fillId="0" borderId="1" xfId="1" applyNumberFormat="1" applyFont="1" applyBorder="1"/>
    <xf numFmtId="0" fontId="7" fillId="0" borderId="8" xfId="0" applyFont="1" applyBorder="1" applyAlignment="1">
      <alignment horizontal="center" vertical="center" wrapText="1"/>
    </xf>
    <xf numFmtId="10" fontId="15" fillId="3" borderId="5" xfId="2" applyNumberFormat="1" applyFont="1" applyFill="1" applyBorder="1" applyAlignment="1">
      <alignment horizontal="center" vertical="top" wrapText="1"/>
    </xf>
    <xf numFmtId="43" fontId="7" fillId="0" borderId="15" xfId="14" applyFont="1" applyBorder="1" applyAlignment="1">
      <alignment horizontal="right" vertical="center"/>
    </xf>
    <xf numFmtId="43" fontId="7" fillId="0" borderId="12" xfId="14" applyFont="1" applyFill="1" applyBorder="1" applyAlignment="1">
      <alignment horizontal="right" vertical="center"/>
    </xf>
    <xf numFmtId="43" fontId="7" fillId="0" borderId="12" xfId="14" applyFont="1" applyBorder="1" applyAlignment="1">
      <alignment horizontal="right" vertical="center"/>
    </xf>
    <xf numFmtId="43" fontId="7" fillId="0" borderId="13" xfId="14" applyFont="1" applyBorder="1" applyAlignment="1">
      <alignment horizontal="right" vertical="center"/>
    </xf>
    <xf numFmtId="43" fontId="7" fillId="0" borderId="1" xfId="14" applyFont="1" applyBorder="1" applyAlignment="1">
      <alignment horizontal="center" vertical="center"/>
    </xf>
    <xf numFmtId="43" fontId="7" fillId="0" borderId="2" xfId="14" applyFont="1" applyBorder="1" applyAlignment="1">
      <alignment vertical="top"/>
    </xf>
    <xf numFmtId="10" fontId="13" fillId="0" borderId="2" xfId="2" applyNumberFormat="1" applyFont="1" applyFill="1" applyBorder="1" applyAlignment="1">
      <alignment horizontal="center" vertical="center" wrapText="1"/>
    </xf>
    <xf numFmtId="0" fontId="25" fillId="0" borderId="0" xfId="15" applyFont="1"/>
    <xf numFmtId="165" fontId="25" fillId="0" borderId="0" xfId="16" applyNumberFormat="1" applyFont="1" applyFill="1"/>
    <xf numFmtId="165" fontId="24" fillId="0" borderId="31" xfId="16" applyNumberFormat="1" applyFont="1" applyFill="1" applyBorder="1"/>
    <xf numFmtId="165" fontId="25" fillId="0" borderId="0" xfId="16" applyNumberFormat="1" applyFont="1" applyFill="1" applyBorder="1"/>
    <xf numFmtId="0" fontId="26" fillId="0" borderId="0" xfId="15" applyFont="1"/>
    <xf numFmtId="165" fontId="26" fillId="0" borderId="0" xfId="16" applyNumberFormat="1" applyFont="1" applyFill="1"/>
    <xf numFmtId="0" fontId="3" fillId="0" borderId="0" xfId="24" applyFont="1"/>
    <xf numFmtId="0" fontId="7" fillId="0" borderId="32" xfId="24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10" fontId="7" fillId="0" borderId="32" xfId="2" applyNumberFormat="1" applyFont="1" applyBorder="1" applyAlignment="1">
      <alignment horizontal="center" vertical="center" wrapText="1"/>
    </xf>
    <xf numFmtId="0" fontId="3" fillId="0" borderId="33" xfId="24" applyFont="1" applyBorder="1"/>
    <xf numFmtId="0" fontId="3" fillId="0" borderId="34" xfId="24" applyFont="1" applyBorder="1" applyAlignment="1">
      <alignment horizontal="center" vertical="center"/>
    </xf>
    <xf numFmtId="10" fontId="3" fillId="7" borderId="33" xfId="2" applyNumberFormat="1" applyFont="1" applyFill="1" applyBorder="1"/>
    <xf numFmtId="0" fontId="3" fillId="0" borderId="35" xfId="24" applyFont="1" applyBorder="1"/>
    <xf numFmtId="0" fontId="3" fillId="0" borderId="16" xfId="24" applyFont="1" applyBorder="1" applyAlignment="1">
      <alignment horizontal="center" vertical="center"/>
    </xf>
    <xf numFmtId="10" fontId="3" fillId="0" borderId="33" xfId="2" applyNumberFormat="1" applyFont="1" applyBorder="1"/>
    <xf numFmtId="0" fontId="3" fillId="0" borderId="36" xfId="24" applyFont="1" applyBorder="1"/>
    <xf numFmtId="0" fontId="3" fillId="0" borderId="19" xfId="24" applyFont="1" applyBorder="1" applyAlignment="1">
      <alignment horizontal="center" vertical="center"/>
    </xf>
    <xf numFmtId="10" fontId="3" fillId="7" borderId="38" xfId="2" applyNumberFormat="1" applyFont="1" applyFill="1" applyBorder="1"/>
    <xf numFmtId="10" fontId="3" fillId="0" borderId="5" xfId="2" applyNumberFormat="1" applyFont="1" applyBorder="1"/>
    <xf numFmtId="10" fontId="3" fillId="0" borderId="35" xfId="2" applyNumberFormat="1" applyFont="1" applyBorder="1"/>
    <xf numFmtId="10" fontId="3" fillId="7" borderId="35" xfId="2" applyNumberFormat="1" applyFont="1" applyFill="1" applyBorder="1"/>
    <xf numFmtId="10" fontId="3" fillId="7" borderId="36" xfId="2" applyNumberFormat="1" applyFont="1" applyFill="1" applyBorder="1"/>
    <xf numFmtId="10" fontId="3" fillId="0" borderId="36" xfId="2" applyNumberFormat="1" applyFont="1" applyBorder="1"/>
    <xf numFmtId="10" fontId="3" fillId="0" borderId="35" xfId="2" applyNumberFormat="1" applyFont="1" applyFill="1" applyBorder="1"/>
    <xf numFmtId="0" fontId="7" fillId="0" borderId="34" xfId="24" applyFont="1" applyBorder="1" applyAlignment="1">
      <alignment horizontal="center" vertical="center"/>
    </xf>
    <xf numFmtId="10" fontId="3" fillId="0" borderId="34" xfId="2" applyNumberFormat="1" applyFont="1" applyBorder="1"/>
    <xf numFmtId="0" fontId="7" fillId="0" borderId="0" xfId="24" applyFont="1" applyAlignment="1">
      <alignment horizontal="center" vertical="center"/>
    </xf>
    <xf numFmtId="10" fontId="3" fillId="0" borderId="0" xfId="2" applyNumberFormat="1" applyFont="1" applyBorder="1"/>
    <xf numFmtId="0" fontId="7" fillId="0" borderId="0" xfId="24" applyFont="1" applyAlignment="1">
      <alignment horizontal="right" vertical="center"/>
    </xf>
    <xf numFmtId="167" fontId="7" fillId="7" borderId="5" xfId="14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/>
    </xf>
    <xf numFmtId="10" fontId="7" fillId="0" borderId="0" xfId="2" applyNumberFormat="1" applyFont="1" applyBorder="1"/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0" fontId="3" fillId="0" borderId="0" xfId="2" applyNumberFormat="1" applyFont="1"/>
    <xf numFmtId="0" fontId="3" fillId="0" borderId="0" xfId="24" applyFont="1" applyAlignment="1">
      <alignment horizontal="center" vertical="center"/>
    </xf>
    <xf numFmtId="0" fontId="28" fillId="8" borderId="16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44" fontId="29" fillId="9" borderId="16" xfId="1" applyFont="1" applyFill="1" applyBorder="1" applyAlignment="1">
      <alignment horizontal="center" vertical="center" wrapText="1"/>
    </xf>
    <xf numFmtId="44" fontId="29" fillId="10" borderId="16" xfId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44" fontId="28" fillId="0" borderId="16" xfId="1" applyFont="1" applyFill="1" applyBorder="1" applyAlignment="1">
      <alignment vertical="center"/>
    </xf>
    <xf numFmtId="0" fontId="28" fillId="0" borderId="0" xfId="0" applyFont="1" applyAlignment="1">
      <alignment vertical="top"/>
    </xf>
    <xf numFmtId="44" fontId="28" fillId="0" borderId="0" xfId="0" applyNumberFormat="1" applyFont="1" applyAlignment="1">
      <alignment vertical="top"/>
    </xf>
    <xf numFmtId="0" fontId="28" fillId="0" borderId="41" xfId="0" applyFont="1" applyBorder="1" applyAlignment="1">
      <alignment horizontal="left" vertical="center"/>
    </xf>
    <xf numFmtId="44" fontId="28" fillId="0" borderId="34" xfId="1" applyFont="1" applyFill="1" applyBorder="1" applyAlignment="1">
      <alignment vertical="center"/>
    </xf>
    <xf numFmtId="44" fontId="28" fillId="0" borderId="0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4" fontId="28" fillId="0" borderId="0" xfId="1" applyFont="1" applyAlignment="1">
      <alignment vertical="top"/>
    </xf>
    <xf numFmtId="0" fontId="30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 wrapText="1"/>
    </xf>
    <xf numFmtId="44" fontId="28" fillId="0" borderId="0" xfId="1" applyFont="1" applyFill="1" applyAlignment="1">
      <alignment vertical="top" wrapText="1"/>
    </xf>
    <xf numFmtId="0" fontId="35" fillId="0" borderId="0" xfId="15" applyFont="1"/>
    <xf numFmtId="0" fontId="1" fillId="0" borderId="0" xfId="15" applyFont="1"/>
    <xf numFmtId="165" fontId="1" fillId="0" borderId="0" xfId="16" applyNumberFormat="1" applyFont="1"/>
    <xf numFmtId="165" fontId="33" fillId="0" borderId="0" xfId="15" applyNumberFormat="1" applyFont="1"/>
    <xf numFmtId="165" fontId="36" fillId="0" borderId="0" xfId="16" applyNumberFormat="1" applyFont="1"/>
    <xf numFmtId="165" fontId="37" fillId="0" borderId="26" xfId="15" applyNumberFormat="1" applyFont="1" applyBorder="1"/>
    <xf numFmtId="165" fontId="27" fillId="0" borderId="43" xfId="16" applyNumberFormat="1" applyFont="1" applyBorder="1"/>
    <xf numFmtId="165" fontId="1" fillId="0" borderId="0" xfId="15" applyNumberFormat="1" applyFont="1"/>
    <xf numFmtId="165" fontId="38" fillId="11" borderId="0" xfId="15" applyNumberFormat="1" applyFont="1" applyFill="1"/>
    <xf numFmtId="0" fontId="34" fillId="0" borderId="26" xfId="15" applyFont="1" applyBorder="1" applyAlignment="1">
      <alignment horizontal="center"/>
    </xf>
    <xf numFmtId="44" fontId="39" fillId="11" borderId="42" xfId="1" applyFont="1" applyFill="1" applyBorder="1" applyAlignment="1">
      <alignment vertical="top"/>
    </xf>
    <xf numFmtId="165" fontId="9" fillId="0" borderId="2" xfId="1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3" fillId="0" borderId="0" xfId="0" applyNumberFormat="1" applyFont="1"/>
    <xf numFmtId="165" fontId="18" fillId="0" borderId="1" xfId="1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43" fontId="30" fillId="0" borderId="16" xfId="14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28" fillId="0" borderId="0" xfId="0" applyFont="1"/>
    <xf numFmtId="43" fontId="28" fillId="0" borderId="0" xfId="14" applyFont="1"/>
    <xf numFmtId="10" fontId="31" fillId="0" borderId="0" xfId="2" applyNumberFormat="1" applyFont="1" applyFill="1"/>
    <xf numFmtId="0" fontId="30" fillId="0" borderId="0" xfId="0" applyFont="1"/>
    <xf numFmtId="43" fontId="30" fillId="0" borderId="0" xfId="0" applyNumberFormat="1" applyFont="1"/>
    <xf numFmtId="0" fontId="40" fillId="0" borderId="0" xfId="0" applyFont="1"/>
    <xf numFmtId="43" fontId="28" fillId="0" borderId="0" xfId="14" applyFont="1" applyFill="1"/>
    <xf numFmtId="43" fontId="0" fillId="0" borderId="0" xfId="14" applyFont="1"/>
    <xf numFmtId="0" fontId="41" fillId="0" borderId="0" xfId="0" applyFont="1"/>
    <xf numFmtId="164" fontId="20" fillId="0" borderId="0" xfId="0" applyNumberFormat="1" applyFont="1"/>
    <xf numFmtId="165" fontId="7" fillId="0" borderId="25" xfId="1" applyNumberFormat="1" applyFont="1" applyBorder="1" applyAlignment="1">
      <alignment horizontal="right" vertical="center"/>
    </xf>
    <xf numFmtId="165" fontId="7" fillId="0" borderId="21" xfId="1" applyNumberFormat="1" applyFont="1" applyBorder="1" applyAlignment="1">
      <alignment horizontal="right" vertical="center"/>
    </xf>
    <xf numFmtId="165" fontId="7" fillId="0" borderId="22" xfId="1" applyNumberFormat="1" applyFont="1" applyBorder="1" applyAlignment="1">
      <alignment horizontal="right" vertical="center"/>
    </xf>
    <xf numFmtId="8" fontId="14" fillId="0" borderId="0" xfId="0" applyNumberFormat="1" applyFont="1" applyAlignment="1">
      <alignment horizontal="right"/>
    </xf>
    <xf numFmtId="0" fontId="7" fillId="13" borderId="8" xfId="0" applyFont="1" applyFill="1" applyBorder="1" applyAlignment="1">
      <alignment horizontal="center" vertical="center" wrapText="1"/>
    </xf>
    <xf numFmtId="165" fontId="3" fillId="13" borderId="11" xfId="1" applyNumberFormat="1" applyFont="1" applyFill="1" applyBorder="1" applyAlignment="1">
      <alignment vertical="top"/>
    </xf>
    <xf numFmtId="167" fontId="7" fillId="0" borderId="0" xfId="14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14" fillId="0" borderId="0" xfId="0" applyNumberFormat="1" applyFont="1"/>
    <xf numFmtId="165" fontId="16" fillId="0" borderId="0" xfId="0" applyNumberFormat="1" applyFont="1"/>
    <xf numFmtId="42" fontId="3" fillId="0" borderId="16" xfId="1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6" fontId="7" fillId="0" borderId="4" xfId="0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7" fillId="0" borderId="5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13" fillId="13" borderId="5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/>
    </xf>
    <xf numFmtId="10" fontId="17" fillId="0" borderId="0" xfId="2" applyNumberFormat="1" applyFont="1" applyFill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7" fillId="0" borderId="32" xfId="1" applyNumberFormat="1" applyFont="1" applyFill="1" applyBorder="1" applyAlignment="1">
      <alignment horizontal="center" vertical="center"/>
    </xf>
    <xf numFmtId="10" fontId="3" fillId="0" borderId="4" xfId="2" applyNumberFormat="1" applyFont="1" applyBorder="1"/>
    <xf numFmtId="0" fontId="7" fillId="0" borderId="2" xfId="0" applyFont="1" applyBorder="1" applyAlignment="1">
      <alignment horizontal="center" vertical="center" wrapText="1"/>
    </xf>
    <xf numFmtId="10" fontId="15" fillId="0" borderId="0" xfId="2" applyNumberFormat="1" applyFont="1" applyFill="1" applyAlignment="1">
      <alignment horizontal="center" vertical="center"/>
    </xf>
    <xf numFmtId="43" fontId="20" fillId="0" borderId="0" xfId="14" applyFont="1" applyAlignment="1">
      <alignment horizontal="center"/>
    </xf>
    <xf numFmtId="165" fontId="19" fillId="0" borderId="1" xfId="1" applyNumberFormat="1" applyFont="1" applyBorder="1"/>
    <xf numFmtId="165" fontId="19" fillId="0" borderId="5" xfId="1" applyNumberFormat="1" applyFont="1" applyBorder="1" applyAlignment="1">
      <alignment vertical="top"/>
    </xf>
    <xf numFmtId="168" fontId="14" fillId="0" borderId="20" xfId="2" applyNumberFormat="1" applyFont="1" applyBorder="1" applyAlignment="1">
      <alignment horizontal="center"/>
    </xf>
    <xf numFmtId="168" fontId="14" fillId="0" borderId="23" xfId="2" applyNumberFormat="1" applyFont="1" applyBorder="1" applyAlignment="1">
      <alignment horizontal="center"/>
    </xf>
    <xf numFmtId="168" fontId="14" fillId="0" borderId="30" xfId="2" applyNumberFormat="1" applyFont="1" applyBorder="1" applyAlignment="1">
      <alignment horizontal="center"/>
    </xf>
    <xf numFmtId="168" fontId="44" fillId="15" borderId="5" xfId="2" applyNumberFormat="1" applyFont="1" applyFill="1" applyBorder="1" applyAlignment="1">
      <alignment horizontal="center" vertical="top" wrapText="1"/>
    </xf>
    <xf numFmtId="0" fontId="23" fillId="15" borderId="5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8" fillId="0" borderId="55" xfId="1" applyNumberFormat="1" applyFont="1" applyBorder="1" applyAlignment="1">
      <alignment vertical="top"/>
    </xf>
    <xf numFmtId="165" fontId="8" fillId="0" borderId="54" xfId="1" applyNumberFormat="1" applyFont="1" applyBorder="1" applyAlignment="1">
      <alignment vertical="top"/>
    </xf>
    <xf numFmtId="165" fontId="8" fillId="0" borderId="56" xfId="1" applyNumberFormat="1" applyFont="1" applyBorder="1" applyAlignment="1">
      <alignment vertical="top"/>
    </xf>
    <xf numFmtId="0" fontId="9" fillId="14" borderId="5" xfId="0" applyFont="1" applyFill="1" applyBorder="1" applyAlignment="1">
      <alignment horizontal="center" vertical="center" wrapText="1"/>
    </xf>
    <xf numFmtId="165" fontId="3" fillId="0" borderId="15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24" xfId="1" applyNumberFormat="1" applyFont="1" applyBorder="1" applyAlignment="1">
      <alignment horizontal="right" vertical="center"/>
    </xf>
    <xf numFmtId="165" fontId="9" fillId="14" borderId="5" xfId="1" applyNumberFormat="1" applyFont="1" applyFill="1" applyBorder="1" applyAlignment="1">
      <alignment vertical="top" wrapText="1"/>
    </xf>
    <xf numFmtId="165" fontId="23" fillId="15" borderId="5" xfId="1" applyNumberFormat="1" applyFont="1" applyFill="1" applyBorder="1" applyAlignment="1">
      <alignment vertical="top" wrapText="1"/>
    </xf>
    <xf numFmtId="44" fontId="28" fillId="3" borderId="16" xfId="29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left" vertical="center"/>
    </xf>
    <xf numFmtId="44" fontId="28" fillId="0" borderId="16" xfId="1" applyFont="1" applyBorder="1" applyAlignment="1">
      <alignment vertical="top"/>
    </xf>
    <xf numFmtId="44" fontId="28" fillId="0" borderId="40" xfId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39" xfId="25" applyFont="1" applyFill="1" applyBorder="1" applyAlignment="1">
      <alignment horizontal="left" vertical="center"/>
    </xf>
    <xf numFmtId="44" fontId="28" fillId="0" borderId="16" xfId="25" applyNumberFormat="1" applyFont="1" applyFill="1" applyBorder="1" applyAlignment="1">
      <alignment vertical="top"/>
    </xf>
    <xf numFmtId="44" fontId="28" fillId="0" borderId="40" xfId="25" applyNumberFormat="1" applyFont="1" applyFill="1" applyBorder="1" applyAlignment="1">
      <alignment vertical="center"/>
    </xf>
    <xf numFmtId="44" fontId="28" fillId="0" borderId="16" xfId="25" applyNumberFormat="1" applyFont="1" applyFill="1" applyBorder="1" applyAlignment="1">
      <alignment vertical="center"/>
    </xf>
    <xf numFmtId="0" fontId="28" fillId="0" borderId="16" xfId="25" applyFont="1" applyFill="1" applyBorder="1" applyAlignment="1">
      <alignment vertical="center"/>
    </xf>
    <xf numFmtId="0" fontId="31" fillId="17" borderId="39" xfId="0" applyFont="1" applyFill="1" applyBorder="1" applyAlignment="1">
      <alignment horizontal="left" vertical="center"/>
    </xf>
    <xf numFmtId="44" fontId="28" fillId="0" borderId="16" xfId="1" applyFont="1" applyFill="1" applyBorder="1" applyAlignment="1">
      <alignment vertical="top"/>
    </xf>
    <xf numFmtId="0" fontId="28" fillId="17" borderId="39" xfId="0" applyFont="1" applyFill="1" applyBorder="1" applyAlignment="1">
      <alignment horizontal="left" vertical="center"/>
    </xf>
    <xf numFmtId="0" fontId="28" fillId="0" borderId="39" xfId="0" applyFont="1" applyBorder="1" applyAlignment="1">
      <alignment horizontal="left" vertical="top"/>
    </xf>
    <xf numFmtId="0" fontId="28" fillId="0" borderId="34" xfId="0" applyFont="1" applyBorder="1" applyAlignment="1">
      <alignment vertical="top"/>
    </xf>
    <xf numFmtId="44" fontId="28" fillId="0" borderId="42" xfId="1" applyFont="1" applyBorder="1" applyAlignment="1">
      <alignment vertical="top"/>
    </xf>
    <xf numFmtId="44" fontId="28" fillId="0" borderId="42" xfId="1" applyFont="1" applyFill="1" applyBorder="1" applyAlignment="1">
      <alignment vertical="top"/>
    </xf>
    <xf numFmtId="43" fontId="32" fillId="0" borderId="0" xfId="14" applyFont="1" applyAlignment="1">
      <alignment vertical="top"/>
    </xf>
    <xf numFmtId="44" fontId="32" fillId="0" borderId="0" xfId="0" applyNumberFormat="1" applyFont="1" applyAlignment="1">
      <alignment vertical="top"/>
    </xf>
    <xf numFmtId="44" fontId="28" fillId="0" borderId="0" xfId="0" applyNumberFormat="1" applyFont="1" applyAlignment="1">
      <alignment vertical="top" wrapText="1"/>
    </xf>
    <xf numFmtId="0" fontId="28" fillId="0" borderId="0" xfId="0" applyFont="1" applyAlignment="1">
      <alignment horizontal="right" vertical="top"/>
    </xf>
    <xf numFmtId="44" fontId="28" fillId="0" borderId="0" xfId="1" applyFont="1" applyAlignment="1">
      <alignment horizontal="center" vertical="top"/>
    </xf>
    <xf numFmtId="44" fontId="28" fillId="0" borderId="0" xfId="1" applyFont="1" applyFill="1" applyBorder="1" applyAlignment="1">
      <alignment vertical="top"/>
    </xf>
    <xf numFmtId="165" fontId="1" fillId="0" borderId="0" xfId="1" applyNumberFormat="1" applyFont="1" applyFill="1"/>
    <xf numFmtId="43" fontId="28" fillId="0" borderId="47" xfId="14" applyFont="1" applyFill="1" applyBorder="1"/>
    <xf numFmtId="43" fontId="28" fillId="0" borderId="0" xfId="14" applyFont="1" applyFill="1" applyBorder="1"/>
    <xf numFmtId="43" fontId="30" fillId="0" borderId="1" xfId="14" applyFont="1" applyFill="1" applyBorder="1"/>
    <xf numFmtId="0" fontId="28" fillId="0" borderId="22" xfId="0" applyFont="1" applyBorder="1"/>
    <xf numFmtId="43" fontId="30" fillId="0" borderId="0" xfId="14" applyFont="1"/>
    <xf numFmtId="0" fontId="28" fillId="0" borderId="28" xfId="0" applyFont="1" applyBorder="1"/>
    <xf numFmtId="0" fontId="28" fillId="0" borderId="48" xfId="0" applyFont="1" applyBorder="1"/>
    <xf numFmtId="43" fontId="28" fillId="0" borderId="0" xfId="0" applyNumberFormat="1" applyFont="1"/>
    <xf numFmtId="43" fontId="28" fillId="0" borderId="29" xfId="14" applyFont="1" applyFill="1" applyBorder="1"/>
    <xf numFmtId="43" fontId="28" fillId="0" borderId="49" xfId="14" applyFont="1" applyFill="1" applyBorder="1"/>
    <xf numFmtId="43" fontId="28" fillId="0" borderId="50" xfId="14" applyFont="1" applyFill="1" applyBorder="1"/>
    <xf numFmtId="43" fontId="30" fillId="0" borderId="51" xfId="14" applyFont="1" applyFill="1" applyBorder="1"/>
    <xf numFmtId="43" fontId="30" fillId="0" borderId="0" xfId="14" applyFont="1" applyFill="1"/>
    <xf numFmtId="43" fontId="30" fillId="18" borderId="0" xfId="14" applyFont="1" applyFill="1"/>
    <xf numFmtId="43" fontId="28" fillId="18" borderId="0" xfId="14" applyFont="1" applyFill="1"/>
    <xf numFmtId="0" fontId="0" fillId="18" borderId="0" xfId="0" applyFill="1"/>
    <xf numFmtId="0" fontId="28" fillId="18" borderId="0" xfId="0" applyFont="1" applyFill="1"/>
    <xf numFmtId="0" fontId="45" fillId="18" borderId="0" xfId="0" applyFont="1" applyFill="1" applyAlignment="1">
      <alignment horizontal="center"/>
    </xf>
    <xf numFmtId="0" fontId="46" fillId="0" borderId="0" xfId="0" applyFont="1"/>
    <xf numFmtId="43" fontId="32" fillId="0" borderId="0" xfId="14" applyFont="1"/>
    <xf numFmtId="169" fontId="32" fillId="0" borderId="0" xfId="14" applyNumberFormat="1" applyFont="1"/>
    <xf numFmtId="0" fontId="32" fillId="0" borderId="0" xfId="0" applyFont="1"/>
    <xf numFmtId="43" fontId="28" fillId="0" borderId="26" xfId="14" applyFont="1" applyFill="1" applyBorder="1"/>
    <xf numFmtId="2" fontId="30" fillId="0" borderId="0" xfId="14" applyNumberFormat="1" applyFont="1" applyFill="1"/>
    <xf numFmtId="2" fontId="28" fillId="0" borderId="0" xfId="1" applyNumberFormat="1" applyFont="1"/>
    <xf numFmtId="165" fontId="3" fillId="0" borderId="25" xfId="1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right" vertical="center"/>
    </xf>
    <xf numFmtId="165" fontId="3" fillId="0" borderId="22" xfId="1" applyNumberFormat="1" applyFont="1" applyFill="1" applyBorder="1" applyAlignment="1">
      <alignment horizontal="right" vertical="center"/>
    </xf>
    <xf numFmtId="165" fontId="3" fillId="0" borderId="45" xfId="1" applyNumberFormat="1" applyFont="1" applyFill="1" applyBorder="1" applyAlignment="1">
      <alignment horizontal="right" vertical="center"/>
    </xf>
    <xf numFmtId="165" fontId="3" fillId="0" borderId="44" xfId="1" applyNumberFormat="1" applyFont="1" applyFill="1" applyBorder="1" applyAlignment="1">
      <alignment horizontal="right" vertical="center"/>
    </xf>
    <xf numFmtId="165" fontId="3" fillId="0" borderId="46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13" fillId="12" borderId="5" xfId="0" applyFont="1" applyFill="1" applyBorder="1" applyAlignment="1">
      <alignment horizontal="center" vertical="center" wrapText="1"/>
    </xf>
    <xf numFmtId="166" fontId="15" fillId="12" borderId="5" xfId="2" applyNumberFormat="1" applyFont="1" applyFill="1" applyBorder="1" applyAlignment="1">
      <alignment vertical="top"/>
    </xf>
    <xf numFmtId="165" fontId="16" fillId="0" borderId="44" xfId="1" applyNumberFormat="1" applyFont="1" applyFill="1" applyBorder="1" applyAlignment="1">
      <alignment horizontal="right" vertical="center"/>
    </xf>
    <xf numFmtId="165" fontId="16" fillId="0" borderId="45" xfId="1" applyNumberFormat="1" applyFont="1" applyFill="1" applyBorder="1" applyAlignment="1">
      <alignment horizontal="right" vertical="center"/>
    </xf>
    <xf numFmtId="165" fontId="16" fillId="0" borderId="46" xfId="1" applyNumberFormat="1" applyFont="1" applyFill="1" applyBorder="1" applyAlignment="1">
      <alignment horizontal="right" vertical="center"/>
    </xf>
    <xf numFmtId="0" fontId="9" fillId="0" borderId="52" xfId="0" applyFont="1" applyBorder="1" applyAlignment="1">
      <alignment horizontal="center" vertical="center" wrapText="1"/>
    </xf>
    <xf numFmtId="168" fontId="14" fillId="0" borderId="12" xfId="2" applyNumberFormat="1" applyFont="1" applyBorder="1"/>
    <xf numFmtId="168" fontId="14" fillId="0" borderId="13" xfId="2" applyNumberFormat="1" applyFont="1" applyBorder="1"/>
    <xf numFmtId="168" fontId="13" fillId="0" borderId="5" xfId="2" applyNumberFormat="1" applyFont="1" applyBorder="1" applyAlignment="1">
      <alignment vertical="top"/>
    </xf>
    <xf numFmtId="0" fontId="14" fillId="0" borderId="57" xfId="0" applyFont="1" applyBorder="1" applyAlignment="1">
      <alignment horizontal="center" vertical="center" wrapText="1"/>
    </xf>
    <xf numFmtId="165" fontId="3" fillId="0" borderId="40" xfId="1" applyNumberFormat="1" applyFont="1" applyFill="1" applyBorder="1" applyAlignment="1">
      <alignment vertical="top"/>
    </xf>
    <xf numFmtId="166" fontId="17" fillId="12" borderId="15" xfId="20" applyNumberFormat="1" applyFont="1" applyFill="1" applyBorder="1" applyAlignment="1">
      <alignment vertical="top"/>
    </xf>
    <xf numFmtId="166" fontId="17" fillId="12" borderId="12" xfId="20" applyNumberFormat="1" applyFont="1" applyFill="1" applyBorder="1" applyAlignment="1">
      <alignment vertical="top"/>
    </xf>
    <xf numFmtId="166" fontId="17" fillId="12" borderId="13" xfId="20" applyNumberFormat="1" applyFont="1" applyFill="1" applyBorder="1" applyAlignment="1">
      <alignment vertical="top"/>
    </xf>
    <xf numFmtId="165" fontId="47" fillId="0" borderId="5" xfId="1" applyNumberFormat="1" applyFont="1" applyBorder="1" applyAlignment="1">
      <alignment vertical="top"/>
    </xf>
    <xf numFmtId="0" fontId="3" fillId="0" borderId="0" xfId="26" applyFont="1"/>
    <xf numFmtId="0" fontId="3" fillId="0" borderId="0" xfId="26" applyFont="1" applyAlignment="1">
      <alignment horizontal="center" vertical="center"/>
    </xf>
    <xf numFmtId="170" fontId="3" fillId="0" borderId="0" xfId="2" applyNumberFormat="1" applyFont="1"/>
    <xf numFmtId="165" fontId="16" fillId="0" borderId="13" xfId="0" applyNumberFormat="1" applyFont="1" applyBorder="1"/>
    <xf numFmtId="165" fontId="3" fillId="0" borderId="0" xfId="27" applyNumberFormat="1" applyFont="1" applyBorder="1"/>
    <xf numFmtId="165" fontId="16" fillId="0" borderId="15" xfId="27" applyNumberFormat="1" applyFont="1" applyBorder="1"/>
    <xf numFmtId="0" fontId="48" fillId="0" borderId="0" xfId="0" applyFont="1"/>
    <xf numFmtId="165" fontId="7" fillId="0" borderId="0" xfId="28" applyNumberFormat="1" applyFont="1" applyBorder="1"/>
    <xf numFmtId="8" fontId="7" fillId="0" borderId="0" xfId="28" applyNumberFormat="1" applyFont="1" applyBorder="1"/>
    <xf numFmtId="37" fontId="7" fillId="0" borderId="0" xfId="28" applyNumberFormat="1" applyFont="1" applyBorder="1"/>
    <xf numFmtId="0" fontId="7" fillId="0" borderId="0" xfId="26" applyFont="1" applyAlignment="1">
      <alignment horizontal="center" vertical="center"/>
    </xf>
    <xf numFmtId="165" fontId="16" fillId="0" borderId="0" xfId="28" applyNumberFormat="1" applyFont="1" applyBorder="1"/>
    <xf numFmtId="165" fontId="7" fillId="0" borderId="52" xfId="26" applyNumberFormat="1" applyFont="1" applyBorder="1" applyAlignment="1">
      <alignment horizontal="right" vertical="center"/>
    </xf>
    <xf numFmtId="0" fontId="7" fillId="0" borderId="3" xfId="26" applyFont="1" applyBorder="1" applyAlignment="1">
      <alignment horizontal="right" vertical="center"/>
    </xf>
    <xf numFmtId="0" fontId="3" fillId="0" borderId="2" xfId="26" applyFont="1" applyBorder="1"/>
    <xf numFmtId="37" fontId="3" fillId="0" borderId="0" xfId="28" applyNumberFormat="1" applyFont="1" applyBorder="1"/>
    <xf numFmtId="165" fontId="3" fillId="0" borderId="0" xfId="28" applyNumberFormat="1" applyFont="1" applyBorder="1"/>
    <xf numFmtId="0" fontId="3" fillId="0" borderId="48" xfId="26" applyFont="1" applyBorder="1"/>
    <xf numFmtId="0" fontId="7" fillId="0" borderId="0" xfId="26" applyFont="1"/>
    <xf numFmtId="6" fontId="7" fillId="0" borderId="17" xfId="28" applyNumberFormat="1" applyFont="1" applyBorder="1"/>
    <xf numFmtId="0" fontId="7" fillId="0" borderId="17" xfId="26" applyFont="1" applyBorder="1" applyAlignment="1">
      <alignment horizontal="center" vertical="center"/>
    </xf>
    <xf numFmtId="0" fontId="7" fillId="0" borderId="59" xfId="26" applyFont="1" applyBorder="1"/>
    <xf numFmtId="165" fontId="3" fillId="0" borderId="16" xfId="1" applyNumberFormat="1" applyFont="1" applyBorder="1" applyAlignment="1">
      <alignment horizontal="right" vertical="center"/>
    </xf>
    <xf numFmtId="0" fontId="3" fillId="0" borderId="39" xfId="26" applyFont="1" applyBorder="1" applyAlignment="1">
      <alignment horizontal="center" vertical="center"/>
    </xf>
    <xf numFmtId="0" fontId="3" fillId="0" borderId="35" xfId="26" applyFont="1" applyBorder="1"/>
    <xf numFmtId="6" fontId="7" fillId="0" borderId="16" xfId="28" applyNumberFormat="1" applyFont="1" applyBorder="1"/>
    <xf numFmtId="0" fontId="7" fillId="0" borderId="39" xfId="26" applyFont="1" applyBorder="1" applyAlignment="1">
      <alignment horizontal="center" vertical="center"/>
    </xf>
    <xf numFmtId="0" fontId="7" fillId="0" borderId="35" xfId="26" applyFont="1" applyBorder="1"/>
    <xf numFmtId="0" fontId="3" fillId="0" borderId="44" xfId="26" applyFont="1" applyBorder="1" applyAlignment="1">
      <alignment horizontal="center" vertical="center"/>
    </xf>
    <xf numFmtId="0" fontId="3" fillId="0" borderId="60" xfId="26" applyFont="1" applyBorder="1"/>
    <xf numFmtId="0" fontId="22" fillId="0" borderId="0" xfId="26" applyFont="1"/>
    <xf numFmtId="165" fontId="22" fillId="0" borderId="0" xfId="26" applyNumberFormat="1" applyFont="1"/>
    <xf numFmtId="172" fontId="22" fillId="0" borderId="0" xfId="26" applyNumberFormat="1" applyFont="1"/>
    <xf numFmtId="172" fontId="22" fillId="0" borderId="0" xfId="2" applyNumberFormat="1" applyFont="1"/>
    <xf numFmtId="0" fontId="22" fillId="0" borderId="0" xfId="26" applyFont="1" applyAlignment="1">
      <alignment horizontal="center" vertical="center"/>
    </xf>
    <xf numFmtId="171" fontId="14" fillId="12" borderId="10" xfId="28" applyNumberFormat="1" applyFont="1" applyFill="1" applyBorder="1"/>
    <xf numFmtId="8" fontId="14" fillId="12" borderId="10" xfId="28" applyNumberFormat="1" applyFont="1" applyFill="1" applyBorder="1"/>
    <xf numFmtId="10" fontId="18" fillId="12" borderId="10" xfId="2" applyNumberFormat="1" applyFont="1" applyFill="1" applyBorder="1"/>
    <xf numFmtId="6" fontId="14" fillId="12" borderId="10" xfId="28" applyNumberFormat="1" applyFont="1" applyFill="1" applyBorder="1"/>
    <xf numFmtId="171" fontId="14" fillId="12" borderId="16" xfId="28" applyNumberFormat="1" applyFont="1" applyFill="1" applyBorder="1"/>
    <xf numFmtId="8" fontId="14" fillId="12" borderId="16" xfId="28" applyNumberFormat="1" applyFont="1" applyFill="1" applyBorder="1"/>
    <xf numFmtId="10" fontId="14" fillId="12" borderId="16" xfId="2" applyNumberFormat="1" applyFont="1" applyFill="1" applyBorder="1"/>
    <xf numFmtId="6" fontId="14" fillId="12" borderId="16" xfId="28" applyNumberFormat="1" applyFont="1" applyFill="1" applyBorder="1"/>
    <xf numFmtId="6" fontId="14" fillId="12" borderId="34" xfId="28" applyNumberFormat="1" applyFont="1" applyFill="1" applyBorder="1"/>
    <xf numFmtId="10" fontId="18" fillId="12" borderId="16" xfId="2" applyNumberFormat="1" applyFont="1" applyFill="1" applyBorder="1"/>
    <xf numFmtId="171" fontId="13" fillId="12" borderId="16" xfId="28" applyNumberFormat="1" applyFont="1" applyFill="1" applyBorder="1"/>
    <xf numFmtId="8" fontId="13" fillId="12" borderId="16" xfId="28" applyNumberFormat="1" applyFont="1" applyFill="1" applyBorder="1"/>
    <xf numFmtId="6" fontId="13" fillId="12" borderId="16" xfId="28" applyNumberFormat="1" applyFont="1" applyFill="1" applyBorder="1"/>
    <xf numFmtId="171" fontId="13" fillId="12" borderId="17" xfId="28" applyNumberFormat="1" applyFont="1" applyFill="1" applyBorder="1"/>
    <xf numFmtId="8" fontId="13" fillId="12" borderId="17" xfId="28" applyNumberFormat="1" applyFont="1" applyFill="1" applyBorder="1"/>
    <xf numFmtId="44" fontId="13" fillId="12" borderId="17" xfId="28" applyFont="1" applyFill="1" applyBorder="1"/>
    <xf numFmtId="37" fontId="14" fillId="0" borderId="0" xfId="28" applyNumberFormat="1" applyFont="1" applyBorder="1"/>
    <xf numFmtId="44" fontId="14" fillId="0" borderId="0" xfId="28" applyFont="1" applyBorder="1"/>
    <xf numFmtId="10" fontId="14" fillId="0" borderId="0" xfId="2" applyNumberFormat="1" applyFont="1" applyBorder="1"/>
    <xf numFmtId="166" fontId="15" fillId="12" borderId="6" xfId="14" applyNumberFormat="1" applyFont="1" applyFill="1" applyBorder="1"/>
    <xf numFmtId="8" fontId="13" fillId="12" borderId="7" xfId="28" applyNumberFormat="1" applyFont="1" applyFill="1" applyBorder="1"/>
    <xf numFmtId="10" fontId="13" fillId="0" borderId="0" xfId="2" applyNumberFormat="1" applyFont="1" applyBorder="1"/>
    <xf numFmtId="165" fontId="13" fillId="0" borderId="0" xfId="28" applyNumberFormat="1" applyFont="1" applyBorder="1"/>
    <xf numFmtId="165" fontId="3" fillId="0" borderId="44" xfId="28" applyNumberFormat="1" applyFont="1" applyBorder="1"/>
    <xf numFmtId="165" fontId="3" fillId="0" borderId="39" xfId="1" applyNumberFormat="1" applyFont="1" applyBorder="1" applyAlignment="1">
      <alignment vertical="center"/>
    </xf>
    <xf numFmtId="164" fontId="9" fillId="0" borderId="39" xfId="28" applyNumberFormat="1" applyFont="1" applyFill="1" applyBorder="1"/>
    <xf numFmtId="164" fontId="9" fillId="0" borderId="53" xfId="28" applyNumberFormat="1" applyFont="1" applyFill="1" applyBorder="1"/>
    <xf numFmtId="165" fontId="3" fillId="0" borderId="10" xfId="1" applyNumberFormat="1" applyFont="1" applyBorder="1" applyAlignment="1">
      <alignment horizontal="right" vertical="center"/>
    </xf>
    <xf numFmtId="6" fontId="7" fillId="0" borderId="1" xfId="1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0" fontId="17" fillId="0" borderId="15" xfId="2" applyNumberFormat="1" applyFont="1" applyFill="1" applyBorder="1" applyAlignment="1">
      <alignment horizontal="center" vertical="top"/>
    </xf>
    <xf numFmtId="10" fontId="17" fillId="0" borderId="9" xfId="2" applyNumberFormat="1" applyFont="1" applyFill="1" applyBorder="1" applyAlignment="1">
      <alignment horizontal="center" vertical="top"/>
    </xf>
    <xf numFmtId="10" fontId="17" fillId="0" borderId="24" xfId="2" applyNumberFormat="1" applyFont="1" applyFill="1" applyBorder="1" applyAlignment="1">
      <alignment horizontal="center" vertical="top"/>
    </xf>
    <xf numFmtId="164" fontId="8" fillId="0" borderId="1" xfId="0" applyNumberFormat="1" applyFont="1" applyBorder="1"/>
    <xf numFmtId="165" fontId="18" fillId="0" borderId="1" xfId="1" applyNumberFormat="1" applyFont="1" applyFill="1" applyBorder="1" applyAlignment="1">
      <alignment horizontal="center"/>
    </xf>
    <xf numFmtId="10" fontId="13" fillId="0" borderId="1" xfId="2" applyNumberFormat="1" applyFont="1" applyFill="1" applyBorder="1" applyAlignment="1">
      <alignment horizontal="center" vertical="center"/>
    </xf>
    <xf numFmtId="10" fontId="15" fillId="0" borderId="5" xfId="2" applyNumberFormat="1" applyFont="1" applyFill="1" applyBorder="1" applyAlignment="1">
      <alignment horizontal="center" vertical="top"/>
    </xf>
    <xf numFmtId="10" fontId="15" fillId="0" borderId="5" xfId="2" applyNumberFormat="1" applyFont="1" applyFill="1" applyBorder="1" applyAlignment="1">
      <alignment horizontal="center" vertical="top" wrapText="1"/>
    </xf>
    <xf numFmtId="165" fontId="7" fillId="0" borderId="5" xfId="26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 wrapText="1"/>
    </xf>
    <xf numFmtId="10" fontId="3" fillId="0" borderId="44" xfId="2" applyNumberFormat="1" applyFont="1" applyBorder="1" applyAlignment="1">
      <alignment horizontal="center"/>
    </xf>
    <xf numFmtId="10" fontId="3" fillId="0" borderId="39" xfId="2" applyNumberFormat="1" applyFont="1" applyBorder="1" applyAlignment="1">
      <alignment horizontal="center"/>
    </xf>
    <xf numFmtId="0" fontId="7" fillId="0" borderId="53" xfId="26" applyFont="1" applyBorder="1" applyAlignment="1">
      <alignment horizontal="center"/>
    </xf>
    <xf numFmtId="167" fontId="15" fillId="0" borderId="0" xfId="14" applyNumberFormat="1" applyFont="1" applyAlignment="1">
      <alignment horizontal="center" vertical="center"/>
    </xf>
    <xf numFmtId="168" fontId="14" fillId="0" borderId="9" xfId="2" applyNumberFormat="1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0" xfId="26" applyFont="1"/>
    <xf numFmtId="0" fontId="22" fillId="0" borderId="0" xfId="0" applyFont="1"/>
    <xf numFmtId="168" fontId="14" fillId="0" borderId="15" xfId="2" applyNumberFormat="1" applyFont="1" applyBorder="1"/>
    <xf numFmtId="168" fontId="18" fillId="0" borderId="13" xfId="2" applyNumberFormat="1" applyFont="1" applyBorder="1"/>
    <xf numFmtId="168" fontId="18" fillId="0" borderId="12" xfId="2" applyNumberFormat="1" applyFont="1" applyBorder="1"/>
    <xf numFmtId="168" fontId="18" fillId="0" borderId="15" xfId="2" applyNumberFormat="1" applyFont="1" applyBorder="1"/>
    <xf numFmtId="165" fontId="3" fillId="0" borderId="25" xfId="28" applyNumberFormat="1" applyFont="1" applyBorder="1"/>
    <xf numFmtId="165" fontId="8" fillId="0" borderId="61" xfId="1" applyNumberFormat="1" applyFont="1" applyBorder="1" applyAlignment="1">
      <alignment vertical="center"/>
    </xf>
    <xf numFmtId="165" fontId="3" fillId="0" borderId="61" xfId="1" applyNumberFormat="1" applyFont="1" applyBorder="1" applyAlignment="1">
      <alignment vertical="center"/>
    </xf>
    <xf numFmtId="164" fontId="19" fillId="0" borderId="61" xfId="28" applyNumberFormat="1" applyFont="1" applyFill="1" applyBorder="1"/>
    <xf numFmtId="164" fontId="9" fillId="0" borderId="61" xfId="28" applyNumberFormat="1" applyFont="1" applyFill="1" applyBorder="1"/>
    <xf numFmtId="164" fontId="9" fillId="0" borderId="62" xfId="28" applyNumberFormat="1" applyFont="1" applyFill="1" applyBorder="1"/>
    <xf numFmtId="0" fontId="13" fillId="0" borderId="13" xfId="26" applyFont="1" applyBorder="1"/>
    <xf numFmtId="165" fontId="7" fillId="0" borderId="22" xfId="1" applyNumberFormat="1" applyFont="1" applyFill="1" applyBorder="1" applyAlignment="1">
      <alignment horizontal="right" vertical="center"/>
    </xf>
    <xf numFmtId="165" fontId="7" fillId="0" borderId="25" xfId="1" applyNumberFormat="1" applyFont="1" applyFill="1" applyBorder="1" applyAlignment="1">
      <alignment horizontal="right" vertical="center"/>
    </xf>
    <xf numFmtId="165" fontId="7" fillId="0" borderId="21" xfId="1" applyNumberFormat="1" applyFont="1" applyFill="1" applyBorder="1" applyAlignment="1">
      <alignment horizontal="right" vertical="center"/>
    </xf>
    <xf numFmtId="165" fontId="7" fillId="0" borderId="5" xfId="1" applyNumberFormat="1" applyFont="1" applyFill="1" applyBorder="1" applyAlignment="1">
      <alignment horizontal="right" vertical="center"/>
    </xf>
    <xf numFmtId="165" fontId="19" fillId="0" borderId="22" xfId="1" applyNumberFormat="1" applyFont="1" applyFill="1" applyBorder="1" applyAlignment="1">
      <alignment horizontal="right" vertical="center"/>
    </xf>
    <xf numFmtId="165" fontId="19" fillId="0" borderId="21" xfId="1" applyNumberFormat="1" applyFont="1" applyFill="1" applyBorder="1" applyAlignment="1">
      <alignment horizontal="right" vertical="center"/>
    </xf>
    <xf numFmtId="165" fontId="19" fillId="0" borderId="25" xfId="1" applyNumberFormat="1" applyFont="1" applyFill="1" applyBorder="1" applyAlignment="1">
      <alignment horizontal="right" vertical="center"/>
    </xf>
    <xf numFmtId="43" fontId="0" fillId="0" borderId="0" xfId="0" applyNumberFormat="1"/>
    <xf numFmtId="173" fontId="40" fillId="0" borderId="0" xfId="0" applyNumberFormat="1" applyFont="1"/>
    <xf numFmtId="173" fontId="0" fillId="0" borderId="0" xfId="0" applyNumberFormat="1"/>
    <xf numFmtId="10" fontId="13" fillId="7" borderId="17" xfId="2" applyNumberFormat="1" applyFont="1" applyFill="1" applyBorder="1"/>
    <xf numFmtId="10" fontId="13" fillId="7" borderId="16" xfId="2" applyNumberFormat="1" applyFont="1" applyFill="1" applyBorder="1"/>
    <xf numFmtId="168" fontId="3" fillId="0" borderId="0" xfId="2" applyNumberFormat="1" applyFont="1"/>
    <xf numFmtId="165" fontId="3" fillId="20" borderId="11" xfId="1" applyNumberFormat="1" applyFont="1" applyFill="1" applyBorder="1" applyAlignment="1">
      <alignment vertical="top"/>
    </xf>
    <xf numFmtId="167" fontId="40" fillId="0" borderId="0" xfId="0" applyNumberFormat="1" applyFont="1"/>
    <xf numFmtId="0" fontId="40" fillId="0" borderId="63" xfId="0" applyFont="1" applyBorder="1"/>
    <xf numFmtId="43" fontId="40" fillId="0" borderId="16" xfId="14" applyFont="1" applyBorder="1"/>
    <xf numFmtId="43" fontId="40" fillId="0" borderId="16" xfId="14" applyFont="1" applyFill="1" applyBorder="1"/>
    <xf numFmtId="0" fontId="40" fillId="0" borderId="16" xfId="0" applyFont="1" applyBorder="1"/>
    <xf numFmtId="10" fontId="0" fillId="0" borderId="0" xfId="2" applyNumberFormat="1" applyFont="1" applyBorder="1"/>
    <xf numFmtId="43" fontId="0" fillId="0" borderId="16" xfId="14" applyFont="1" applyFill="1" applyBorder="1"/>
    <xf numFmtId="0" fontId="0" fillId="0" borderId="16" xfId="0" applyBorder="1"/>
    <xf numFmtId="43" fontId="0" fillId="0" borderId="16" xfId="14" applyFont="1" applyBorder="1"/>
    <xf numFmtId="43" fontId="40" fillId="0" borderId="16" xfId="14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173" fontId="0" fillId="0" borderId="16" xfId="0" applyNumberFormat="1" applyBorder="1"/>
    <xf numFmtId="174" fontId="0" fillId="0" borderId="16" xfId="0" applyNumberFormat="1" applyBorder="1"/>
    <xf numFmtId="0" fontId="40" fillId="0" borderId="16" xfId="0" applyFont="1" applyBorder="1" applyAlignment="1">
      <alignment horizontal="center" wrapText="1"/>
    </xf>
    <xf numFmtId="0" fontId="55" fillId="7" borderId="16" xfId="0" applyFont="1" applyFill="1" applyBorder="1" applyAlignment="1">
      <alignment horizontal="center" wrapText="1"/>
    </xf>
    <xf numFmtId="43" fontId="56" fillId="7" borderId="16" xfId="0" applyNumberFormat="1" applyFont="1" applyFill="1" applyBorder="1"/>
    <xf numFmtId="0" fontId="40" fillId="7" borderId="16" xfId="0" applyFont="1" applyFill="1" applyBorder="1"/>
    <xf numFmtId="43" fontId="40" fillId="7" borderId="16" xfId="0" applyNumberFormat="1" applyFont="1" applyFill="1" applyBorder="1"/>
    <xf numFmtId="43" fontId="55" fillId="7" borderId="16" xfId="0" applyNumberFormat="1" applyFont="1" applyFill="1" applyBorder="1"/>
    <xf numFmtId="2" fontId="56" fillId="7" borderId="16" xfId="1" applyNumberFormat="1" applyFont="1" applyFill="1" applyBorder="1"/>
    <xf numFmtId="43" fontId="40" fillId="7" borderId="5" xfId="0" applyNumberFormat="1" applyFont="1" applyFill="1" applyBorder="1"/>
    <xf numFmtId="0" fontId="58" fillId="3" borderId="5" xfId="0" applyFont="1" applyFill="1" applyBorder="1" applyAlignment="1">
      <alignment horizontal="center" vertical="center" wrapText="1"/>
    </xf>
    <xf numFmtId="165" fontId="0" fillId="0" borderId="0" xfId="0" applyNumberFormat="1"/>
    <xf numFmtId="43" fontId="3" fillId="0" borderId="0" xfId="14" applyFont="1"/>
    <xf numFmtId="0" fontId="58" fillId="0" borderId="0" xfId="0" applyFont="1" applyAlignment="1">
      <alignment horizontal="right"/>
    </xf>
    <xf numFmtId="167" fontId="16" fillId="0" borderId="0" xfId="14" applyNumberFormat="1" applyFont="1"/>
    <xf numFmtId="0" fontId="41" fillId="12" borderId="0" xfId="0" applyFont="1" applyFill="1" applyAlignment="1">
      <alignment horizontal="center"/>
    </xf>
    <xf numFmtId="165" fontId="24" fillId="0" borderId="0" xfId="16" applyNumberFormat="1" applyFont="1" applyFill="1" applyBorder="1"/>
    <xf numFmtId="0" fontId="24" fillId="0" borderId="0" xfId="15" applyFont="1"/>
    <xf numFmtId="168" fontId="33" fillId="0" borderId="0" xfId="2" applyNumberFormat="1" applyFont="1" applyFill="1"/>
    <xf numFmtId="165" fontId="7" fillId="0" borderId="6" xfId="1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60" fillId="0" borderId="61" xfId="1" applyNumberFormat="1" applyFont="1" applyBorder="1" applyAlignment="1">
      <alignment vertical="center"/>
    </xf>
    <xf numFmtId="168" fontId="17" fillId="0" borderId="12" xfId="2" applyNumberFormat="1" applyFont="1" applyBorder="1"/>
    <xf numFmtId="0" fontId="24" fillId="0" borderId="0" xfId="15" applyFont="1" applyAlignment="1">
      <alignment horizontal="center"/>
    </xf>
    <xf numFmtId="0" fontId="7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top"/>
    </xf>
    <xf numFmtId="0" fontId="16" fillId="0" borderId="60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59" xfId="0" applyFont="1" applyBorder="1" applyAlignment="1">
      <alignment horizontal="right" vertical="top"/>
    </xf>
    <xf numFmtId="0" fontId="16" fillId="0" borderId="58" xfId="0" applyFont="1" applyBorder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34" fillId="0" borderId="0" xfId="15" applyFont="1" applyAlignment="1">
      <alignment horizontal="center"/>
    </xf>
    <xf numFmtId="0" fontId="7" fillId="0" borderId="2" xfId="24" applyFont="1" applyBorder="1" applyAlignment="1">
      <alignment horizontal="center" vertical="center"/>
    </xf>
    <xf numFmtId="0" fontId="7" fillId="0" borderId="4" xfId="24" applyFont="1" applyBorder="1" applyAlignment="1">
      <alignment horizontal="center" vertical="center"/>
    </xf>
    <xf numFmtId="0" fontId="30" fillId="0" borderId="2" xfId="24" applyFont="1" applyBorder="1" applyAlignment="1">
      <alignment horizontal="left" vertical="top" wrapText="1"/>
    </xf>
    <xf numFmtId="0" fontId="30" fillId="0" borderId="3" xfId="24" applyFont="1" applyBorder="1" applyAlignment="1">
      <alignment horizontal="left" vertical="top" wrapText="1"/>
    </xf>
    <xf numFmtId="0" fontId="30" fillId="0" borderId="4" xfId="24" applyFont="1" applyBorder="1" applyAlignment="1">
      <alignment horizontal="left" vertical="top" wrapText="1"/>
    </xf>
    <xf numFmtId="0" fontId="27" fillId="0" borderId="2" xfId="24" applyFont="1" applyBorder="1" applyAlignment="1">
      <alignment horizontal="center" vertical="center" wrapText="1"/>
    </xf>
    <xf numFmtId="0" fontId="27" fillId="0" borderId="3" xfId="24" applyFont="1" applyBorder="1" applyAlignment="1">
      <alignment horizontal="center" vertical="center" wrapText="1"/>
    </xf>
    <xf numFmtId="0" fontId="27" fillId="0" borderId="4" xfId="24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20" fillId="0" borderId="40" xfId="0" applyFont="1" applyBorder="1" applyAlignment="1">
      <alignment horizontal="left" wrapText="1"/>
    </xf>
    <xf numFmtId="0" fontId="43" fillId="0" borderId="39" xfId="0" applyFont="1" applyBorder="1" applyAlignment="1">
      <alignment horizontal="left" wrapText="1"/>
    </xf>
    <xf numFmtId="0" fontId="43" fillId="0" borderId="54" xfId="0" applyFont="1" applyBorder="1" applyAlignment="1">
      <alignment horizontal="left" wrapText="1"/>
    </xf>
    <xf numFmtId="0" fontId="43" fillId="0" borderId="40" xfId="0" applyFont="1" applyBorder="1" applyAlignment="1">
      <alignment horizontal="left" wrapText="1"/>
    </xf>
  </cellXfs>
  <cellStyles count="57">
    <cellStyle name="20% - Accent2" xfId="25" builtinId="34"/>
    <cellStyle name="60% - Accent3" xfId="29" builtinId="40"/>
    <cellStyle name="CCOC County Header" xfId="53" xr:uid="{B2BE5B12-CC1F-4A65-B29F-5CEEA18F6CBC}"/>
    <cellStyle name="CCOC Form Title" xfId="52" xr:uid="{3C0745A1-14A9-4639-AA64-D79C8EB9AD50}"/>
    <cellStyle name="Comma" xfId="14" builtinId="3"/>
    <cellStyle name="Comma 2" xfId="5" xr:uid="{2A681E24-D0D9-4A64-A7C3-94D76CC7B481}"/>
    <cellStyle name="Comma 2 2" xfId="20" xr:uid="{083DBF04-A74E-427C-B240-CE86B9E23ECC}"/>
    <cellStyle name="Comma 2 3" xfId="30" xr:uid="{0829A709-F25B-45CA-A802-A02A083EBA41}"/>
    <cellStyle name="Comma 3" xfId="31" xr:uid="{6221B693-344C-43E2-82F7-CFA4CD8548F1}"/>
    <cellStyle name="Currency" xfId="1" builtinId="4"/>
    <cellStyle name="Currency 2" xfId="4" xr:uid="{979A78FB-C7AA-4367-8426-EC76D4683AF9}"/>
    <cellStyle name="Currency 2 2" xfId="21" xr:uid="{DBA5DCBF-8376-4E12-85FF-205C35F7F151}"/>
    <cellStyle name="Currency 2 3" xfId="32" xr:uid="{BB165FDD-173A-47A9-B2A9-46AACD5649F5}"/>
    <cellStyle name="Currency 3" xfId="7" xr:uid="{442E720D-D10C-4E03-9056-2FA5C01C9752}"/>
    <cellStyle name="Currency 3 2" xfId="11" xr:uid="{705C7E37-D6D6-471B-A0DC-676B36DF1613}"/>
    <cellStyle name="Currency 3 2 2" xfId="18" xr:uid="{96D16B4A-5259-4B15-A14B-588C16522E35}"/>
    <cellStyle name="Currency 3 2 2 2" xfId="28" xr:uid="{8AD9DF01-B6C3-4FAA-A8F7-C67376B410CB}"/>
    <cellStyle name="Currency 3 3" xfId="33" xr:uid="{59AFF14F-EBF7-41CD-B2CB-8F83A24116DA}"/>
    <cellStyle name="Currency 4" xfId="16" xr:uid="{EE9EB699-6190-46ED-BD65-73D09B970377}"/>
    <cellStyle name="Currency 4 2" xfId="34" xr:uid="{F2D1FBC7-2F7D-4BB3-A31D-9E85EA167CA7}"/>
    <cellStyle name="Hyperlink 2" xfId="55" xr:uid="{C51318FA-8E47-4FB2-8FD1-551342C50DAC}"/>
    <cellStyle name="Line 2 Report Information Fill In" xfId="13" xr:uid="{AD1DB3E6-82C2-4DB8-B28F-C3F37B54778E}"/>
    <cellStyle name="Normal" xfId="0" builtinId="0"/>
    <cellStyle name="Normal 2" xfId="12" xr:uid="{98D89331-6EF8-4F96-BE9D-0E0170F96707}"/>
    <cellStyle name="Normal 2 2" xfId="36" xr:uid="{F4B5F998-C94E-4522-BAC9-D6BD43ECF938}"/>
    <cellStyle name="Normal 2 3" xfId="37" xr:uid="{59BD439E-4A0A-4EB9-965D-F64A83E99E5F}"/>
    <cellStyle name="Normal 2 4" xfId="38" xr:uid="{D9E7B805-EB30-47B5-9663-2D4CC27A0098}"/>
    <cellStyle name="Normal 2 5" xfId="51" xr:uid="{F14B5107-26F9-4E73-95A7-04B7E0D4E008}"/>
    <cellStyle name="Normal 2 6" xfId="35" xr:uid="{14D4865C-8BF4-431C-938C-0B353ABAF9D4}"/>
    <cellStyle name="Normal 2 7" xfId="54" xr:uid="{0C80FEDD-195F-4B52-BC33-3EAF8E35D09A}"/>
    <cellStyle name="Normal 2 8" xfId="56" xr:uid="{2765CC1E-4E28-488F-83BE-29DDC0109BE0}"/>
    <cellStyle name="Normal 3" xfId="6" xr:uid="{5E287F0D-ACF6-4A31-B324-F0802FB8622C}"/>
    <cellStyle name="Normal 3 2" xfId="9" xr:uid="{B43F49E9-3BA6-4CE7-8EB2-0450C5AD6997}"/>
    <cellStyle name="Normal 3 2 2" xfId="17" xr:uid="{F92651E8-0C96-4DCC-AEC0-25AD7D60EB96}"/>
    <cellStyle name="Normal 3 2 2 2" xfId="26" xr:uid="{0F374CE7-6556-4C7F-B2C1-D4270DB4E365}"/>
    <cellStyle name="Normal 3 2 3" xfId="24" xr:uid="{C0B3CD22-FB81-4973-87CE-7F5418C5794F}"/>
    <cellStyle name="Normal 3 3" xfId="23" xr:uid="{56A635DB-9A59-4D13-BCB9-30E35858FA44}"/>
    <cellStyle name="Normal 3 4" xfId="39" xr:uid="{1384E9AE-82D5-4C0F-B82A-D5BA42A7B858}"/>
    <cellStyle name="Normal 4" xfId="15" xr:uid="{62289CD8-9BA4-440C-B09F-2315A6CCD8EE}"/>
    <cellStyle name="Normal 4 2" xfId="40" xr:uid="{01952A09-F836-49E5-81F1-9193ED08206B}"/>
    <cellStyle name="Normal 5" xfId="41" xr:uid="{42DD1BD1-F6B1-433A-AEDF-19F47F6BCE11}"/>
    <cellStyle name="Normal 6" xfId="42" xr:uid="{2E134AE8-2F7C-4F89-8312-5221F4CD5E35}"/>
    <cellStyle name="Normal 7" xfId="43" xr:uid="{8DBAD26C-3A24-40E2-ACE4-FD6F382CC2DD}"/>
    <cellStyle name="Percent" xfId="2" builtinId="5"/>
    <cellStyle name="Percent 2" xfId="3" xr:uid="{39FFBDB5-EBDB-4434-94F3-3A9F24761576}"/>
    <cellStyle name="Percent 2 2" xfId="22" xr:uid="{2D1D581A-8455-4038-8310-5F444F7675F7}"/>
    <cellStyle name="Percent 2 2 2" xfId="45" xr:uid="{F0725B8D-29E8-47C4-AF5B-5CC530D894F1}"/>
    <cellStyle name="Percent 2 3" xfId="46" xr:uid="{F32439E7-F47D-497C-A1FB-3A2F1477BF2D}"/>
    <cellStyle name="Percent 2 4" xfId="47" xr:uid="{0A03C74C-938A-482D-BDCA-D84C1607A4C8}"/>
    <cellStyle name="Percent 2 5" xfId="44" xr:uid="{B868409B-9A83-4106-95B9-86BDE124020A}"/>
    <cellStyle name="Percent 3" xfId="8" xr:uid="{E63009D5-8F1A-48DC-872F-38CFD50B1C0C}"/>
    <cellStyle name="Percent 3 2" xfId="10" xr:uid="{9D64B549-1BB3-49D2-9372-AB4803435920}"/>
    <cellStyle name="Percent 3 2 2" xfId="19" xr:uid="{3A6ABBE7-7034-42EE-81EA-1BB428918064}"/>
    <cellStyle name="Percent 3 2 2 2" xfId="27" xr:uid="{1D2186DE-2D87-497D-A8F2-1221C3AB6958}"/>
    <cellStyle name="Percent 3 3" xfId="48" xr:uid="{22BAAE10-C506-4281-9503-13478E24551E}"/>
    <cellStyle name="Percent 4" xfId="49" xr:uid="{BF79CA12-D5DD-4E35-8435-75F11CFC4135}"/>
    <cellStyle name="Percent 5" xfId="50" xr:uid="{4EDBBC06-98DC-4A22-AFEA-62B63CB2276F}"/>
  </cellStyles>
  <dxfs count="2">
    <dxf>
      <font>
        <color theme="4"/>
      </font>
      <numFmt numFmtId="14" formatCode="0.00%"/>
    </dxf>
    <dxf>
      <font>
        <color theme="4"/>
      </font>
    </dxf>
  </dxfs>
  <tableStyles count="0" defaultTableStyle="TableStyleMedium2" defaultPivotStyle="PivotStyleLight16"/>
  <colors>
    <mruColors>
      <color rgb="FF009959"/>
      <color rgb="FFCFB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251114</xdr:colOff>
      <xdr:row>71</xdr:row>
      <xdr:rowOff>164946</xdr:rowOff>
    </xdr:from>
    <xdr:to>
      <xdr:col>8</xdr:col>
      <xdr:colOff>1194955</xdr:colOff>
      <xdr:row>76</xdr:row>
      <xdr:rowOff>10466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471CA5-6CDB-4CE6-BAF3-8613731D83B8}"/>
            </a:ext>
          </a:extLst>
        </xdr:cNvPr>
        <xdr:cNvSpPr txBox="1"/>
      </xdr:nvSpPr>
      <xdr:spPr>
        <a:xfrm>
          <a:off x="10252364" y="14920037"/>
          <a:ext cx="943841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Unspent Budgeted Funds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21-22)</a:t>
          </a:r>
        </a:p>
      </xdr:txBody>
    </xdr:sp>
    <xdr:clientData/>
  </xdr:twoCellAnchor>
  <xdr:twoCellAnchor>
    <xdr:from>
      <xdr:col>8</xdr:col>
      <xdr:colOff>715741</xdr:colOff>
      <xdr:row>70</xdr:row>
      <xdr:rowOff>43296</xdr:rowOff>
    </xdr:from>
    <xdr:to>
      <xdr:col>8</xdr:col>
      <xdr:colOff>715741</xdr:colOff>
      <xdr:row>71</xdr:row>
      <xdr:rowOff>159652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376DB7-96AD-4CD3-B554-3C7167849D8D}"/>
            </a:ext>
          </a:extLst>
        </xdr:cNvPr>
        <xdr:cNvCxnSpPr/>
      </xdr:nvCxnSpPr>
      <xdr:spPr>
        <a:xfrm flipV="1">
          <a:off x="10716991" y="14599228"/>
          <a:ext cx="0" cy="315515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29766</xdr:colOff>
      <xdr:row>7</xdr:row>
      <xdr:rowOff>125943</xdr:rowOff>
    </xdr:from>
    <xdr:to>
      <xdr:col>4</xdr:col>
      <xdr:colOff>1115880</xdr:colOff>
      <xdr:row>11</xdr:row>
      <xdr:rowOff>129780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586D3B-E8CE-4BF7-931E-73F04E3E1DE4}"/>
            </a:ext>
          </a:extLst>
        </xdr:cNvPr>
        <xdr:cNvSpPr txBox="1"/>
      </xdr:nvSpPr>
      <xdr:spPr>
        <a:xfrm>
          <a:off x="7325916" y="1681693"/>
          <a:ext cx="1086114" cy="8547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Additional Cumulative Excess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2021-22)</a:t>
          </a:r>
        </a:p>
      </xdr:txBody>
    </xdr:sp>
    <xdr:clientData/>
  </xdr:twoCellAnchor>
  <xdr:twoCellAnchor>
    <xdr:from>
      <xdr:col>4</xdr:col>
      <xdr:colOff>589643</xdr:colOff>
      <xdr:row>6</xdr:row>
      <xdr:rowOff>25400</xdr:rowOff>
    </xdr:from>
    <xdr:to>
      <xdr:col>4</xdr:col>
      <xdr:colOff>589643</xdr:colOff>
      <xdr:row>7</xdr:row>
      <xdr:rowOff>120649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04280D3-2FBC-4855-AF0D-0F0F3F13F630}"/>
            </a:ext>
          </a:extLst>
        </xdr:cNvPr>
        <xdr:cNvCxnSpPr/>
      </xdr:nvCxnSpPr>
      <xdr:spPr>
        <a:xfrm flipV="1">
          <a:off x="7885793" y="1358900"/>
          <a:ext cx="0" cy="317499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FFFFFF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C21-4591-4666-B498-E14EF62D73DD}">
  <sheetPr>
    <pageSetUpPr fitToPage="1"/>
  </sheetPr>
  <dimension ref="A1:B22"/>
  <sheetViews>
    <sheetView zoomScale="110" zoomScaleNormal="110" workbookViewId="0">
      <selection activeCell="D11" sqref="D11"/>
    </sheetView>
  </sheetViews>
  <sheetFormatPr defaultRowHeight="21"/>
  <cols>
    <col min="1" max="1" width="75.5703125" style="71" customWidth="1"/>
    <col min="2" max="2" width="27.5703125" style="71" customWidth="1"/>
    <col min="3" max="16384" width="9.140625" style="71"/>
  </cols>
  <sheetData>
    <row r="1" spans="1:2">
      <c r="A1" s="421" t="s">
        <v>70</v>
      </c>
      <c r="B1" s="421"/>
    </row>
    <row r="2" spans="1:2" ht="37.5" customHeight="1"/>
    <row r="3" spans="1:2">
      <c r="A3" s="71" t="s">
        <v>279</v>
      </c>
      <c r="B3" s="72">
        <v>458473245</v>
      </c>
    </row>
    <row r="4" spans="1:2" ht="21" customHeight="1">
      <c r="A4" s="71" t="s">
        <v>196</v>
      </c>
      <c r="B4" s="72">
        <v>1007444</v>
      </c>
    </row>
    <row r="5" spans="1:2" ht="21.75" thickBot="1">
      <c r="A5" s="71" t="s">
        <v>195</v>
      </c>
      <c r="B5" s="72">
        <v>14955360</v>
      </c>
    </row>
    <row r="6" spans="1:2" ht="21.75" thickTop="1">
      <c r="B6" s="73">
        <f>SUM(B3:B5)</f>
        <v>474436049</v>
      </c>
    </row>
    <row r="7" spans="1:2">
      <c r="B7" s="412"/>
    </row>
    <row r="8" spans="1:2" ht="21.75" thickBot="1">
      <c r="A8" s="71" t="s">
        <v>281</v>
      </c>
      <c r="B8" s="74">
        <v>11700000</v>
      </c>
    </row>
    <row r="9" spans="1:2" ht="21.75" thickTop="1">
      <c r="A9" s="413" t="s">
        <v>282</v>
      </c>
      <c r="B9" s="73">
        <f>SUM(B6:B8)</f>
        <v>486136049</v>
      </c>
    </row>
    <row r="10" spans="1:2">
      <c r="B10" s="74"/>
    </row>
    <row r="11" spans="1:2">
      <c r="B11" s="74"/>
    </row>
    <row r="12" spans="1:2">
      <c r="B12" s="74"/>
    </row>
    <row r="13" spans="1:2">
      <c r="A13" s="71" t="s">
        <v>283</v>
      </c>
      <c r="B13" s="72">
        <v>453209797.41500002</v>
      </c>
    </row>
    <row r="14" spans="1:2" ht="11.25" customHeight="1">
      <c r="B14" s="72"/>
    </row>
    <row r="15" spans="1:2">
      <c r="A15" s="75" t="s">
        <v>284</v>
      </c>
      <c r="B15" s="76">
        <f>B6-B13</f>
        <v>21226251.584999979</v>
      </c>
    </row>
    <row r="16" spans="1:2">
      <c r="B16" s="414">
        <f>B15/B13</f>
        <v>4.6835376697656202E-2</v>
      </c>
    </row>
    <row r="17" spans="1:2" s="75" customFormat="1"/>
    <row r="19" spans="1:2">
      <c r="A19" s="71" t="s">
        <v>286</v>
      </c>
      <c r="B19" s="72">
        <v>473434139</v>
      </c>
    </row>
    <row r="20" spans="1:2" ht="11.25" customHeight="1">
      <c r="B20" s="72"/>
    </row>
    <row r="21" spans="1:2">
      <c r="A21" s="75" t="s">
        <v>285</v>
      </c>
      <c r="B21" s="76">
        <f>B9-B19</f>
        <v>12701910</v>
      </c>
    </row>
    <row r="22" spans="1:2">
      <c r="B22" s="414">
        <f>B21/B19</f>
        <v>2.6829307296743127E-2</v>
      </c>
    </row>
  </sheetData>
  <mergeCells count="1">
    <mergeCell ref="A1:B1"/>
  </mergeCells>
  <printOptions horizontalCentered="1"/>
  <pageMargins left="0.5" right="0.5" top="1" bottom="1" header="0.5" footer="0.5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8591-58F5-488C-AB73-A27256F03021}">
  <sheetPr>
    <pageSetUpPr fitToPage="1"/>
  </sheetPr>
  <dimension ref="A1:D94"/>
  <sheetViews>
    <sheetView topLeftCell="A59" zoomScale="140" zoomScaleNormal="140" workbookViewId="0">
      <selection activeCell="B81" sqref="B81"/>
    </sheetView>
  </sheetViews>
  <sheetFormatPr defaultColWidth="9.140625" defaultRowHeight="13.5" outlineLevelRow="2"/>
  <cols>
    <col min="1" max="1" width="16.7109375" style="77" customWidth="1"/>
    <col min="2" max="2" width="8" style="107" customWidth="1"/>
    <col min="3" max="3" width="17.7109375" style="105" customWidth="1"/>
    <col min="4" max="4" width="13.85546875" style="106" customWidth="1"/>
    <col min="5" max="16384" width="9.140625" style="77"/>
  </cols>
  <sheetData>
    <row r="1" spans="1:4" ht="28.5" customHeight="1" thickBot="1">
      <c r="A1" s="435" t="s">
        <v>84</v>
      </c>
      <c r="B1" s="436"/>
      <c r="C1" s="436"/>
      <c r="D1" s="437"/>
    </row>
    <row r="2" spans="1:4" ht="45.75" customHeight="1" thickBot="1">
      <c r="A2" s="78" t="s">
        <v>0</v>
      </c>
      <c r="B2" s="79" t="s">
        <v>85</v>
      </c>
      <c r="C2" s="415" t="s">
        <v>213</v>
      </c>
      <c r="D2" s="80" t="s">
        <v>189</v>
      </c>
    </row>
    <row r="3" spans="1:4" outlineLevel="2">
      <c r="A3" s="81" t="s">
        <v>1</v>
      </c>
      <c r="B3" s="82">
        <v>1</v>
      </c>
      <c r="C3" s="416">
        <v>477087.04396473733</v>
      </c>
      <c r="D3" s="83">
        <f>C3/$C$7-1</f>
        <v>0.15618000474081017</v>
      </c>
    </row>
    <row r="4" spans="1:4" outlineLevel="2">
      <c r="A4" s="84" t="s">
        <v>2</v>
      </c>
      <c r="B4" s="85">
        <v>1</v>
      </c>
      <c r="C4" s="416">
        <v>324488.77081173577</v>
      </c>
      <c r="D4" s="86">
        <f>C4/$C$7-1</f>
        <v>-0.21362897332592024</v>
      </c>
    </row>
    <row r="5" spans="1:4" outlineLevel="2">
      <c r="A5" s="84" t="s">
        <v>3</v>
      </c>
      <c r="B5" s="85">
        <v>1</v>
      </c>
      <c r="C5" s="416">
        <v>335293.10815339343</v>
      </c>
      <c r="D5" s="86">
        <f>C5/$C$7-1</f>
        <v>-0.1874455777445001</v>
      </c>
    </row>
    <row r="6" spans="1:4" ht="14.25" outlineLevel="2" thickBot="1">
      <c r="A6" s="87" t="s">
        <v>4</v>
      </c>
      <c r="B6" s="88">
        <v>1</v>
      </c>
      <c r="C6" s="417">
        <v>513694.28352063632</v>
      </c>
      <c r="D6" s="89">
        <f>C6/$C$7-1</f>
        <v>0.24489454632961016</v>
      </c>
    </row>
    <row r="7" spans="1:4" ht="15" customHeight="1" outlineLevel="1" thickBot="1">
      <c r="A7" s="430" t="s">
        <v>86</v>
      </c>
      <c r="B7" s="431"/>
      <c r="C7" s="418">
        <f>SUBTOTAL(1,C3:C6)</f>
        <v>412640.80161262571</v>
      </c>
      <c r="D7" s="90"/>
    </row>
    <row r="8" spans="1:4" outlineLevel="2">
      <c r="A8" s="81" t="s">
        <v>5</v>
      </c>
      <c r="B8" s="82">
        <v>2</v>
      </c>
      <c r="C8" s="416">
        <v>756419.18691392383</v>
      </c>
      <c r="D8" s="83">
        <f t="shared" ref="D8:D18" si="0">C8/$C$19-1</f>
        <v>0.20726404946160626</v>
      </c>
    </row>
    <row r="9" spans="1:4" outlineLevel="2">
      <c r="A9" s="84" t="s">
        <v>6</v>
      </c>
      <c r="B9" s="85">
        <v>2</v>
      </c>
      <c r="C9" s="416">
        <v>520944.80488996039</v>
      </c>
      <c r="D9" s="91">
        <f t="shared" si="0"/>
        <v>-0.16855898742689179</v>
      </c>
    </row>
    <row r="10" spans="1:4" outlineLevel="2">
      <c r="A10" s="84" t="s">
        <v>7</v>
      </c>
      <c r="B10" s="85">
        <v>2</v>
      </c>
      <c r="C10" s="416">
        <v>696031.39119290793</v>
      </c>
      <c r="D10" s="92">
        <f t="shared" si="0"/>
        <v>0.11088360848198064</v>
      </c>
    </row>
    <row r="11" spans="1:4" outlineLevel="2">
      <c r="A11" s="84" t="s">
        <v>8</v>
      </c>
      <c r="B11" s="85">
        <v>2</v>
      </c>
      <c r="C11" s="416">
        <v>577119.8685738123</v>
      </c>
      <c r="D11" s="91">
        <f t="shared" si="0"/>
        <v>-7.8902172746637023E-2</v>
      </c>
    </row>
    <row r="12" spans="1:4" outlineLevel="2">
      <c r="A12" s="84" t="s">
        <v>9</v>
      </c>
      <c r="B12" s="85">
        <v>2</v>
      </c>
      <c r="C12" s="416">
        <v>597058.85630874126</v>
      </c>
      <c r="D12" s="91">
        <f t="shared" si="0"/>
        <v>-4.7079046771680955E-2</v>
      </c>
    </row>
    <row r="13" spans="1:4" outlineLevel="2">
      <c r="A13" s="84" t="s">
        <v>10</v>
      </c>
      <c r="B13" s="85">
        <v>2</v>
      </c>
      <c r="C13" s="416">
        <v>520062.00035751879</v>
      </c>
      <c r="D13" s="91">
        <f t="shared" si="0"/>
        <v>-0.1699679656669425</v>
      </c>
    </row>
    <row r="14" spans="1:4" outlineLevel="2">
      <c r="A14" s="84" t="s">
        <v>11</v>
      </c>
      <c r="B14" s="85">
        <v>2</v>
      </c>
      <c r="C14" s="416">
        <v>630879.0406243027</v>
      </c>
      <c r="D14" s="91">
        <f t="shared" si="0"/>
        <v>6.8988181168636586E-3</v>
      </c>
    </row>
    <row r="15" spans="1:4" outlineLevel="2">
      <c r="A15" s="84" t="s">
        <v>12</v>
      </c>
      <c r="B15" s="85">
        <v>2</v>
      </c>
      <c r="C15" s="416">
        <v>628001.60102100403</v>
      </c>
      <c r="D15" s="91">
        <f t="shared" si="0"/>
        <v>2.3063521302033596E-3</v>
      </c>
    </row>
    <row r="16" spans="1:4" outlineLevel="2">
      <c r="A16" s="84" t="s">
        <v>13</v>
      </c>
      <c r="B16" s="85">
        <v>2</v>
      </c>
      <c r="C16" s="416">
        <v>530897.56972236454</v>
      </c>
      <c r="D16" s="91">
        <f t="shared" si="0"/>
        <v>-0.15267412440017614</v>
      </c>
    </row>
    <row r="17" spans="1:4" outlineLevel="2">
      <c r="A17" s="84" t="s">
        <v>14</v>
      </c>
      <c r="B17" s="85">
        <v>2</v>
      </c>
      <c r="C17" s="416">
        <v>598530.09148959303</v>
      </c>
      <c r="D17" s="91">
        <f t="shared" si="0"/>
        <v>-4.4730918415244125E-2</v>
      </c>
    </row>
    <row r="18" spans="1:4" ht="14.25" outlineLevel="2" thickBot="1">
      <c r="A18" s="87" t="s">
        <v>15</v>
      </c>
      <c r="B18" s="88">
        <v>2</v>
      </c>
      <c r="C18" s="417">
        <v>836177.53999340453</v>
      </c>
      <c r="D18" s="93">
        <f t="shared" si="0"/>
        <v>0.33456038723691939</v>
      </c>
    </row>
    <row r="19" spans="1:4" ht="14.25" outlineLevel="1" thickBot="1">
      <c r="A19" s="430" t="s">
        <v>87</v>
      </c>
      <c r="B19" s="431" t="s">
        <v>88</v>
      </c>
      <c r="C19" s="418">
        <f>SUBTOTAL(1,C8:C18)</f>
        <v>626556.54100795754</v>
      </c>
      <c r="D19" s="90"/>
    </row>
    <row r="20" spans="1:4" outlineLevel="2">
      <c r="A20" s="81" t="s">
        <v>16</v>
      </c>
      <c r="B20" s="82">
        <v>3</v>
      </c>
      <c r="C20" s="416">
        <v>913622.11112330446</v>
      </c>
      <c r="D20" s="86">
        <f t="shared" ref="D20:D30" si="1">C20/$C$31-1</f>
        <v>-0.14761396066880605</v>
      </c>
    </row>
    <row r="21" spans="1:4" outlineLevel="2">
      <c r="A21" s="84" t="s">
        <v>17</v>
      </c>
      <c r="B21" s="85">
        <v>3</v>
      </c>
      <c r="C21" s="416">
        <v>857813.27108536905</v>
      </c>
      <c r="D21" s="91">
        <f t="shared" si="1"/>
        <v>-0.19968217961888757</v>
      </c>
    </row>
    <row r="22" spans="1:4" outlineLevel="2">
      <c r="A22" s="84" t="s">
        <v>18</v>
      </c>
      <c r="B22" s="85">
        <v>3</v>
      </c>
      <c r="C22" s="416">
        <v>1419926.4626231289</v>
      </c>
      <c r="D22" s="92">
        <f t="shared" si="1"/>
        <v>0.32475503699092623</v>
      </c>
    </row>
    <row r="23" spans="1:4" outlineLevel="2">
      <c r="A23" s="84" t="s">
        <v>19</v>
      </c>
      <c r="B23" s="85">
        <v>3</v>
      </c>
      <c r="C23" s="416">
        <v>953613.05503218377</v>
      </c>
      <c r="D23" s="91">
        <f t="shared" si="1"/>
        <v>-0.11030343384093133</v>
      </c>
    </row>
    <row r="24" spans="1:4" outlineLevel="2">
      <c r="A24" s="84" t="s">
        <v>20</v>
      </c>
      <c r="B24" s="85">
        <v>3</v>
      </c>
      <c r="C24" s="416">
        <v>1346678.8851354381</v>
      </c>
      <c r="D24" s="92">
        <f t="shared" si="1"/>
        <v>0.25641692246283876</v>
      </c>
    </row>
    <row r="25" spans="1:4" outlineLevel="2">
      <c r="A25" s="84" t="s">
        <v>21</v>
      </c>
      <c r="B25" s="85">
        <v>3</v>
      </c>
      <c r="C25" s="416">
        <v>1173540.5581845732</v>
      </c>
      <c r="D25" s="91">
        <f t="shared" si="1"/>
        <v>9.4883296066006428E-2</v>
      </c>
    </row>
    <row r="26" spans="1:4" outlineLevel="2">
      <c r="A26" s="84" t="s">
        <v>22</v>
      </c>
      <c r="B26" s="85">
        <v>3</v>
      </c>
      <c r="C26" s="416">
        <v>1199086.7873437179</v>
      </c>
      <c r="D26" s="92">
        <f t="shared" si="1"/>
        <v>0.11871727384270203</v>
      </c>
    </row>
    <row r="27" spans="1:4" outlineLevel="2">
      <c r="A27" s="84" t="s">
        <v>23</v>
      </c>
      <c r="B27" s="85">
        <v>3</v>
      </c>
      <c r="C27" s="416">
        <v>596369.19044554711</v>
      </c>
      <c r="D27" s="91">
        <f t="shared" si="1"/>
        <v>-0.44360281342356422</v>
      </c>
    </row>
    <row r="28" spans="1:4" outlineLevel="2">
      <c r="A28" s="84" t="s">
        <v>24</v>
      </c>
      <c r="B28" s="85">
        <v>3</v>
      </c>
      <c r="C28" s="416">
        <v>1346683.9332744381</v>
      </c>
      <c r="D28" s="92">
        <f t="shared" si="1"/>
        <v>0.25642163224728454</v>
      </c>
    </row>
    <row r="29" spans="1:4" outlineLevel="2">
      <c r="A29" s="84" t="s">
        <v>25</v>
      </c>
      <c r="B29" s="85">
        <v>3</v>
      </c>
      <c r="C29" s="416">
        <v>1247899.1749196579</v>
      </c>
      <c r="D29" s="92">
        <f t="shared" si="1"/>
        <v>0.16425798176733686</v>
      </c>
    </row>
    <row r="30" spans="1:4" ht="14.25" outlineLevel="2" thickBot="1">
      <c r="A30" s="87" t="s">
        <v>26</v>
      </c>
      <c r="B30" s="88">
        <v>3</v>
      </c>
      <c r="C30" s="417">
        <v>735015.07166653324</v>
      </c>
      <c r="D30" s="94">
        <f t="shared" si="1"/>
        <v>-0.31424975582490711</v>
      </c>
    </row>
    <row r="31" spans="1:4" ht="15" customHeight="1" outlineLevel="1" thickBot="1">
      <c r="A31" s="430" t="s">
        <v>89</v>
      </c>
      <c r="B31" s="431"/>
      <c r="C31" s="418">
        <f>SUBTOTAL(1,C20:C30)</f>
        <v>1071840.7728030812</v>
      </c>
      <c r="D31" s="90"/>
    </row>
    <row r="32" spans="1:4" outlineLevel="2">
      <c r="A32" s="81" t="s">
        <v>27</v>
      </c>
      <c r="B32" s="82">
        <v>4</v>
      </c>
      <c r="C32" s="416">
        <v>3208688.8345074034</v>
      </c>
      <c r="D32" s="83">
        <f t="shared" ref="D32:D40" si="2">C32/$C$41-1</f>
        <v>0.4585608540733217</v>
      </c>
    </row>
    <row r="33" spans="1:4" outlineLevel="2">
      <c r="A33" s="84" t="s">
        <v>28</v>
      </c>
      <c r="B33" s="85">
        <v>4</v>
      </c>
      <c r="C33" s="416">
        <v>1634420.9885384722</v>
      </c>
      <c r="D33" s="91">
        <f t="shared" si="2"/>
        <v>-0.25704778621077717</v>
      </c>
    </row>
    <row r="34" spans="1:4" outlineLevel="2">
      <c r="A34" s="84" t="s">
        <v>29</v>
      </c>
      <c r="B34" s="85">
        <v>4</v>
      </c>
      <c r="C34" s="416">
        <v>1946667.9655878369</v>
      </c>
      <c r="D34" s="91">
        <f t="shared" si="2"/>
        <v>-0.11511092632300568</v>
      </c>
    </row>
    <row r="35" spans="1:4" outlineLevel="2">
      <c r="A35" s="84" t="s">
        <v>30</v>
      </c>
      <c r="B35" s="85">
        <v>4</v>
      </c>
      <c r="C35" s="416">
        <v>2098909.9353136122</v>
      </c>
      <c r="D35" s="91">
        <f t="shared" si="2"/>
        <v>-4.5906902859907395E-2</v>
      </c>
    </row>
    <row r="36" spans="1:4" outlineLevel="2">
      <c r="A36" s="84" t="s">
        <v>31</v>
      </c>
      <c r="B36" s="85">
        <v>4</v>
      </c>
      <c r="C36" s="416">
        <v>3153394.1143899709</v>
      </c>
      <c r="D36" s="92">
        <f t="shared" si="2"/>
        <v>0.43342575423662799</v>
      </c>
    </row>
    <row r="37" spans="1:4" outlineLevel="2">
      <c r="A37" s="84" t="s">
        <v>32</v>
      </c>
      <c r="B37" s="85">
        <v>4</v>
      </c>
      <c r="C37" s="416">
        <v>1663308.9915776632</v>
      </c>
      <c r="D37" s="91">
        <f t="shared" si="2"/>
        <v>-0.2439162821733083</v>
      </c>
    </row>
    <row r="38" spans="1:4" outlineLevel="2">
      <c r="A38" s="84" t="s">
        <v>33</v>
      </c>
      <c r="B38" s="85">
        <v>4</v>
      </c>
      <c r="C38" s="416">
        <v>2282611.5004459568</v>
      </c>
      <c r="D38" s="91">
        <f t="shared" si="2"/>
        <v>3.7597583100998255E-2</v>
      </c>
    </row>
    <row r="39" spans="1:4" outlineLevel="2">
      <c r="A39" s="84" t="s">
        <v>34</v>
      </c>
      <c r="B39" s="85">
        <v>4</v>
      </c>
      <c r="C39" s="416">
        <v>2037215.9071444729</v>
      </c>
      <c r="D39" s="91">
        <f t="shared" si="2"/>
        <v>-7.3950910571056405E-2</v>
      </c>
    </row>
    <row r="40" spans="1:4" ht="14.25" outlineLevel="2" thickBot="1">
      <c r="A40" s="87" t="s">
        <v>35</v>
      </c>
      <c r="B40" s="88">
        <v>4</v>
      </c>
      <c r="C40" s="417">
        <v>1773886.7706391166</v>
      </c>
      <c r="D40" s="94">
        <f t="shared" si="2"/>
        <v>-0.19365138327289344</v>
      </c>
    </row>
    <row r="41" spans="1:4" ht="15" customHeight="1" outlineLevel="1" thickBot="1">
      <c r="A41" s="430" t="s">
        <v>90</v>
      </c>
      <c r="B41" s="431"/>
      <c r="C41" s="418">
        <f>SUBTOTAL(1,C32:C40)</f>
        <v>2199900.5564605007</v>
      </c>
      <c r="D41" s="90"/>
    </row>
    <row r="42" spans="1:4" outlineLevel="2">
      <c r="A42" s="81" t="s">
        <v>36</v>
      </c>
      <c r="B42" s="82">
        <v>5</v>
      </c>
      <c r="C42" s="416">
        <v>6171387.541563605</v>
      </c>
      <c r="D42" s="83">
        <f t="shared" ref="D42:D50" si="3">C42/$C$51-1</f>
        <v>0.5376260223481073</v>
      </c>
    </row>
    <row r="43" spans="1:4" outlineLevel="2">
      <c r="A43" s="84" t="s">
        <v>37</v>
      </c>
      <c r="B43" s="85">
        <v>5</v>
      </c>
      <c r="C43" s="416">
        <v>3774623.494254359</v>
      </c>
      <c r="D43" s="91">
        <f t="shared" si="3"/>
        <v>-5.9537377900346189E-2</v>
      </c>
    </row>
    <row r="44" spans="1:4" outlineLevel="2">
      <c r="A44" s="84" t="s">
        <v>38</v>
      </c>
      <c r="B44" s="85">
        <v>5</v>
      </c>
      <c r="C44" s="416">
        <v>3921856.3432754567</v>
      </c>
      <c r="D44" s="91">
        <f t="shared" si="3"/>
        <v>-2.2853721514390135E-2</v>
      </c>
    </row>
    <row r="45" spans="1:4" outlineLevel="2">
      <c r="A45" s="84" t="s">
        <v>39</v>
      </c>
      <c r="B45" s="85">
        <v>5</v>
      </c>
      <c r="C45" s="416">
        <v>3649303.4090870358</v>
      </c>
      <c r="D45" s="91">
        <f t="shared" si="3"/>
        <v>-9.0761381056585377E-2</v>
      </c>
    </row>
    <row r="46" spans="1:4" outlineLevel="2">
      <c r="A46" s="84" t="s">
        <v>40</v>
      </c>
      <c r="B46" s="85">
        <v>5</v>
      </c>
      <c r="C46" s="416">
        <v>3707305.8517149161</v>
      </c>
      <c r="D46" s="91">
        <f t="shared" si="3"/>
        <v>-7.6309839236577526E-2</v>
      </c>
    </row>
    <row r="47" spans="1:4" outlineLevel="2">
      <c r="A47" s="84" t="s">
        <v>41</v>
      </c>
      <c r="B47" s="85">
        <v>5</v>
      </c>
      <c r="C47" s="416">
        <v>3742986.5293936459</v>
      </c>
      <c r="D47" s="91">
        <f t="shared" si="3"/>
        <v>-6.74198549138737E-2</v>
      </c>
    </row>
    <row r="48" spans="1:4" outlineLevel="2">
      <c r="A48" s="84" t="s">
        <v>42</v>
      </c>
      <c r="B48" s="85">
        <v>5</v>
      </c>
      <c r="C48" s="416">
        <v>3905633.6888755197</v>
      </c>
      <c r="D48" s="91">
        <f t="shared" si="3"/>
        <v>-2.6895661092630085E-2</v>
      </c>
    </row>
    <row r="49" spans="1:4" outlineLevel="2">
      <c r="A49" s="84" t="s">
        <v>43</v>
      </c>
      <c r="B49" s="85">
        <v>5</v>
      </c>
      <c r="C49" s="416">
        <v>3849915.169260297</v>
      </c>
      <c r="D49" s="91">
        <f t="shared" si="3"/>
        <v>-4.0778154309929038E-2</v>
      </c>
    </row>
    <row r="50" spans="1:4" ht="14.25" outlineLevel="2" thickBot="1">
      <c r="A50" s="87" t="s">
        <v>44</v>
      </c>
      <c r="B50" s="88">
        <v>5</v>
      </c>
      <c r="C50" s="417">
        <v>3399222.5516007994</v>
      </c>
      <c r="D50" s="94">
        <f t="shared" si="3"/>
        <v>-0.15307003232377503</v>
      </c>
    </row>
    <row r="51" spans="1:4" ht="15" customHeight="1" outlineLevel="1" thickBot="1">
      <c r="A51" s="430" t="s">
        <v>91</v>
      </c>
      <c r="B51" s="431"/>
      <c r="C51" s="418">
        <f>SUBTOTAL(1,C42:C50)</f>
        <v>4013581.6198917371</v>
      </c>
      <c r="D51" s="90"/>
    </row>
    <row r="52" spans="1:4" outlineLevel="2">
      <c r="A52" s="81" t="s">
        <v>45</v>
      </c>
      <c r="B52" s="82">
        <v>6</v>
      </c>
      <c r="C52" s="416">
        <v>4163011.5715426411</v>
      </c>
      <c r="D52" s="86">
        <f t="shared" ref="D52:D64" si="4">C52/$C$65-1</f>
        <v>-0.47107278228321547</v>
      </c>
    </row>
    <row r="53" spans="1:4" outlineLevel="2">
      <c r="A53" s="84" t="s">
        <v>46</v>
      </c>
      <c r="B53" s="85">
        <v>6</v>
      </c>
      <c r="C53" s="416">
        <v>12007147.113762893</v>
      </c>
      <c r="D53" s="92">
        <f t="shared" si="4"/>
        <v>0.52555591221797671</v>
      </c>
    </row>
    <row r="54" spans="1:4" outlineLevel="2">
      <c r="A54" s="84" t="s">
        <v>47</v>
      </c>
      <c r="B54" s="85">
        <v>6</v>
      </c>
      <c r="C54" s="416">
        <v>6853710.8737236839</v>
      </c>
      <c r="D54" s="91">
        <f t="shared" si="4"/>
        <v>-0.12920870836527076</v>
      </c>
    </row>
    <row r="55" spans="1:4" outlineLevel="2">
      <c r="A55" s="84" t="s">
        <v>48</v>
      </c>
      <c r="B55" s="85">
        <v>6</v>
      </c>
      <c r="C55" s="416">
        <v>7404024.2509335242</v>
      </c>
      <c r="D55" s="91">
        <f t="shared" si="4"/>
        <v>-5.9289199740876652E-2</v>
      </c>
    </row>
    <row r="56" spans="1:4" outlineLevel="2">
      <c r="A56" s="84" t="s">
        <v>49</v>
      </c>
      <c r="B56" s="85">
        <v>6</v>
      </c>
      <c r="C56" s="416">
        <v>6602454.3185240934</v>
      </c>
      <c r="D56" s="91">
        <f t="shared" si="4"/>
        <v>-0.16113185544064079</v>
      </c>
    </row>
    <row r="57" spans="1:4" outlineLevel="2">
      <c r="A57" s="84" t="s">
        <v>50</v>
      </c>
      <c r="B57" s="85">
        <v>6</v>
      </c>
      <c r="C57" s="416">
        <v>6281452.2891609473</v>
      </c>
      <c r="D57" s="91">
        <f t="shared" si="4"/>
        <v>-0.20191644307741607</v>
      </c>
    </row>
    <row r="58" spans="1:4" outlineLevel="2">
      <c r="A58" s="84" t="s">
        <v>51</v>
      </c>
      <c r="B58" s="85">
        <v>6</v>
      </c>
      <c r="C58" s="416">
        <v>6336094.7002849067</v>
      </c>
      <c r="D58" s="91">
        <f t="shared" si="4"/>
        <v>-0.19497390688974403</v>
      </c>
    </row>
    <row r="59" spans="1:4" outlineLevel="2">
      <c r="A59" s="84" t="s">
        <v>52</v>
      </c>
      <c r="B59" s="85">
        <v>6</v>
      </c>
      <c r="C59" s="416">
        <v>6978601.3741386551</v>
      </c>
      <c r="D59" s="91">
        <f t="shared" si="4"/>
        <v>-0.11334087236036883</v>
      </c>
    </row>
    <row r="60" spans="1:4" outlineLevel="2">
      <c r="A60" s="84" t="s">
        <v>53</v>
      </c>
      <c r="B60" s="85">
        <v>6</v>
      </c>
      <c r="C60" s="416">
        <v>8245248.471069687</v>
      </c>
      <c r="D60" s="91">
        <f t="shared" si="4"/>
        <v>4.7591691312643514E-2</v>
      </c>
    </row>
    <row r="61" spans="1:4" outlineLevel="2">
      <c r="A61" s="84" t="s">
        <v>54</v>
      </c>
      <c r="B61" s="85">
        <v>6</v>
      </c>
      <c r="C61" s="416">
        <v>12307688.560682895</v>
      </c>
      <c r="D61" s="92">
        <f t="shared" si="4"/>
        <v>0.56374090128085053</v>
      </c>
    </row>
    <row r="62" spans="1:4" outlineLevel="2">
      <c r="A62" s="84" t="s">
        <v>55</v>
      </c>
      <c r="B62" s="85">
        <v>6</v>
      </c>
      <c r="C62" s="416">
        <v>7079177.9148186836</v>
      </c>
      <c r="D62" s="91">
        <f t="shared" si="4"/>
        <v>-0.10056222187735964</v>
      </c>
    </row>
    <row r="63" spans="1:4" outlineLevel="2">
      <c r="A63" s="84" t="s">
        <v>56</v>
      </c>
      <c r="B63" s="85">
        <v>6</v>
      </c>
      <c r="C63" s="416">
        <v>8647310.4311113916</v>
      </c>
      <c r="D63" s="95">
        <f t="shared" si="4"/>
        <v>9.8675266320774391E-2</v>
      </c>
    </row>
    <row r="64" spans="1:4" ht="14.25" outlineLevel="2" thickBot="1">
      <c r="A64" s="87" t="s">
        <v>57</v>
      </c>
      <c r="B64" s="88">
        <v>6</v>
      </c>
      <c r="C64" s="417">
        <v>9412787.8076757174</v>
      </c>
      <c r="D64" s="93">
        <f t="shared" si="4"/>
        <v>0.19593221890264756</v>
      </c>
    </row>
    <row r="65" spans="1:4" ht="15" customHeight="1" outlineLevel="1" thickBot="1">
      <c r="A65" s="430" t="s">
        <v>92</v>
      </c>
      <c r="B65" s="431"/>
      <c r="C65" s="418">
        <f>SUBTOTAL(1,C52:C64)</f>
        <v>7870669.9751869012</v>
      </c>
      <c r="D65" s="90"/>
    </row>
    <row r="66" spans="1:4" outlineLevel="2">
      <c r="A66" s="81" t="s">
        <v>58</v>
      </c>
      <c r="B66" s="82">
        <v>7</v>
      </c>
      <c r="C66" s="416">
        <v>21034726.09047085</v>
      </c>
      <c r="D66" s="83">
        <f>C66/$C$71-1</f>
        <v>0.26382543881613341</v>
      </c>
    </row>
    <row r="67" spans="1:4" outlineLevel="2">
      <c r="A67" s="84" t="s">
        <v>59</v>
      </c>
      <c r="B67" s="85">
        <v>7</v>
      </c>
      <c r="C67" s="416">
        <v>12492314.483900277</v>
      </c>
      <c r="D67" s="91">
        <f>C67/$C$71-1</f>
        <v>-0.24942664969634509</v>
      </c>
    </row>
    <row r="68" spans="1:4" outlineLevel="2">
      <c r="A68" s="84" t="s">
        <v>60</v>
      </c>
      <c r="B68" s="85">
        <v>7</v>
      </c>
      <c r="C68" s="416">
        <v>23958733.798384506</v>
      </c>
      <c r="D68" s="92">
        <f>C68/$C$71-1</f>
        <v>0.43950803666226546</v>
      </c>
    </row>
    <row r="69" spans="1:4" outlineLevel="2">
      <c r="A69" s="84" t="s">
        <v>61</v>
      </c>
      <c r="B69" s="85">
        <v>7</v>
      </c>
      <c r="C69" s="416">
        <v>13278181.84919752</v>
      </c>
      <c r="D69" s="91">
        <f>C69/$C$71-1</f>
        <v>-0.20220953056076452</v>
      </c>
    </row>
    <row r="70" spans="1:4" ht="14.25" outlineLevel="2" thickBot="1">
      <c r="A70" s="87" t="s">
        <v>62</v>
      </c>
      <c r="B70" s="88">
        <v>7</v>
      </c>
      <c r="C70" s="417">
        <v>12454522.550616754</v>
      </c>
      <c r="D70" s="94">
        <f>C70/$C$71-1</f>
        <v>-0.25169729522128947</v>
      </c>
    </row>
    <row r="71" spans="1:4" ht="15" customHeight="1" outlineLevel="1" thickBot="1">
      <c r="A71" s="430" t="s">
        <v>93</v>
      </c>
      <c r="B71" s="431"/>
      <c r="C71" s="418">
        <f>SUBTOTAL(1,C66:C70)</f>
        <v>16643695.754513983</v>
      </c>
      <c r="D71" s="90"/>
    </row>
    <row r="72" spans="1:4" outlineLevel="2">
      <c r="A72" s="81" t="s">
        <v>63</v>
      </c>
      <c r="B72" s="82">
        <v>8</v>
      </c>
      <c r="C72" s="416">
        <v>41479453.651080489</v>
      </c>
      <c r="D72" s="86">
        <f>C72/$C$77-1</f>
        <v>-2.4676478221328457E-2</v>
      </c>
    </row>
    <row r="73" spans="1:4" outlineLevel="2">
      <c r="A73" s="84" t="s">
        <v>64</v>
      </c>
      <c r="B73" s="85">
        <v>8</v>
      </c>
      <c r="C73" s="416">
        <v>32409824.839300897</v>
      </c>
      <c r="D73" s="91">
        <f>C73/$C$77-1</f>
        <v>-0.23793440558797196</v>
      </c>
    </row>
    <row r="74" spans="1:4" outlineLevel="2">
      <c r="A74" s="84" t="s">
        <v>65</v>
      </c>
      <c r="B74" s="85">
        <v>8</v>
      </c>
      <c r="C74" s="416">
        <v>75608322.129284829</v>
      </c>
      <c r="D74" s="92">
        <f>C74/$C$77-1</f>
        <v>0.77780969911568354</v>
      </c>
    </row>
    <row r="75" spans="1:4" outlineLevel="2">
      <c r="A75" s="84" t="s">
        <v>66</v>
      </c>
      <c r="B75" s="85">
        <v>8</v>
      </c>
      <c r="C75" s="416">
        <v>31053782.706605237</v>
      </c>
      <c r="D75" s="91">
        <f>C75/$C$77-1</f>
        <v>-0.26981958420354279</v>
      </c>
    </row>
    <row r="76" spans="1:4" ht="14.25" outlineLevel="2" thickBot="1">
      <c r="A76" s="87" t="s">
        <v>67</v>
      </c>
      <c r="B76" s="88">
        <v>8</v>
      </c>
      <c r="C76" s="417">
        <v>32093204.468737908</v>
      </c>
      <c r="D76" s="94">
        <f>C76/$C$77-1</f>
        <v>-0.24537923110284032</v>
      </c>
    </row>
    <row r="77" spans="1:4" ht="15" customHeight="1" outlineLevel="1" thickBot="1">
      <c r="A77" s="430" t="s">
        <v>94</v>
      </c>
      <c r="B77" s="431"/>
      <c r="C77" s="418">
        <f>SUBTOTAL(1,C72:C76)</f>
        <v>42528917.55900187</v>
      </c>
      <c r="D77" s="181"/>
    </row>
    <row r="78" spans="1:4" hidden="1">
      <c r="B78" s="96" t="s">
        <v>95</v>
      </c>
      <c r="C78" s="178">
        <f>SUBTOTAL(1,C3:C76)</f>
        <v>7081135.0670231488</v>
      </c>
      <c r="D78" s="97"/>
    </row>
    <row r="79" spans="1:4" ht="14.25" thickBot="1">
      <c r="B79" s="98"/>
      <c r="C79" s="179"/>
      <c r="D79" s="99"/>
    </row>
    <row r="80" spans="1:4" ht="14.25" thickBot="1">
      <c r="B80" s="100" t="s">
        <v>288</v>
      </c>
      <c r="C80" s="180">
        <f>SUBTOTAL(9,C3:C76)</f>
        <v>474436049.49055099</v>
      </c>
      <c r="D80" s="101">
        <f>COUNTIF(D3:D76,"&gt;.10")</f>
        <v>19</v>
      </c>
    </row>
    <row r="81" spans="1:4" ht="14.25" thickBot="1">
      <c r="B81" s="98"/>
      <c r="C81" s="102"/>
      <c r="D81" s="103"/>
    </row>
    <row r="82" spans="1:4" ht="54" customHeight="1" thickBot="1">
      <c r="A82" s="432" t="s">
        <v>193</v>
      </c>
      <c r="B82" s="433"/>
      <c r="C82" s="433"/>
      <c r="D82" s="434"/>
    </row>
    <row r="83" spans="1:4" s="6" customFormat="1">
      <c r="B83" s="104"/>
      <c r="C83" s="105"/>
      <c r="D83" s="106"/>
    </row>
    <row r="84" spans="1:4" s="6" customFormat="1">
      <c r="B84" s="104"/>
      <c r="C84" s="105"/>
      <c r="D84" s="106"/>
    </row>
    <row r="85" spans="1:4" s="6" customFormat="1">
      <c r="B85" s="104"/>
      <c r="C85" s="105"/>
      <c r="D85" s="106"/>
    </row>
    <row r="86" spans="1:4" s="6" customFormat="1">
      <c r="B86" s="104"/>
      <c r="C86" s="105"/>
      <c r="D86" s="106"/>
    </row>
    <row r="87" spans="1:4" s="6" customFormat="1">
      <c r="B87" s="104"/>
      <c r="C87" s="105"/>
      <c r="D87" s="106"/>
    </row>
    <row r="88" spans="1:4" s="6" customFormat="1">
      <c r="B88" s="104"/>
      <c r="C88" s="105"/>
      <c r="D88" s="106"/>
    </row>
    <row r="89" spans="1:4" s="6" customFormat="1">
      <c r="B89" s="104"/>
      <c r="C89" s="105"/>
      <c r="D89" s="106"/>
    </row>
    <row r="90" spans="1:4" s="6" customFormat="1">
      <c r="B90" s="104"/>
      <c r="C90" s="105"/>
      <c r="D90" s="106"/>
    </row>
    <row r="91" spans="1:4" s="6" customFormat="1">
      <c r="B91" s="104"/>
      <c r="C91" s="105"/>
      <c r="D91" s="106"/>
    </row>
    <row r="92" spans="1:4" s="6" customFormat="1">
      <c r="B92" s="104"/>
      <c r="C92" s="105"/>
      <c r="D92" s="106"/>
    </row>
    <row r="93" spans="1:4" s="6" customFormat="1">
      <c r="B93" s="104"/>
      <c r="C93" s="105"/>
      <c r="D93" s="106"/>
    </row>
    <row r="94" spans="1:4" s="6" customFormat="1">
      <c r="B94" s="104"/>
      <c r="C94" s="105"/>
      <c r="D94" s="106"/>
    </row>
  </sheetData>
  <mergeCells count="10">
    <mergeCell ref="A65:B65"/>
    <mergeCell ref="A71:B71"/>
    <mergeCell ref="A77:B77"/>
    <mergeCell ref="A82:D82"/>
    <mergeCell ref="A1:D1"/>
    <mergeCell ref="A7:B7"/>
    <mergeCell ref="A19:B19"/>
    <mergeCell ref="A31:B31"/>
    <mergeCell ref="A41:B41"/>
    <mergeCell ref="A51:B51"/>
  </mergeCells>
  <pageMargins left="0.7" right="0.7" top="0.75" bottom="0.75" header="0.3" footer="0.3"/>
  <pageSetup fitToHeight="0" orientation="portrait" horizontalDpi="1200" verticalDpi="1200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FB5C-5BBD-4F93-B513-679AB15A926C}">
  <sheetPr>
    <pageSetUpPr fitToPage="1"/>
  </sheetPr>
  <dimension ref="A1:H78"/>
  <sheetViews>
    <sheetView zoomScale="140" zoomScaleNormal="140" zoomScalePageLayoutView="55" workbookViewId="0">
      <pane ySplit="2" topLeftCell="A29" activePane="bottomLeft" state="frozen"/>
      <selection pane="bottomLeft" activeCell="E3" sqref="E3"/>
    </sheetView>
  </sheetViews>
  <sheetFormatPr defaultColWidth="2.28515625" defaultRowHeight="13.5"/>
  <cols>
    <col min="1" max="1" width="14" style="6" customWidth="1"/>
    <col min="2" max="2" width="6.28515625" style="6" customWidth="1"/>
    <col min="3" max="3" width="17.42578125" style="6" customWidth="1"/>
    <col min="4" max="4" width="17" style="2" customWidth="1"/>
    <col min="5" max="5" width="19.42578125" style="6" customWidth="1"/>
    <col min="6" max="6" width="10" style="11" customWidth="1"/>
    <col min="7" max="16384" width="2.28515625" style="6"/>
  </cols>
  <sheetData>
    <row r="1" spans="1:8" ht="14.25" hidden="1" thickBot="1">
      <c r="A1" s="155" t="s">
        <v>69</v>
      </c>
      <c r="D1" s="156">
        <f>ROUND((C71*0.1),0)</f>
        <v>45320980</v>
      </c>
      <c r="E1" s="184">
        <v>0.1</v>
      </c>
    </row>
    <row r="2" spans="1:8" s="32" customFormat="1" ht="54.75" thickBot="1">
      <c r="A2" s="182" t="s">
        <v>0</v>
      </c>
      <c r="B2" s="142" t="s">
        <v>71</v>
      </c>
      <c r="C2" s="197" t="s">
        <v>75</v>
      </c>
      <c r="D2" s="193" t="s">
        <v>190</v>
      </c>
      <c r="E2" s="191" t="s">
        <v>276</v>
      </c>
      <c r="F2" s="192" t="s">
        <v>191</v>
      </c>
      <c r="G2" s="6"/>
      <c r="H2" s="6"/>
    </row>
    <row r="3" spans="1:8" s="26" customFormat="1">
      <c r="A3" s="31" t="s">
        <v>1</v>
      </c>
      <c r="B3" s="30">
        <v>1</v>
      </c>
      <c r="C3" s="198">
        <v>459014.59064273734</v>
      </c>
      <c r="D3" s="194">
        <f t="shared" ref="D3:D34" si="0">-(C3*E$1)</f>
        <v>-45901.459064273738</v>
      </c>
      <c r="E3" s="157">
        <f>C3+D3</f>
        <v>413113.1315784636</v>
      </c>
      <c r="F3" s="187">
        <f>E3/C3-1</f>
        <v>-9.9999999999999978E-2</v>
      </c>
      <c r="G3" s="6"/>
      <c r="H3" s="6"/>
    </row>
    <row r="4" spans="1:8" customFormat="1" ht="13.5" customHeight="1">
      <c r="A4" s="16" t="s">
        <v>2</v>
      </c>
      <c r="B4" s="17">
        <v>1</v>
      </c>
      <c r="C4" s="199">
        <v>315036.79031373578</v>
      </c>
      <c r="D4" s="195">
        <f t="shared" si="0"/>
        <v>-31503.67903137358</v>
      </c>
      <c r="E4" s="158">
        <f t="shared" ref="E4:E67" si="1">C4+D4</f>
        <v>283533.1112823622</v>
      </c>
      <c r="F4" s="188">
        <f t="shared" ref="F4:F67" si="2">E4/C4-1</f>
        <v>-9.9999999999999978E-2</v>
      </c>
    </row>
    <row r="5" spans="1:8" s="27" customFormat="1">
      <c r="A5" s="16" t="s">
        <v>3</v>
      </c>
      <c r="B5" s="17">
        <v>1</v>
      </c>
      <c r="C5" s="199">
        <v>322496.72759339341</v>
      </c>
      <c r="D5" s="195">
        <f t="shared" si="0"/>
        <v>-32249.672759339344</v>
      </c>
      <c r="E5" s="158">
        <f t="shared" si="1"/>
        <v>290247.05483405408</v>
      </c>
      <c r="F5" s="188">
        <f t="shared" si="2"/>
        <v>-9.9999999999999978E-2</v>
      </c>
      <c r="G5" s="6"/>
      <c r="H5" s="6"/>
    </row>
    <row r="6" spans="1:8" s="26" customFormat="1">
      <c r="A6" s="16" t="s">
        <v>4</v>
      </c>
      <c r="B6" s="17">
        <v>1</v>
      </c>
      <c r="C6" s="199">
        <v>498165.1097184039</v>
      </c>
      <c r="D6" s="195">
        <f t="shared" si="0"/>
        <v>-49816.510971840391</v>
      </c>
      <c r="E6" s="158">
        <f t="shared" si="1"/>
        <v>448348.59874656348</v>
      </c>
      <c r="F6" s="188">
        <f t="shared" si="2"/>
        <v>-0.10000000000000009</v>
      </c>
      <c r="G6" s="6"/>
      <c r="H6" s="6"/>
    </row>
    <row r="7" spans="1:8" s="26" customFormat="1">
      <c r="A7" s="16" t="s">
        <v>5</v>
      </c>
      <c r="B7" s="17">
        <v>2</v>
      </c>
      <c r="C7" s="199">
        <v>725439.47801392386</v>
      </c>
      <c r="D7" s="195">
        <f t="shared" si="0"/>
        <v>-72543.947801392394</v>
      </c>
      <c r="E7" s="158">
        <f t="shared" si="1"/>
        <v>652895.53021253145</v>
      </c>
      <c r="F7" s="188">
        <f t="shared" si="2"/>
        <v>-9.9999999999999978E-2</v>
      </c>
      <c r="G7" s="6"/>
      <c r="H7" s="6"/>
    </row>
    <row r="8" spans="1:8" s="26" customFormat="1">
      <c r="A8" s="16" t="s">
        <v>6</v>
      </c>
      <c r="B8" s="17">
        <v>2</v>
      </c>
      <c r="C8" s="199">
        <v>501450.31244996039</v>
      </c>
      <c r="D8" s="195">
        <f t="shared" si="0"/>
        <v>-50145.03124499604</v>
      </c>
      <c r="E8" s="158">
        <f t="shared" si="1"/>
        <v>451305.28120496433</v>
      </c>
      <c r="F8" s="188">
        <f t="shared" si="2"/>
        <v>-0.10000000000000009</v>
      </c>
      <c r="G8" s="6"/>
      <c r="H8" s="6"/>
    </row>
    <row r="9" spans="1:8" s="26" customFormat="1">
      <c r="A9" s="16" t="s">
        <v>7</v>
      </c>
      <c r="B9" s="17">
        <v>2</v>
      </c>
      <c r="C9" s="199">
        <v>674134.71966310788</v>
      </c>
      <c r="D9" s="195">
        <f t="shared" si="0"/>
        <v>-67413.471966310797</v>
      </c>
      <c r="E9" s="158">
        <f t="shared" si="1"/>
        <v>606721.24769679713</v>
      </c>
      <c r="F9" s="188">
        <f t="shared" si="2"/>
        <v>-9.9999999999999978E-2</v>
      </c>
      <c r="G9" s="6"/>
      <c r="H9" s="6"/>
    </row>
    <row r="10" spans="1:8" s="26" customFormat="1">
      <c r="A10" s="16" t="s">
        <v>8</v>
      </c>
      <c r="B10" s="17">
        <v>2</v>
      </c>
      <c r="C10" s="199">
        <v>557818.32633381232</v>
      </c>
      <c r="D10" s="195">
        <f t="shared" si="0"/>
        <v>-55781.832633381237</v>
      </c>
      <c r="E10" s="158">
        <f t="shared" si="1"/>
        <v>502036.49370043108</v>
      </c>
      <c r="F10" s="188">
        <f t="shared" si="2"/>
        <v>-9.9999999999999978E-2</v>
      </c>
      <c r="G10" s="6"/>
      <c r="H10" s="6"/>
    </row>
    <row r="11" spans="1:8" s="26" customFormat="1">
      <c r="A11" s="16" t="s">
        <v>9</v>
      </c>
      <c r="B11" s="17">
        <v>2</v>
      </c>
      <c r="C11" s="199">
        <v>579027.5951687413</v>
      </c>
      <c r="D11" s="195">
        <f t="shared" si="0"/>
        <v>-57902.759516874132</v>
      </c>
      <c r="E11" s="158">
        <f t="shared" si="1"/>
        <v>521124.83565186715</v>
      </c>
      <c r="F11" s="188">
        <f t="shared" si="2"/>
        <v>-0.10000000000000009</v>
      </c>
      <c r="G11" s="6"/>
      <c r="H11" s="6"/>
    </row>
    <row r="12" spans="1:8" s="26" customFormat="1">
      <c r="A12" s="16" t="s">
        <v>10</v>
      </c>
      <c r="B12" s="17">
        <v>2</v>
      </c>
      <c r="C12" s="199">
        <v>502570.31387351878</v>
      </c>
      <c r="D12" s="195">
        <f t="shared" si="0"/>
        <v>-50257.031387351883</v>
      </c>
      <c r="E12" s="158">
        <f t="shared" si="1"/>
        <v>452313.28248616692</v>
      </c>
      <c r="F12" s="188">
        <f t="shared" si="2"/>
        <v>-9.9999999999999978E-2</v>
      </c>
      <c r="G12" s="6"/>
      <c r="H12" s="6"/>
    </row>
    <row r="13" spans="1:8" s="26" customFormat="1" ht="12.75" customHeight="1">
      <c r="A13" s="16" t="s">
        <v>11</v>
      </c>
      <c r="B13" s="17">
        <v>2</v>
      </c>
      <c r="C13" s="199">
        <v>609838.75346430275</v>
      </c>
      <c r="D13" s="195">
        <f t="shared" si="0"/>
        <v>-60983.875346430279</v>
      </c>
      <c r="E13" s="158">
        <f t="shared" si="1"/>
        <v>548854.87811787252</v>
      </c>
      <c r="F13" s="188">
        <f t="shared" si="2"/>
        <v>-9.9999999999999978E-2</v>
      </c>
      <c r="G13" s="6"/>
      <c r="H13" s="6"/>
    </row>
    <row r="14" spans="1:8" s="26" customFormat="1">
      <c r="A14" s="16" t="s">
        <v>12</v>
      </c>
      <c r="B14" s="17">
        <v>2</v>
      </c>
      <c r="C14" s="199">
        <v>604123.51154300408</v>
      </c>
      <c r="D14" s="195">
        <f t="shared" si="0"/>
        <v>-60412.351154300413</v>
      </c>
      <c r="E14" s="158">
        <f t="shared" si="1"/>
        <v>543711.16038870369</v>
      </c>
      <c r="F14" s="188">
        <f t="shared" si="2"/>
        <v>-9.9999999999999978E-2</v>
      </c>
      <c r="G14" s="6"/>
      <c r="H14" s="6"/>
    </row>
    <row r="15" spans="1:8" s="26" customFormat="1">
      <c r="A15" s="16" t="s">
        <v>13</v>
      </c>
      <c r="B15" s="17">
        <v>2</v>
      </c>
      <c r="C15" s="199">
        <v>513901.73621836456</v>
      </c>
      <c r="D15" s="195">
        <f t="shared" si="0"/>
        <v>-51390.17362183646</v>
      </c>
      <c r="E15" s="158">
        <f t="shared" si="1"/>
        <v>462511.56259652809</v>
      </c>
      <c r="F15" s="188">
        <f t="shared" si="2"/>
        <v>-9.9999999999999978E-2</v>
      </c>
      <c r="G15" s="6"/>
      <c r="H15" s="6"/>
    </row>
    <row r="16" spans="1:8" s="26" customFormat="1">
      <c r="A16" s="16" t="s">
        <v>14</v>
      </c>
      <c r="B16" s="17">
        <v>2</v>
      </c>
      <c r="C16" s="199">
        <v>574285.78408759309</v>
      </c>
      <c r="D16" s="195">
        <f t="shared" si="0"/>
        <v>-57428.578408759313</v>
      </c>
      <c r="E16" s="158">
        <f t="shared" si="1"/>
        <v>516857.20567883376</v>
      </c>
      <c r="F16" s="188">
        <f t="shared" si="2"/>
        <v>-9.9999999999999978E-2</v>
      </c>
      <c r="G16" s="6"/>
      <c r="H16" s="6"/>
    </row>
    <row r="17" spans="1:8" s="26" customFormat="1">
      <c r="A17" s="16" t="s">
        <v>15</v>
      </c>
      <c r="B17" s="17">
        <v>2</v>
      </c>
      <c r="C17" s="199">
        <v>805837.99175540451</v>
      </c>
      <c r="D17" s="195">
        <f t="shared" si="0"/>
        <v>-80583.799175540451</v>
      </c>
      <c r="E17" s="158">
        <f t="shared" si="1"/>
        <v>725254.19257986406</v>
      </c>
      <c r="F17" s="188">
        <f t="shared" si="2"/>
        <v>-9.9999999999999978E-2</v>
      </c>
      <c r="G17" s="6"/>
      <c r="H17" s="6"/>
    </row>
    <row r="18" spans="1:8" s="26" customFormat="1">
      <c r="A18" s="16" t="s">
        <v>16</v>
      </c>
      <c r="B18" s="17">
        <v>3</v>
      </c>
      <c r="C18" s="199">
        <v>873912.44651130447</v>
      </c>
      <c r="D18" s="195">
        <f t="shared" si="0"/>
        <v>-87391.244651130459</v>
      </c>
      <c r="E18" s="158">
        <f t="shared" si="1"/>
        <v>786521.20186017407</v>
      </c>
      <c r="F18" s="188">
        <f t="shared" si="2"/>
        <v>-9.9999999999999978E-2</v>
      </c>
      <c r="G18" s="6"/>
      <c r="H18" s="6"/>
    </row>
    <row r="19" spans="1:8" s="26" customFormat="1">
      <c r="A19" s="16" t="s">
        <v>17</v>
      </c>
      <c r="B19" s="17">
        <v>3</v>
      </c>
      <c r="C19" s="199">
        <v>823615.487275369</v>
      </c>
      <c r="D19" s="195">
        <f t="shared" si="0"/>
        <v>-82361.548727536909</v>
      </c>
      <c r="E19" s="158">
        <f t="shared" si="1"/>
        <v>741253.93854783208</v>
      </c>
      <c r="F19" s="188">
        <f t="shared" si="2"/>
        <v>-9.9999999999999978E-2</v>
      </c>
      <c r="G19" s="6"/>
      <c r="H19" s="6"/>
    </row>
    <row r="20" spans="1:8" s="26" customFormat="1">
      <c r="A20" s="16" t="s">
        <v>18</v>
      </c>
      <c r="B20" s="17">
        <v>3</v>
      </c>
      <c r="C20" s="199">
        <v>1365042.1682261289</v>
      </c>
      <c r="D20" s="195">
        <f t="shared" si="0"/>
        <v>-136504.21682261289</v>
      </c>
      <c r="E20" s="158">
        <f t="shared" si="1"/>
        <v>1228537.9514035161</v>
      </c>
      <c r="F20" s="188">
        <f t="shared" si="2"/>
        <v>-9.9999999999999978E-2</v>
      </c>
      <c r="G20" s="6"/>
      <c r="H20" s="6"/>
    </row>
    <row r="21" spans="1:8" s="26" customFormat="1">
      <c r="A21" s="16" t="s">
        <v>19</v>
      </c>
      <c r="B21" s="17">
        <v>3</v>
      </c>
      <c r="C21" s="199">
        <v>924370.12797318376</v>
      </c>
      <c r="D21" s="195">
        <f t="shared" si="0"/>
        <v>-92437.012797318384</v>
      </c>
      <c r="E21" s="158">
        <f t="shared" si="1"/>
        <v>831933.11517586536</v>
      </c>
      <c r="F21" s="188">
        <f t="shared" si="2"/>
        <v>-9.9999999999999978E-2</v>
      </c>
      <c r="G21" s="6"/>
      <c r="H21" s="6"/>
    </row>
    <row r="22" spans="1:8" s="26" customFormat="1">
      <c r="A22" s="16" t="s">
        <v>20</v>
      </c>
      <c r="B22" s="17">
        <v>3</v>
      </c>
      <c r="C22" s="199">
        <v>1306754.5851154381</v>
      </c>
      <c r="D22" s="195">
        <f t="shared" si="0"/>
        <v>-130675.45851154381</v>
      </c>
      <c r="E22" s="158">
        <f t="shared" si="1"/>
        <v>1176079.1266038944</v>
      </c>
      <c r="F22" s="188">
        <f t="shared" si="2"/>
        <v>-9.9999999999999867E-2</v>
      </c>
      <c r="G22" s="6"/>
      <c r="H22" s="6"/>
    </row>
    <row r="23" spans="1:8" s="26" customFormat="1">
      <c r="A23" s="16" t="s">
        <v>21</v>
      </c>
      <c r="B23" s="17">
        <v>3</v>
      </c>
      <c r="C23" s="199">
        <v>1128977.6082525733</v>
      </c>
      <c r="D23" s="195">
        <f t="shared" si="0"/>
        <v>-112897.76082525734</v>
      </c>
      <c r="E23" s="158">
        <f t="shared" si="1"/>
        <v>1016079.847427316</v>
      </c>
      <c r="F23" s="188">
        <f t="shared" si="2"/>
        <v>-9.9999999999999978E-2</v>
      </c>
      <c r="G23" s="6"/>
      <c r="H23" s="6"/>
    </row>
    <row r="24" spans="1:8" s="26" customFormat="1">
      <c r="A24" s="16" t="s">
        <v>22</v>
      </c>
      <c r="B24" s="17">
        <v>3</v>
      </c>
      <c r="C24" s="199">
        <v>1148148.0297307179</v>
      </c>
      <c r="D24" s="195">
        <f t="shared" si="0"/>
        <v>-114814.8029730718</v>
      </c>
      <c r="E24" s="158">
        <f t="shared" si="1"/>
        <v>1033333.2267576461</v>
      </c>
      <c r="F24" s="188">
        <f t="shared" si="2"/>
        <v>-9.9999999999999978E-2</v>
      </c>
      <c r="G24" s="6"/>
      <c r="H24" s="6"/>
    </row>
    <row r="25" spans="1:8" s="26" customFormat="1">
      <c r="A25" s="16" t="s">
        <v>23</v>
      </c>
      <c r="B25" s="17">
        <v>3</v>
      </c>
      <c r="C25" s="199">
        <v>568909.17075554712</v>
      </c>
      <c r="D25" s="195">
        <f t="shared" si="0"/>
        <v>-56890.917075554717</v>
      </c>
      <c r="E25" s="158">
        <f t="shared" si="1"/>
        <v>512018.2536799924</v>
      </c>
      <c r="F25" s="188">
        <f t="shared" si="2"/>
        <v>-9.9999999999999978E-2</v>
      </c>
      <c r="G25" s="6"/>
      <c r="H25" s="6"/>
    </row>
    <row r="26" spans="1:8" s="26" customFormat="1">
      <c r="A26" s="16" t="s">
        <v>24</v>
      </c>
      <c r="B26" s="17">
        <v>3</v>
      </c>
      <c r="C26" s="199">
        <v>1298780.1345464382</v>
      </c>
      <c r="D26" s="195">
        <f t="shared" si="0"/>
        <v>-129878.01345464383</v>
      </c>
      <c r="E26" s="158">
        <f t="shared" si="1"/>
        <v>1168902.1210917945</v>
      </c>
      <c r="F26" s="188">
        <f t="shared" si="2"/>
        <v>-9.9999999999999978E-2</v>
      </c>
      <c r="G26" s="6"/>
      <c r="H26" s="6"/>
    </row>
    <row r="27" spans="1:8" s="26" customFormat="1">
      <c r="A27" s="16" t="s">
        <v>25</v>
      </c>
      <c r="B27" s="17">
        <v>3</v>
      </c>
      <c r="C27" s="199">
        <v>1199403.2573326579</v>
      </c>
      <c r="D27" s="195">
        <f t="shared" si="0"/>
        <v>-119940.3257332658</v>
      </c>
      <c r="E27" s="158">
        <f t="shared" si="1"/>
        <v>1079462.9315993921</v>
      </c>
      <c r="F27" s="188">
        <f t="shared" si="2"/>
        <v>-0.10000000000000009</v>
      </c>
      <c r="G27" s="6"/>
      <c r="H27" s="6"/>
    </row>
    <row r="28" spans="1:8" s="26" customFormat="1">
      <c r="A28" s="16" t="s">
        <v>26</v>
      </c>
      <c r="B28" s="17">
        <v>3</v>
      </c>
      <c r="C28" s="199">
        <v>704723.49500453321</v>
      </c>
      <c r="D28" s="195">
        <f t="shared" si="0"/>
        <v>-70472.349500453318</v>
      </c>
      <c r="E28" s="158">
        <f t="shared" si="1"/>
        <v>634251.14550407988</v>
      </c>
      <c r="F28" s="188">
        <f t="shared" si="2"/>
        <v>-9.9999999999999978E-2</v>
      </c>
      <c r="G28" s="6"/>
      <c r="H28" s="6"/>
    </row>
    <row r="29" spans="1:8" s="26" customFormat="1">
      <c r="A29" s="16" t="s">
        <v>27</v>
      </c>
      <c r="B29" s="17">
        <v>4</v>
      </c>
      <c r="C29" s="199">
        <v>3063819.4898824035</v>
      </c>
      <c r="D29" s="195">
        <f t="shared" si="0"/>
        <v>-306381.94898824039</v>
      </c>
      <c r="E29" s="158">
        <f t="shared" si="1"/>
        <v>2757437.5408941633</v>
      </c>
      <c r="F29" s="188">
        <f t="shared" si="2"/>
        <v>-9.9999999999999978E-2</v>
      </c>
      <c r="G29" s="6"/>
      <c r="H29" s="6"/>
    </row>
    <row r="30" spans="1:8" s="26" customFormat="1">
      <c r="A30" s="16" t="s">
        <v>28</v>
      </c>
      <c r="B30" s="17">
        <v>4</v>
      </c>
      <c r="C30" s="199">
        <v>1557901.7635374721</v>
      </c>
      <c r="D30" s="195">
        <f t="shared" si="0"/>
        <v>-155790.17635374723</v>
      </c>
      <c r="E30" s="158">
        <f t="shared" si="1"/>
        <v>1402111.5871837249</v>
      </c>
      <c r="F30" s="188">
        <f t="shared" si="2"/>
        <v>-9.9999999999999978E-2</v>
      </c>
      <c r="G30" s="6"/>
      <c r="H30" s="6"/>
    </row>
    <row r="31" spans="1:8" s="26" customFormat="1">
      <c r="A31" s="16" t="s">
        <v>29</v>
      </c>
      <c r="B31" s="17">
        <v>4</v>
      </c>
      <c r="C31" s="199">
        <v>1857621.4224692769</v>
      </c>
      <c r="D31" s="195">
        <f t="shared" si="0"/>
        <v>-185762.14224692772</v>
      </c>
      <c r="E31" s="158">
        <f t="shared" si="1"/>
        <v>1671859.2802223493</v>
      </c>
      <c r="F31" s="188">
        <f t="shared" si="2"/>
        <v>-9.9999999999999978E-2</v>
      </c>
      <c r="G31" s="6"/>
      <c r="H31" s="6"/>
    </row>
    <row r="32" spans="1:8" s="26" customFormat="1">
      <c r="A32" s="16" t="s">
        <v>30</v>
      </c>
      <c r="B32" s="17">
        <v>4</v>
      </c>
      <c r="C32" s="199">
        <v>2009733.3847616124</v>
      </c>
      <c r="D32" s="195">
        <f t="shared" si="0"/>
        <v>-200973.33847616124</v>
      </c>
      <c r="E32" s="158">
        <f t="shared" si="1"/>
        <v>1808760.0462854512</v>
      </c>
      <c r="F32" s="188">
        <f t="shared" si="2"/>
        <v>-9.9999999999999978E-2</v>
      </c>
      <c r="G32" s="6"/>
      <c r="H32" s="6"/>
    </row>
    <row r="33" spans="1:8" s="26" customFormat="1">
      <c r="A33" s="16" t="s">
        <v>31</v>
      </c>
      <c r="B33" s="17">
        <v>4</v>
      </c>
      <c r="C33" s="199">
        <v>3029669.554779971</v>
      </c>
      <c r="D33" s="195">
        <f t="shared" si="0"/>
        <v>-302966.95547799714</v>
      </c>
      <c r="E33" s="158">
        <f t="shared" si="1"/>
        <v>2726702.5993019738</v>
      </c>
      <c r="F33" s="188">
        <f t="shared" si="2"/>
        <v>-9.9999999999999978E-2</v>
      </c>
      <c r="G33" s="6"/>
      <c r="H33" s="6"/>
    </row>
    <row r="34" spans="1:8" s="26" customFormat="1">
      <c r="A34" s="16" t="s">
        <v>32</v>
      </c>
      <c r="B34" s="17">
        <v>4</v>
      </c>
      <c r="C34" s="199">
        <v>1593029.1728064942</v>
      </c>
      <c r="D34" s="195">
        <f t="shared" si="0"/>
        <v>-159302.91728064942</v>
      </c>
      <c r="E34" s="158">
        <f t="shared" si="1"/>
        <v>1433726.2555258446</v>
      </c>
      <c r="F34" s="188">
        <f t="shared" si="2"/>
        <v>-0.10000000000000009</v>
      </c>
      <c r="G34" s="6"/>
      <c r="H34" s="6"/>
    </row>
    <row r="35" spans="1:8" s="26" customFormat="1">
      <c r="A35" s="16" t="s">
        <v>33</v>
      </c>
      <c r="B35" s="17">
        <v>4</v>
      </c>
      <c r="C35" s="199">
        <v>2193535.928849957</v>
      </c>
      <c r="D35" s="195">
        <f t="shared" ref="D35:D65" si="3">-(C35*E$1)</f>
        <v>-219353.59288499571</v>
      </c>
      <c r="E35" s="158">
        <f t="shared" si="1"/>
        <v>1974182.3359649612</v>
      </c>
      <c r="F35" s="188">
        <f t="shared" si="2"/>
        <v>-9.9999999999999978E-2</v>
      </c>
      <c r="G35" s="6"/>
      <c r="H35" s="6"/>
    </row>
    <row r="36" spans="1:8" s="26" customFormat="1">
      <c r="A36" s="16" t="s">
        <v>34</v>
      </c>
      <c r="B36" s="17">
        <v>4</v>
      </c>
      <c r="C36" s="199">
        <v>1941030.192744473</v>
      </c>
      <c r="D36" s="195">
        <f t="shared" si="3"/>
        <v>-194103.01927444732</v>
      </c>
      <c r="E36" s="158">
        <f t="shared" si="1"/>
        <v>1746927.1734700256</v>
      </c>
      <c r="F36" s="188">
        <f t="shared" si="2"/>
        <v>-9.9999999999999978E-2</v>
      </c>
      <c r="G36" s="6"/>
      <c r="H36" s="6"/>
    </row>
    <row r="37" spans="1:8" s="26" customFormat="1">
      <c r="A37" s="16" t="s">
        <v>35</v>
      </c>
      <c r="B37" s="17">
        <v>4</v>
      </c>
      <c r="C37" s="199">
        <v>1687871.4594191166</v>
      </c>
      <c r="D37" s="195">
        <f t="shared" si="3"/>
        <v>-168787.14594191167</v>
      </c>
      <c r="E37" s="158">
        <f t="shared" si="1"/>
        <v>1519084.3134772049</v>
      </c>
      <c r="F37" s="188">
        <f t="shared" si="2"/>
        <v>-0.10000000000000009</v>
      </c>
      <c r="G37" s="6"/>
      <c r="H37" s="6"/>
    </row>
    <row r="38" spans="1:8" s="26" customFormat="1">
      <c r="A38" s="16" t="s">
        <v>36</v>
      </c>
      <c r="B38" s="17">
        <v>5</v>
      </c>
      <c r="C38" s="199">
        <v>5924258.6490596049</v>
      </c>
      <c r="D38" s="195">
        <f t="shared" si="3"/>
        <v>-592425.86490596051</v>
      </c>
      <c r="E38" s="158">
        <f t="shared" si="1"/>
        <v>5331832.784153644</v>
      </c>
      <c r="F38" s="188">
        <f t="shared" si="2"/>
        <v>-0.10000000000000009</v>
      </c>
      <c r="G38" s="6"/>
      <c r="H38" s="6"/>
    </row>
    <row r="39" spans="1:8" s="26" customFormat="1">
      <c r="A39" s="16" t="s">
        <v>37</v>
      </c>
      <c r="B39" s="17">
        <v>5</v>
      </c>
      <c r="C39" s="199">
        <v>3607348.7005813592</v>
      </c>
      <c r="D39" s="195">
        <f t="shared" si="3"/>
        <v>-360734.87005813594</v>
      </c>
      <c r="E39" s="158">
        <f t="shared" si="1"/>
        <v>3246613.8305232232</v>
      </c>
      <c r="F39" s="188">
        <f t="shared" si="2"/>
        <v>-0.10000000000000009</v>
      </c>
      <c r="G39" s="6"/>
      <c r="H39" s="6"/>
    </row>
    <row r="40" spans="1:8" s="26" customFormat="1">
      <c r="A40" s="16" t="s">
        <v>38</v>
      </c>
      <c r="B40" s="17">
        <v>5</v>
      </c>
      <c r="C40" s="199">
        <v>3737552.9093964566</v>
      </c>
      <c r="D40" s="195">
        <f t="shared" si="3"/>
        <v>-373755.29093964567</v>
      </c>
      <c r="E40" s="158">
        <f t="shared" si="1"/>
        <v>3363797.6184568107</v>
      </c>
      <c r="F40" s="188">
        <f t="shared" si="2"/>
        <v>-0.10000000000000009</v>
      </c>
      <c r="G40" s="6"/>
      <c r="H40" s="6"/>
    </row>
    <row r="41" spans="1:8" s="26" customFormat="1">
      <c r="A41" s="16" t="s">
        <v>39</v>
      </c>
      <c r="B41" s="17">
        <v>5</v>
      </c>
      <c r="C41" s="199">
        <v>3487927.0325470357</v>
      </c>
      <c r="D41" s="195">
        <f t="shared" si="3"/>
        <v>-348792.70325470361</v>
      </c>
      <c r="E41" s="158">
        <f t="shared" si="1"/>
        <v>3139134.3292923323</v>
      </c>
      <c r="F41" s="188">
        <f t="shared" si="2"/>
        <v>-9.9999999999999978E-2</v>
      </c>
      <c r="G41" s="6"/>
      <c r="H41" s="6"/>
    </row>
    <row r="42" spans="1:8" s="26" customFormat="1">
      <c r="A42" s="16" t="s">
        <v>40</v>
      </c>
      <c r="B42" s="17">
        <v>5</v>
      </c>
      <c r="C42" s="199">
        <v>3572364.8294009161</v>
      </c>
      <c r="D42" s="195">
        <f t="shared" si="3"/>
        <v>-357236.48294009164</v>
      </c>
      <c r="E42" s="158">
        <f t="shared" si="1"/>
        <v>3215128.3464608244</v>
      </c>
      <c r="F42" s="188">
        <f t="shared" si="2"/>
        <v>-0.10000000000000009</v>
      </c>
      <c r="G42" s="6"/>
      <c r="H42" s="6"/>
    </row>
    <row r="43" spans="1:8" s="26" customFormat="1">
      <c r="A43" s="16" t="s">
        <v>41</v>
      </c>
      <c r="B43" s="17">
        <v>5</v>
      </c>
      <c r="C43" s="199">
        <v>3577729.3127536457</v>
      </c>
      <c r="D43" s="195">
        <f t="shared" si="3"/>
        <v>-357772.93127536459</v>
      </c>
      <c r="E43" s="158">
        <f t="shared" si="1"/>
        <v>3219956.3814782812</v>
      </c>
      <c r="F43" s="188">
        <f t="shared" si="2"/>
        <v>-9.9999999999999978E-2</v>
      </c>
      <c r="G43" s="6"/>
      <c r="H43" s="6"/>
    </row>
    <row r="44" spans="1:8" s="26" customFormat="1">
      <c r="A44" s="16" t="s">
        <v>42</v>
      </c>
      <c r="B44" s="17">
        <v>5</v>
      </c>
      <c r="C44" s="199">
        <v>3716894.5437888196</v>
      </c>
      <c r="D44" s="195">
        <f t="shared" si="3"/>
        <v>-371689.45437888196</v>
      </c>
      <c r="E44" s="158">
        <f t="shared" si="1"/>
        <v>3345205.0894099376</v>
      </c>
      <c r="F44" s="188">
        <f t="shared" si="2"/>
        <v>-9.9999999999999978E-2</v>
      </c>
      <c r="G44" s="6"/>
      <c r="H44" s="6"/>
    </row>
    <row r="45" spans="1:8" s="26" customFormat="1">
      <c r="A45" s="16" t="s">
        <v>43</v>
      </c>
      <c r="B45" s="17">
        <v>5</v>
      </c>
      <c r="C45" s="199">
        <v>3655584.574165097</v>
      </c>
      <c r="D45" s="195">
        <f t="shared" si="3"/>
        <v>-365558.45741650974</v>
      </c>
      <c r="E45" s="158">
        <f t="shared" si="1"/>
        <v>3290026.1167485872</v>
      </c>
      <c r="F45" s="188">
        <f t="shared" si="2"/>
        <v>-9.9999999999999978E-2</v>
      </c>
      <c r="G45" s="6"/>
      <c r="H45" s="6"/>
    </row>
    <row r="46" spans="1:8" s="26" customFormat="1">
      <c r="A46" s="16" t="s">
        <v>44</v>
      </c>
      <c r="B46" s="17">
        <v>5</v>
      </c>
      <c r="C46" s="199">
        <v>3243588.8158480064</v>
      </c>
      <c r="D46" s="195">
        <f t="shared" si="3"/>
        <v>-324358.88158480066</v>
      </c>
      <c r="E46" s="158">
        <f t="shared" si="1"/>
        <v>2919229.9342632056</v>
      </c>
      <c r="F46" s="188">
        <f t="shared" si="2"/>
        <v>-0.10000000000000009</v>
      </c>
      <c r="G46" s="6"/>
      <c r="H46" s="6"/>
    </row>
    <row r="47" spans="1:8" s="26" customFormat="1">
      <c r="A47" s="16" t="s">
        <v>45</v>
      </c>
      <c r="B47" s="17">
        <v>6</v>
      </c>
      <c r="C47" s="199">
        <v>3941758.0786951818</v>
      </c>
      <c r="D47" s="195">
        <f t="shared" si="3"/>
        <v>-394175.80786951818</v>
      </c>
      <c r="E47" s="158">
        <f t="shared" si="1"/>
        <v>3547582.2708256636</v>
      </c>
      <c r="F47" s="188">
        <f t="shared" si="2"/>
        <v>-9.9999999999999978E-2</v>
      </c>
      <c r="G47" s="6"/>
      <c r="H47" s="6"/>
    </row>
    <row r="48" spans="1:8" s="26" customFormat="1">
      <c r="A48" s="16" t="s">
        <v>46</v>
      </c>
      <c r="B48" s="17">
        <v>6</v>
      </c>
      <c r="C48" s="199">
        <v>11517991.535049893</v>
      </c>
      <c r="D48" s="195">
        <f t="shared" si="3"/>
        <v>-1151799.1535049893</v>
      </c>
      <c r="E48" s="158">
        <f t="shared" si="1"/>
        <v>10366192.381544903</v>
      </c>
      <c r="F48" s="188">
        <f t="shared" si="2"/>
        <v>-0.10000000000000009</v>
      </c>
      <c r="G48" s="6"/>
      <c r="H48" s="6"/>
    </row>
    <row r="49" spans="1:8" s="26" customFormat="1">
      <c r="A49" s="16" t="s">
        <v>47</v>
      </c>
      <c r="B49" s="17">
        <v>6</v>
      </c>
      <c r="C49" s="199">
        <v>6549606.5919116838</v>
      </c>
      <c r="D49" s="195">
        <f t="shared" si="3"/>
        <v>-654960.65919116838</v>
      </c>
      <c r="E49" s="158">
        <f t="shared" si="1"/>
        <v>5894645.9327205159</v>
      </c>
      <c r="F49" s="188">
        <f t="shared" si="2"/>
        <v>-9.9999999999999978E-2</v>
      </c>
      <c r="G49" s="6"/>
      <c r="H49" s="6"/>
    </row>
    <row r="50" spans="1:8" s="26" customFormat="1">
      <c r="A50" s="16" t="s">
        <v>48</v>
      </c>
      <c r="B50" s="17">
        <v>6</v>
      </c>
      <c r="C50" s="199">
        <v>7108406.4357385244</v>
      </c>
      <c r="D50" s="195">
        <f t="shared" si="3"/>
        <v>-710840.64357385249</v>
      </c>
      <c r="E50" s="158">
        <f t="shared" si="1"/>
        <v>6397565.7921646722</v>
      </c>
      <c r="F50" s="188">
        <f t="shared" si="2"/>
        <v>-9.9999999999999978E-2</v>
      </c>
      <c r="G50" s="6"/>
      <c r="H50" s="6"/>
    </row>
    <row r="51" spans="1:8" s="26" customFormat="1">
      <c r="A51" s="16" t="s">
        <v>49</v>
      </c>
      <c r="B51" s="17">
        <v>6</v>
      </c>
      <c r="C51" s="199">
        <v>6312466.3796340935</v>
      </c>
      <c r="D51" s="195">
        <f t="shared" si="3"/>
        <v>-631246.63796340942</v>
      </c>
      <c r="E51" s="158">
        <f t="shared" si="1"/>
        <v>5681219.741670684</v>
      </c>
      <c r="F51" s="188">
        <f t="shared" si="2"/>
        <v>-9.9999999999999978E-2</v>
      </c>
      <c r="G51" s="6"/>
      <c r="H51" s="6"/>
    </row>
    <row r="52" spans="1:8" s="26" customFormat="1">
      <c r="A52" s="16" t="s">
        <v>50</v>
      </c>
      <c r="B52" s="17">
        <v>6</v>
      </c>
      <c r="C52" s="199">
        <v>6023069.4605719475</v>
      </c>
      <c r="D52" s="195">
        <f t="shared" si="3"/>
        <v>-602306.94605719473</v>
      </c>
      <c r="E52" s="158">
        <f t="shared" si="1"/>
        <v>5420762.5145147527</v>
      </c>
      <c r="F52" s="188">
        <f t="shared" si="2"/>
        <v>-9.9999999999999978E-2</v>
      </c>
      <c r="G52" s="6"/>
      <c r="H52" s="6"/>
    </row>
    <row r="53" spans="1:8" s="26" customFormat="1">
      <c r="A53" s="16" t="s">
        <v>51</v>
      </c>
      <c r="B53" s="17">
        <v>6</v>
      </c>
      <c r="C53" s="199">
        <v>6050340.6865703063</v>
      </c>
      <c r="D53" s="195">
        <f t="shared" si="3"/>
        <v>-605034.0686570307</v>
      </c>
      <c r="E53" s="158">
        <f t="shared" si="1"/>
        <v>5445306.617913276</v>
      </c>
      <c r="F53" s="188">
        <f t="shared" si="2"/>
        <v>-9.9999999999999978E-2</v>
      </c>
      <c r="G53" s="6"/>
      <c r="H53" s="6"/>
    </row>
    <row r="54" spans="1:8" s="26" customFormat="1">
      <c r="A54" s="16" t="s">
        <v>52</v>
      </c>
      <c r="B54" s="17">
        <v>6</v>
      </c>
      <c r="C54" s="199">
        <v>6684669.8682746552</v>
      </c>
      <c r="D54" s="195">
        <f t="shared" si="3"/>
        <v>-668466.98682746559</v>
      </c>
      <c r="E54" s="158">
        <f t="shared" si="1"/>
        <v>6016202.8814471895</v>
      </c>
      <c r="F54" s="188">
        <f t="shared" si="2"/>
        <v>-9.9999999999999978E-2</v>
      </c>
      <c r="G54" s="6"/>
      <c r="H54" s="6"/>
    </row>
    <row r="55" spans="1:8" s="26" customFormat="1">
      <c r="A55" s="16" t="s">
        <v>53</v>
      </c>
      <c r="B55" s="17">
        <v>6</v>
      </c>
      <c r="C55" s="199">
        <v>7898790.8338446869</v>
      </c>
      <c r="D55" s="195">
        <f t="shared" si="3"/>
        <v>-789879.08338446869</v>
      </c>
      <c r="E55" s="158">
        <f t="shared" si="1"/>
        <v>7108911.7504602186</v>
      </c>
      <c r="F55" s="188">
        <f t="shared" si="2"/>
        <v>-9.9999999999999978E-2</v>
      </c>
      <c r="G55" s="6"/>
      <c r="H55" s="6"/>
    </row>
    <row r="56" spans="1:8" s="26" customFormat="1">
      <c r="A56" s="16" t="s">
        <v>54</v>
      </c>
      <c r="B56" s="17">
        <v>6</v>
      </c>
      <c r="C56" s="199">
        <v>11837844.937983895</v>
      </c>
      <c r="D56" s="195">
        <f t="shared" si="3"/>
        <v>-1183784.4937983896</v>
      </c>
      <c r="E56" s="158">
        <f t="shared" si="1"/>
        <v>10654060.444185505</v>
      </c>
      <c r="F56" s="188">
        <f t="shared" si="2"/>
        <v>-0.10000000000000009</v>
      </c>
      <c r="G56" s="6"/>
      <c r="H56" s="6"/>
    </row>
    <row r="57" spans="1:8" s="26" customFormat="1">
      <c r="A57" s="16" t="s">
        <v>55</v>
      </c>
      <c r="B57" s="17">
        <v>6</v>
      </c>
      <c r="C57" s="199">
        <v>6804945.6890191836</v>
      </c>
      <c r="D57" s="195">
        <f t="shared" si="3"/>
        <v>-680494.56890191836</v>
      </c>
      <c r="E57" s="158">
        <f t="shared" si="1"/>
        <v>6124451.1201172657</v>
      </c>
      <c r="F57" s="188">
        <f t="shared" si="2"/>
        <v>-9.9999999999999978E-2</v>
      </c>
      <c r="G57" s="6"/>
      <c r="H57" s="6"/>
    </row>
    <row r="58" spans="1:8" s="26" customFormat="1">
      <c r="A58" s="16" t="s">
        <v>56</v>
      </c>
      <c r="B58" s="17">
        <v>6</v>
      </c>
      <c r="C58" s="199">
        <v>8275600.5546593918</v>
      </c>
      <c r="D58" s="195">
        <f t="shared" si="3"/>
        <v>-827560.05546593922</v>
      </c>
      <c r="E58" s="158">
        <f t="shared" si="1"/>
        <v>7448040.4991934523</v>
      </c>
      <c r="F58" s="188">
        <f t="shared" si="2"/>
        <v>-0.10000000000000009</v>
      </c>
      <c r="G58" s="6"/>
      <c r="H58" s="6"/>
    </row>
    <row r="59" spans="1:8" s="26" customFormat="1">
      <c r="A59" s="16" t="s">
        <v>57</v>
      </c>
      <c r="B59" s="17">
        <v>6</v>
      </c>
      <c r="C59" s="199">
        <v>9024813.7813020777</v>
      </c>
      <c r="D59" s="195">
        <f t="shared" si="3"/>
        <v>-902481.37813020777</v>
      </c>
      <c r="E59" s="158">
        <f t="shared" si="1"/>
        <v>8122332.4031718699</v>
      </c>
      <c r="F59" s="188">
        <f t="shared" si="2"/>
        <v>-9.9999999999999978E-2</v>
      </c>
      <c r="G59" s="6"/>
      <c r="H59" s="6"/>
    </row>
    <row r="60" spans="1:8" s="26" customFormat="1">
      <c r="A60" s="16" t="s">
        <v>58</v>
      </c>
      <c r="B60" s="17">
        <v>7</v>
      </c>
      <c r="C60" s="199">
        <v>19939648.159827851</v>
      </c>
      <c r="D60" s="195">
        <f t="shared" si="3"/>
        <v>-1993964.8159827851</v>
      </c>
      <c r="E60" s="158">
        <f t="shared" si="1"/>
        <v>17945683.343845066</v>
      </c>
      <c r="F60" s="188">
        <f t="shared" si="2"/>
        <v>-9.9999999999999978E-2</v>
      </c>
      <c r="G60" s="6"/>
      <c r="H60" s="6"/>
    </row>
    <row r="61" spans="1:8" s="26" customFormat="1">
      <c r="A61" s="16" t="s">
        <v>59</v>
      </c>
      <c r="B61" s="17">
        <v>7</v>
      </c>
      <c r="C61" s="199">
        <v>11903367.042925278</v>
      </c>
      <c r="D61" s="195">
        <f t="shared" si="3"/>
        <v>-1190336.7042925279</v>
      </c>
      <c r="E61" s="158">
        <f t="shared" si="1"/>
        <v>10713030.338632749</v>
      </c>
      <c r="F61" s="188">
        <f t="shared" si="2"/>
        <v>-0.10000000000000009</v>
      </c>
      <c r="G61" s="6"/>
      <c r="H61" s="6"/>
    </row>
    <row r="62" spans="1:8" s="26" customFormat="1">
      <c r="A62" s="16" t="s">
        <v>60</v>
      </c>
      <c r="B62" s="17">
        <v>7</v>
      </c>
      <c r="C62" s="199">
        <v>23037307.259508505</v>
      </c>
      <c r="D62" s="195">
        <f t="shared" si="3"/>
        <v>-2303730.7259508506</v>
      </c>
      <c r="E62" s="158">
        <f t="shared" si="1"/>
        <v>20733576.533557653</v>
      </c>
      <c r="F62" s="188">
        <f t="shared" si="2"/>
        <v>-0.10000000000000009</v>
      </c>
      <c r="G62" s="6"/>
      <c r="H62" s="6"/>
    </row>
    <row r="63" spans="1:8" s="26" customFormat="1">
      <c r="A63" s="16" t="s">
        <v>61</v>
      </c>
      <c r="B63" s="17">
        <v>7</v>
      </c>
      <c r="C63" s="199">
        <v>12626653.44961052</v>
      </c>
      <c r="D63" s="195">
        <f t="shared" si="3"/>
        <v>-1262665.3449610521</v>
      </c>
      <c r="E63" s="158">
        <f t="shared" si="1"/>
        <v>11363988.104649467</v>
      </c>
      <c r="F63" s="188">
        <f t="shared" si="2"/>
        <v>-0.10000000000000009</v>
      </c>
      <c r="G63" s="6"/>
      <c r="H63" s="6"/>
    </row>
    <row r="64" spans="1:8" s="26" customFormat="1">
      <c r="A64" s="16" t="s">
        <v>62</v>
      </c>
      <c r="B64" s="17">
        <v>7</v>
      </c>
      <c r="C64" s="199">
        <v>11847283.072723754</v>
      </c>
      <c r="D64" s="195">
        <f t="shared" si="3"/>
        <v>-1184728.3072723753</v>
      </c>
      <c r="E64" s="158">
        <f t="shared" si="1"/>
        <v>10662554.765451379</v>
      </c>
      <c r="F64" s="188">
        <f t="shared" si="2"/>
        <v>-9.9999999999999978E-2</v>
      </c>
      <c r="G64" s="6"/>
      <c r="H64" s="6"/>
    </row>
    <row r="65" spans="1:8" s="26" customFormat="1">
      <c r="A65" s="16" t="s">
        <v>63</v>
      </c>
      <c r="B65" s="17">
        <v>8</v>
      </c>
      <c r="C65" s="199">
        <v>39664380.37862049</v>
      </c>
      <c r="D65" s="195">
        <f t="shared" si="3"/>
        <v>-3966438.0378620494</v>
      </c>
      <c r="E65" s="158">
        <f t="shared" si="1"/>
        <v>35697942.340758443</v>
      </c>
      <c r="F65" s="188">
        <f t="shared" si="2"/>
        <v>-9.9999999999999978E-2</v>
      </c>
      <c r="G65" s="6"/>
      <c r="H65" s="6"/>
    </row>
    <row r="66" spans="1:8" s="26" customFormat="1">
      <c r="A66" s="16" t="s">
        <v>64</v>
      </c>
      <c r="B66" s="17">
        <v>8</v>
      </c>
      <c r="C66" s="199">
        <v>30825590.949284896</v>
      </c>
      <c r="D66" s="195">
        <f>-(C66*E$1)</f>
        <v>-3082559.09492849</v>
      </c>
      <c r="E66" s="158">
        <f t="shared" si="1"/>
        <v>27743031.854356408</v>
      </c>
      <c r="F66" s="188">
        <f t="shared" si="2"/>
        <v>-9.9999999999999978E-2</v>
      </c>
      <c r="G66" s="6"/>
      <c r="H66" s="6"/>
    </row>
    <row r="67" spans="1:8" s="26" customFormat="1">
      <c r="A67" s="16" t="s">
        <v>65</v>
      </c>
      <c r="B67" s="17">
        <v>8</v>
      </c>
      <c r="C67" s="199">
        <v>71990695.401439622</v>
      </c>
      <c r="D67" s="195">
        <f t="shared" ref="D67:D69" si="4">-(C67*E$1)</f>
        <v>-7199069.5401439629</v>
      </c>
      <c r="E67" s="158">
        <f t="shared" si="1"/>
        <v>64791625.861295655</v>
      </c>
      <c r="F67" s="188">
        <f t="shared" si="2"/>
        <v>-0.10000000000000009</v>
      </c>
      <c r="G67" s="6"/>
      <c r="H67" s="6"/>
    </row>
    <row r="68" spans="1:8">
      <c r="A68" s="16" t="s">
        <v>66</v>
      </c>
      <c r="B68" s="17">
        <v>8</v>
      </c>
      <c r="C68" s="199">
        <v>29521040.987910237</v>
      </c>
      <c r="D68" s="195">
        <f t="shared" si="4"/>
        <v>-2952104.0987910237</v>
      </c>
      <c r="E68" s="158">
        <f t="shared" ref="E68:E69" si="5">C68+D68</f>
        <v>26568936.889119215</v>
      </c>
      <c r="F68" s="188">
        <f t="shared" ref="F68:F69" si="6">E68/C68-1</f>
        <v>-9.9999999999999978E-2</v>
      </c>
    </row>
    <row r="69" spans="1:8" ht="14.25" thickBot="1">
      <c r="A69" s="18" t="s">
        <v>67</v>
      </c>
      <c r="B69" s="19">
        <v>8</v>
      </c>
      <c r="C69" s="200">
        <v>30780285.476537708</v>
      </c>
      <c r="D69" s="196">
        <f t="shared" si="4"/>
        <v>-3078028.547653771</v>
      </c>
      <c r="E69" s="159">
        <f t="shared" si="5"/>
        <v>27702256.928883936</v>
      </c>
      <c r="F69" s="189">
        <f t="shared" si="6"/>
        <v>-0.10000000000000009</v>
      </c>
    </row>
    <row r="70" spans="1:8" ht="14.25" thickBot="1">
      <c r="A70" s="20"/>
      <c r="B70" s="21"/>
      <c r="C70" s="54"/>
      <c r="D70" s="185"/>
      <c r="E70" s="10"/>
      <c r="F70" s="7"/>
    </row>
    <row r="71" spans="1:8" s="26" customFormat="1" ht="14.25" thickBot="1">
      <c r="A71" s="422" t="s">
        <v>103</v>
      </c>
      <c r="B71" s="422"/>
      <c r="C71" s="201">
        <f t="shared" ref="C71" si="7">SUM(C3:C69)</f>
        <v>453209796.99999994</v>
      </c>
      <c r="D71" s="186">
        <f>SUM(D3:D69)</f>
        <v>-45320979.700000003</v>
      </c>
      <c r="E71" s="202">
        <f>SUM(E3:E69)</f>
        <v>407888817.29999995</v>
      </c>
      <c r="F71" s="190">
        <f>E71/C71-1</f>
        <v>-9.9999999999999978E-2</v>
      </c>
      <c r="G71" s="6"/>
      <c r="H71" s="6"/>
    </row>
    <row r="72" spans="1:8">
      <c r="C72" s="5"/>
      <c r="E72" s="166"/>
    </row>
    <row r="73" spans="1:8">
      <c r="C73" s="5"/>
      <c r="E73" s="166"/>
    </row>
    <row r="74" spans="1:8" ht="42" customHeight="1">
      <c r="A74" s="441" t="s">
        <v>192</v>
      </c>
      <c r="B74" s="442"/>
      <c r="C74" s="442"/>
      <c r="D74" s="442"/>
      <c r="E74" s="442"/>
      <c r="F74" s="443"/>
    </row>
    <row r="75" spans="1:8" ht="9.75" customHeight="1">
      <c r="C75" s="5"/>
      <c r="F75" s="22"/>
    </row>
    <row r="76" spans="1:8" ht="120" customHeight="1">
      <c r="A76" s="438" t="s">
        <v>275</v>
      </c>
      <c r="B76" s="439"/>
      <c r="C76" s="439"/>
      <c r="D76" s="439"/>
      <c r="E76" s="439"/>
      <c r="F76" s="440"/>
    </row>
    <row r="77" spans="1:8">
      <c r="E77" s="23"/>
    </row>
    <row r="78" spans="1:8">
      <c r="E78" s="23"/>
    </row>
  </sheetData>
  <autoFilter ref="A2:C69" xr:uid="{4EC7684B-053D-43A3-8CD8-BE9A689EFD27}"/>
  <mergeCells count="3">
    <mergeCell ref="A71:B71"/>
    <mergeCell ref="A76:F76"/>
    <mergeCell ref="A74:F74"/>
  </mergeCells>
  <printOptions horizontalCentered="1"/>
  <pageMargins left="0.2" right="0.2" top="0.5" bottom="0.5" header="0.25" footer="0.25"/>
  <pageSetup scale="84" fitToHeight="0" pageOrder="overThenDown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FCF2-DD73-4F32-9271-ACFE81C4F4E8}">
  <sheetPr>
    <pageSetUpPr fitToPage="1"/>
  </sheetPr>
  <dimension ref="A1:U79"/>
  <sheetViews>
    <sheetView zoomScaleNormal="100" zoomScalePageLayoutView="55" workbookViewId="0">
      <pane xSplit="2" ySplit="1" topLeftCell="E38" activePane="bottomRight" state="frozen"/>
      <selection pane="topRight" activeCell="C1" sqref="C1"/>
      <selection pane="bottomLeft" activeCell="A3" sqref="A3"/>
      <selection pane="bottomRight" activeCell="S6" sqref="S6"/>
    </sheetView>
  </sheetViews>
  <sheetFormatPr defaultColWidth="2.28515625" defaultRowHeight="13.5"/>
  <cols>
    <col min="1" max="1" width="12.140625" style="6" customWidth="1"/>
    <col min="2" max="2" width="6.28515625" style="6" customWidth="1"/>
    <col min="3" max="3" width="16.7109375" style="6" customWidth="1"/>
    <col min="4" max="4" width="14.28515625" style="6" bestFit="1" customWidth="1"/>
    <col min="5" max="5" width="16.7109375" style="6" customWidth="1"/>
    <col min="6" max="6" width="12.140625" style="6" customWidth="1"/>
    <col min="7" max="7" width="13.85546875" style="6" customWidth="1"/>
    <col min="8" max="8" width="15.140625" style="6" customWidth="1"/>
    <col min="9" max="9" width="14" style="6" customWidth="1"/>
    <col min="10" max="10" width="13.85546875" style="6" customWidth="1"/>
    <col min="11" max="11" width="14.140625" style="6" customWidth="1"/>
    <col min="12" max="12" width="14" style="6" customWidth="1"/>
    <col min="13" max="13" width="12.42578125" style="6" customWidth="1"/>
    <col min="14" max="14" width="12.140625" style="6" customWidth="1"/>
    <col min="15" max="15" width="14.28515625" style="6" bestFit="1" customWidth="1"/>
    <col min="16" max="16" width="10.85546875" style="6" customWidth="1"/>
    <col min="17" max="17" width="15.42578125" style="1" customWidth="1"/>
    <col min="18" max="18" width="10.42578125" style="1" customWidth="1"/>
    <col min="19" max="19" width="16.5703125" style="1" customWidth="1"/>
    <col min="20" max="20" width="7.5703125" style="2" customWidth="1"/>
    <col min="21" max="21" width="8.85546875" style="2" customWidth="1"/>
    <col min="22" max="16384" width="2.28515625" style="6"/>
  </cols>
  <sheetData>
    <row r="1" spans="1:21" s="32" customFormat="1" ht="59.25" customHeight="1" thickBot="1">
      <c r="A1" s="14" t="s">
        <v>0</v>
      </c>
      <c r="B1" s="15" t="s">
        <v>71</v>
      </c>
      <c r="C1" s="138" t="s">
        <v>75</v>
      </c>
      <c r="D1" s="139" t="s">
        <v>183</v>
      </c>
      <c r="E1" s="42" t="s">
        <v>214</v>
      </c>
      <c r="F1" s="62" t="s">
        <v>180</v>
      </c>
      <c r="G1" s="62" t="s">
        <v>181</v>
      </c>
      <c r="H1" s="62" t="s">
        <v>77</v>
      </c>
      <c r="I1" s="161" t="s">
        <v>182</v>
      </c>
      <c r="J1" s="62" t="s">
        <v>80</v>
      </c>
      <c r="K1" s="62" t="s">
        <v>78</v>
      </c>
      <c r="L1" s="62" t="s">
        <v>83</v>
      </c>
      <c r="M1" s="62" t="s">
        <v>259</v>
      </c>
      <c r="N1" s="62" t="s">
        <v>236</v>
      </c>
      <c r="O1" s="62" t="s">
        <v>79</v>
      </c>
      <c r="P1" s="62" t="s">
        <v>76</v>
      </c>
      <c r="Q1" s="33" t="s">
        <v>81</v>
      </c>
      <c r="R1" s="70" t="s">
        <v>82</v>
      </c>
      <c r="S1" s="43" t="s">
        <v>260</v>
      </c>
      <c r="T1" s="406" t="s">
        <v>187</v>
      </c>
      <c r="U1" s="406" t="s">
        <v>188</v>
      </c>
    </row>
    <row r="2" spans="1:21" s="26" customFormat="1" ht="13.5" customHeight="1">
      <c r="A2" s="31" t="s">
        <v>1</v>
      </c>
      <c r="B2" s="30">
        <v>1</v>
      </c>
      <c r="C2" s="252">
        <v>459014.59064273734</v>
      </c>
      <c r="D2" s="256">
        <v>5692.4533219999994</v>
      </c>
      <c r="E2" s="44">
        <f t="shared" ref="E2:E33" si="0">C2+D2</f>
        <v>464707.04396473733</v>
      </c>
      <c r="F2" s="57"/>
      <c r="G2" s="57">
        <v>5074</v>
      </c>
      <c r="H2" s="57">
        <v>19492</v>
      </c>
      <c r="I2" s="58"/>
      <c r="J2" s="57"/>
      <c r="K2" s="57"/>
      <c r="L2" s="57"/>
      <c r="M2" s="58"/>
      <c r="N2" s="58"/>
      <c r="O2" s="57"/>
      <c r="P2" s="57"/>
      <c r="Q2" s="44">
        <f t="shared" ref="Q2:Q33" si="1">SUM(F2:P2)</f>
        <v>24566</v>
      </c>
      <c r="R2" s="64"/>
      <c r="S2" s="44">
        <f t="shared" ref="S2:S33" si="2">E2+Q2</f>
        <v>489273.04396473733</v>
      </c>
      <c r="T2" s="36">
        <f>S2/E2-1</f>
        <v>5.286341216266166E-2</v>
      </c>
      <c r="U2" s="36">
        <f t="shared" ref="U2:U33" si="3">S2/C2-1</f>
        <v>6.5920460784548052E-2</v>
      </c>
    </row>
    <row r="3" spans="1:21" customFormat="1" ht="13.5" customHeight="1">
      <c r="A3" s="16" t="s">
        <v>2</v>
      </c>
      <c r="B3" s="17">
        <v>1</v>
      </c>
      <c r="C3" s="253">
        <v>315036.79031373578</v>
      </c>
      <c r="D3" s="255">
        <v>3108.9804979999999</v>
      </c>
      <c r="E3" s="52">
        <f t="shared" si="0"/>
        <v>318145.77081173577</v>
      </c>
      <c r="F3" s="58"/>
      <c r="G3" s="58">
        <v>2664</v>
      </c>
      <c r="H3" s="58">
        <v>6807</v>
      </c>
      <c r="I3" s="58"/>
      <c r="J3" s="58"/>
      <c r="K3" s="58"/>
      <c r="L3" s="58"/>
      <c r="M3" s="58"/>
      <c r="N3" s="58"/>
      <c r="O3" s="58"/>
      <c r="P3" s="58"/>
      <c r="Q3" s="45">
        <f t="shared" si="1"/>
        <v>9471</v>
      </c>
      <c r="R3" s="65"/>
      <c r="S3" s="45">
        <f t="shared" si="2"/>
        <v>327616.77081173577</v>
      </c>
      <c r="T3" s="35">
        <f t="shared" ref="T3:T33" si="4">S3/E3-1</f>
        <v>2.9769372623860813E-2</v>
      </c>
      <c r="U3" s="35">
        <f t="shared" si="3"/>
        <v>3.9931782206998667E-2</v>
      </c>
    </row>
    <row r="4" spans="1:21" s="27" customFormat="1" ht="13.5" customHeight="1">
      <c r="A4" s="16" t="s">
        <v>3</v>
      </c>
      <c r="B4" s="17">
        <v>1</v>
      </c>
      <c r="C4" s="253">
        <v>322496.72759339341</v>
      </c>
      <c r="D4" s="255">
        <v>5480.3805599999996</v>
      </c>
      <c r="E4" s="52">
        <f t="shared" si="0"/>
        <v>327977.10815339343</v>
      </c>
      <c r="F4" s="58"/>
      <c r="G4" s="58">
        <v>4883</v>
      </c>
      <c r="H4" s="58">
        <v>15993</v>
      </c>
      <c r="I4" s="58"/>
      <c r="J4" s="58"/>
      <c r="K4" s="58"/>
      <c r="L4" s="58"/>
      <c r="M4" s="58"/>
      <c r="N4" s="58"/>
      <c r="O4" s="58"/>
      <c r="P4" s="58"/>
      <c r="Q4" s="45">
        <f t="shared" si="1"/>
        <v>20876</v>
      </c>
      <c r="R4" s="65"/>
      <c r="S4" s="45">
        <f t="shared" si="2"/>
        <v>348853.10815339343</v>
      </c>
      <c r="T4" s="35">
        <f t="shared" si="4"/>
        <v>6.3650783792618792E-2</v>
      </c>
      <c r="U4" s="35">
        <f t="shared" si="3"/>
        <v>8.1726040312664505E-2</v>
      </c>
    </row>
    <row r="5" spans="1:21" s="26" customFormat="1" ht="13.5" customHeight="1">
      <c r="A5" s="16" t="s">
        <v>4</v>
      </c>
      <c r="B5" s="17">
        <v>1</v>
      </c>
      <c r="C5" s="253">
        <v>498165.1097184039</v>
      </c>
      <c r="D5" s="255">
        <v>7139.1738022323998</v>
      </c>
      <c r="E5" s="52">
        <f t="shared" si="0"/>
        <v>505304.28352063632</v>
      </c>
      <c r="F5" s="58"/>
      <c r="G5" s="58">
        <v>6011</v>
      </c>
      <c r="H5" s="58">
        <v>35336</v>
      </c>
      <c r="I5" s="58"/>
      <c r="J5" s="58"/>
      <c r="K5" s="58"/>
      <c r="L5" s="58"/>
      <c r="M5" s="58"/>
      <c r="N5" s="58"/>
      <c r="O5" s="58"/>
      <c r="P5" s="58"/>
      <c r="Q5" s="46">
        <f t="shared" si="1"/>
        <v>41347</v>
      </c>
      <c r="R5" s="66"/>
      <c r="S5" s="46">
        <f t="shared" si="2"/>
        <v>546651.28352063638</v>
      </c>
      <c r="T5" s="35">
        <f t="shared" si="4"/>
        <v>8.1825943987493321E-2</v>
      </c>
      <c r="U5" s="35">
        <f t="shared" si="3"/>
        <v>9.7329525605757805E-2</v>
      </c>
    </row>
    <row r="6" spans="1:21" s="26" customFormat="1" ht="13.5" customHeight="1">
      <c r="A6" s="16" t="s">
        <v>5</v>
      </c>
      <c r="B6" s="17">
        <v>2</v>
      </c>
      <c r="C6" s="253">
        <v>725439.47801392386</v>
      </c>
      <c r="D6" s="255">
        <v>11887.7089</v>
      </c>
      <c r="E6" s="52">
        <f t="shared" si="0"/>
        <v>737327.18691392383</v>
      </c>
      <c r="F6" s="58">
        <v>8226</v>
      </c>
      <c r="G6" s="58">
        <v>13680</v>
      </c>
      <c r="H6" s="58"/>
      <c r="I6" s="162">
        <v>46173</v>
      </c>
      <c r="J6" s="58"/>
      <c r="K6" s="58"/>
      <c r="L6" s="58"/>
      <c r="M6" s="58"/>
      <c r="N6" s="58"/>
      <c r="O6" s="58"/>
      <c r="P6" s="58"/>
      <c r="Q6" s="46">
        <f t="shared" si="1"/>
        <v>68079</v>
      </c>
      <c r="R6" s="66">
        <v>1</v>
      </c>
      <c r="S6" s="46">
        <f t="shared" si="2"/>
        <v>805406.18691392383</v>
      </c>
      <c r="T6" s="35">
        <f t="shared" si="4"/>
        <v>9.2332144003727912E-2</v>
      </c>
      <c r="U6" s="35">
        <f t="shared" si="3"/>
        <v>0.11023208871804058</v>
      </c>
    </row>
    <row r="7" spans="1:21" s="26" customFormat="1" ht="13.5" customHeight="1">
      <c r="A7" s="16" t="s">
        <v>6</v>
      </c>
      <c r="B7" s="17">
        <v>2</v>
      </c>
      <c r="C7" s="253">
        <v>501450.31244996039</v>
      </c>
      <c r="D7" s="255">
        <v>7162.49244</v>
      </c>
      <c r="E7" s="52">
        <f t="shared" si="0"/>
        <v>508612.80488996039</v>
      </c>
      <c r="F7" s="58"/>
      <c r="G7" s="58">
        <v>11220</v>
      </c>
      <c r="H7" s="58">
        <v>21216</v>
      </c>
      <c r="I7" s="162">
        <v>48018</v>
      </c>
      <c r="J7" s="58"/>
      <c r="K7" s="58"/>
      <c r="L7" s="58"/>
      <c r="M7" s="58"/>
      <c r="N7" s="58"/>
      <c r="O7" s="58"/>
      <c r="P7" s="58"/>
      <c r="Q7" s="46">
        <f t="shared" si="1"/>
        <v>80454</v>
      </c>
      <c r="R7" s="65">
        <v>1</v>
      </c>
      <c r="S7" s="46">
        <f t="shared" si="2"/>
        <v>589066.80488996045</v>
      </c>
      <c r="T7" s="35">
        <f t="shared" si="4"/>
        <v>0.15818319795823155</v>
      </c>
      <c r="U7" s="35">
        <f t="shared" si="3"/>
        <v>0.17472616980120703</v>
      </c>
    </row>
    <row r="8" spans="1:21" s="26" customFormat="1" ht="13.5" customHeight="1">
      <c r="A8" s="16" t="s">
        <v>7</v>
      </c>
      <c r="B8" s="17">
        <v>2</v>
      </c>
      <c r="C8" s="253">
        <v>674134.71966310788</v>
      </c>
      <c r="D8" s="255">
        <v>9405.6715297999999</v>
      </c>
      <c r="E8" s="52">
        <f t="shared" si="0"/>
        <v>683540.39119290793</v>
      </c>
      <c r="F8" s="58"/>
      <c r="G8" s="58">
        <v>6681</v>
      </c>
      <c r="H8" s="58">
        <v>25109</v>
      </c>
      <c r="I8" s="58"/>
      <c r="J8" s="58"/>
      <c r="K8" s="58"/>
      <c r="L8" s="58"/>
      <c r="M8" s="58"/>
      <c r="N8" s="58"/>
      <c r="O8" s="58"/>
      <c r="P8" s="58"/>
      <c r="Q8" s="46">
        <f t="shared" si="1"/>
        <v>31790</v>
      </c>
      <c r="R8" s="66"/>
      <c r="S8" s="46">
        <f t="shared" si="2"/>
        <v>715330.39119290793</v>
      </c>
      <c r="T8" s="35">
        <f t="shared" si="4"/>
        <v>4.6507858803369828E-2</v>
      </c>
      <c r="U8" s="35">
        <f t="shared" si="3"/>
        <v>6.1108959868418022E-2</v>
      </c>
    </row>
    <row r="9" spans="1:21" s="26" customFormat="1" ht="13.5" customHeight="1">
      <c r="A9" s="16" t="s">
        <v>8</v>
      </c>
      <c r="B9" s="17">
        <v>2</v>
      </c>
      <c r="C9" s="253">
        <v>557818.32633381232</v>
      </c>
      <c r="D9" s="255">
        <v>7214.5422399999998</v>
      </c>
      <c r="E9" s="52">
        <f t="shared" si="0"/>
        <v>565032.8685738123</v>
      </c>
      <c r="F9" s="58"/>
      <c r="G9" s="58">
        <v>8890</v>
      </c>
      <c r="H9" s="58">
        <f>5000+25326+26466</f>
        <v>56792</v>
      </c>
      <c r="I9" s="58"/>
      <c r="J9" s="58"/>
      <c r="K9" s="58"/>
      <c r="L9" s="58"/>
      <c r="M9" s="58"/>
      <c r="N9" s="58"/>
      <c r="O9" s="58"/>
      <c r="P9" s="58"/>
      <c r="Q9" s="46">
        <f t="shared" si="1"/>
        <v>65682</v>
      </c>
      <c r="R9" s="66"/>
      <c r="S9" s="46">
        <f t="shared" si="2"/>
        <v>630714.8685738123</v>
      </c>
      <c r="T9" s="35">
        <f t="shared" si="4"/>
        <v>0.11624456496802837</v>
      </c>
      <c r="U9" s="35">
        <f t="shared" si="3"/>
        <v>0.13068151188058463</v>
      </c>
    </row>
    <row r="10" spans="1:21" s="26" customFormat="1" ht="13.5" customHeight="1">
      <c r="A10" s="16" t="s">
        <v>9</v>
      </c>
      <c r="B10" s="17">
        <v>2</v>
      </c>
      <c r="C10" s="253">
        <v>579027.5951687413</v>
      </c>
      <c r="D10" s="255">
        <v>6754.2611399999996</v>
      </c>
      <c r="E10" s="52">
        <f t="shared" si="0"/>
        <v>585781.85630874126</v>
      </c>
      <c r="F10" s="58"/>
      <c r="G10" s="58">
        <v>9100</v>
      </c>
      <c r="H10" s="58">
        <v>34131</v>
      </c>
      <c r="I10" s="58"/>
      <c r="J10" s="58"/>
      <c r="K10" s="58"/>
      <c r="L10" s="58"/>
      <c r="M10" s="58"/>
      <c r="N10" s="58"/>
      <c r="O10" s="58">
        <v>15937</v>
      </c>
      <c r="P10" s="58"/>
      <c r="Q10" s="46">
        <f t="shared" si="1"/>
        <v>59168</v>
      </c>
      <c r="R10" s="66"/>
      <c r="S10" s="46">
        <f t="shared" si="2"/>
        <v>644949.85630874126</v>
      </c>
      <c r="T10" s="35">
        <f t="shared" si="4"/>
        <v>0.10100688398381363</v>
      </c>
      <c r="U10" s="35">
        <f t="shared" si="3"/>
        <v>0.11384994720465569</v>
      </c>
    </row>
    <row r="11" spans="1:21" s="26" customFormat="1" ht="13.5" customHeight="1">
      <c r="A11" s="16" t="s">
        <v>10</v>
      </c>
      <c r="B11" s="17">
        <v>2</v>
      </c>
      <c r="C11" s="253">
        <v>502570.31387351878</v>
      </c>
      <c r="D11" s="255">
        <v>6607.6864839999998</v>
      </c>
      <c r="E11" s="52">
        <f t="shared" si="0"/>
        <v>509178.00035751879</v>
      </c>
      <c r="F11" s="58"/>
      <c r="G11" s="58"/>
      <c r="H11" s="58"/>
      <c r="I11" s="58"/>
      <c r="J11" s="162">
        <v>46131</v>
      </c>
      <c r="K11" s="58"/>
      <c r="L11" s="58"/>
      <c r="M11" s="58"/>
      <c r="N11" s="58"/>
      <c r="O11" s="58"/>
      <c r="P11" s="58"/>
      <c r="Q11" s="46">
        <f t="shared" si="1"/>
        <v>46131</v>
      </c>
      <c r="R11" s="66">
        <v>1</v>
      </c>
      <c r="S11" s="46">
        <f t="shared" si="2"/>
        <v>555309.00035751879</v>
      </c>
      <c r="T11" s="35">
        <f t="shared" si="4"/>
        <v>9.0598965327663761E-2</v>
      </c>
      <c r="U11" s="35">
        <f t="shared" si="3"/>
        <v>0.10493792615310071</v>
      </c>
    </row>
    <row r="12" spans="1:21" s="26" customFormat="1" ht="13.5" customHeight="1">
      <c r="A12" s="16" t="s">
        <v>11</v>
      </c>
      <c r="B12" s="17">
        <v>2</v>
      </c>
      <c r="C12" s="253">
        <v>609838.75346430275</v>
      </c>
      <c r="D12" s="255">
        <v>6679.2871599999989</v>
      </c>
      <c r="E12" s="52">
        <f t="shared" si="0"/>
        <v>616518.0406243027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6">
        <f t="shared" si="1"/>
        <v>0</v>
      </c>
      <c r="R12" s="66"/>
      <c r="S12" s="46">
        <f t="shared" si="2"/>
        <v>616518.0406243027</v>
      </c>
      <c r="T12" s="35">
        <f t="shared" si="4"/>
        <v>0</v>
      </c>
      <c r="U12" s="35">
        <f t="shared" si="3"/>
        <v>1.0952546262527507E-2</v>
      </c>
    </row>
    <row r="13" spans="1:21" s="26" customFormat="1" ht="13.5" customHeight="1">
      <c r="A13" s="16" t="s">
        <v>12</v>
      </c>
      <c r="B13" s="17">
        <v>2</v>
      </c>
      <c r="C13" s="253">
        <v>604123.51154300408</v>
      </c>
      <c r="D13" s="255">
        <v>8099.089477999999</v>
      </c>
      <c r="E13" s="52">
        <f t="shared" si="0"/>
        <v>612222.60102100403</v>
      </c>
      <c r="F13" s="58"/>
      <c r="G13" s="58">
        <v>8742</v>
      </c>
      <c r="H13" s="58">
        <v>26586</v>
      </c>
      <c r="I13" s="58"/>
      <c r="J13" s="58"/>
      <c r="K13" s="58"/>
      <c r="L13" s="58"/>
      <c r="M13" s="58"/>
      <c r="N13" s="58"/>
      <c r="O13" s="58">
        <v>10700</v>
      </c>
      <c r="P13" s="58"/>
      <c r="Q13" s="46">
        <f t="shared" si="1"/>
        <v>46028</v>
      </c>
      <c r="R13" s="66"/>
      <c r="S13" s="46">
        <f t="shared" si="2"/>
        <v>658250.60102100403</v>
      </c>
      <c r="T13" s="35">
        <f t="shared" si="4"/>
        <v>7.5181804662616258E-2</v>
      </c>
      <c r="U13" s="35">
        <f t="shared" si="3"/>
        <v>8.9596065115480794E-2</v>
      </c>
    </row>
    <row r="14" spans="1:21" s="26" customFormat="1" ht="13.5" customHeight="1">
      <c r="A14" s="16" t="s">
        <v>13</v>
      </c>
      <c r="B14" s="17">
        <v>2</v>
      </c>
      <c r="C14" s="253">
        <v>513901.73621836456</v>
      </c>
      <c r="D14" s="255">
        <v>5296.8335040000002</v>
      </c>
      <c r="E14" s="52">
        <f t="shared" si="0"/>
        <v>519198.56972236454</v>
      </c>
      <c r="F14" s="58"/>
      <c r="G14" s="58">
        <v>8559</v>
      </c>
      <c r="H14" s="58">
        <v>12123</v>
      </c>
      <c r="I14" s="58"/>
      <c r="J14" s="58"/>
      <c r="K14" s="58"/>
      <c r="L14" s="58"/>
      <c r="M14" s="58"/>
      <c r="N14" s="58"/>
      <c r="O14" s="58"/>
      <c r="P14" s="58"/>
      <c r="Q14" s="46">
        <f t="shared" si="1"/>
        <v>20682</v>
      </c>
      <c r="R14" s="66"/>
      <c r="S14" s="46">
        <f t="shared" si="2"/>
        <v>539880.56972236454</v>
      </c>
      <c r="T14" s="35">
        <f t="shared" si="4"/>
        <v>3.9834470289583868E-2</v>
      </c>
      <c r="U14" s="35">
        <f t="shared" si="3"/>
        <v>5.0552141923414728E-2</v>
      </c>
    </row>
    <row r="15" spans="1:21" s="26" customFormat="1" ht="13.5" customHeight="1">
      <c r="A15" s="16" t="s">
        <v>14</v>
      </c>
      <c r="B15" s="17">
        <v>2</v>
      </c>
      <c r="C15" s="253">
        <v>574285.78408759309</v>
      </c>
      <c r="D15" s="255">
        <v>6599.3074020000004</v>
      </c>
      <c r="E15" s="52">
        <f t="shared" si="0"/>
        <v>580885.09148959303</v>
      </c>
      <c r="F15" s="58"/>
      <c r="G15" s="58"/>
      <c r="H15" s="58">
        <f>21682+16555</f>
        <v>38237</v>
      </c>
      <c r="I15" s="58"/>
      <c r="J15" s="58"/>
      <c r="K15" s="162">
        <v>115898</v>
      </c>
      <c r="L15" s="58"/>
      <c r="M15" s="58"/>
      <c r="N15" s="58"/>
      <c r="O15" s="58"/>
      <c r="P15" s="58"/>
      <c r="Q15" s="46">
        <f t="shared" si="1"/>
        <v>154135</v>
      </c>
      <c r="R15" s="66">
        <v>2</v>
      </c>
      <c r="S15" s="46">
        <f t="shared" si="2"/>
        <v>735020.09148959303</v>
      </c>
      <c r="T15" s="35">
        <f t="shared" si="4"/>
        <v>0.26534507815434516</v>
      </c>
      <c r="U15" s="35">
        <f t="shared" si="3"/>
        <v>0.27988557588513086</v>
      </c>
    </row>
    <row r="16" spans="1:21" s="26" customFormat="1" ht="13.5" customHeight="1">
      <c r="A16" s="16" t="s">
        <v>15</v>
      </c>
      <c r="B16" s="17">
        <v>2</v>
      </c>
      <c r="C16" s="253">
        <v>805837.99175540451</v>
      </c>
      <c r="D16" s="255">
        <v>10883.548238000001</v>
      </c>
      <c r="E16" s="52">
        <f t="shared" si="0"/>
        <v>816721.53999340453</v>
      </c>
      <c r="F16" s="58"/>
      <c r="G16" s="58"/>
      <c r="H16" s="58">
        <v>30067</v>
      </c>
      <c r="I16" s="58"/>
      <c r="J16" s="58"/>
      <c r="K16" s="58"/>
      <c r="L16" s="58"/>
      <c r="M16" s="58"/>
      <c r="N16" s="58"/>
      <c r="O16" s="58"/>
      <c r="P16" s="58"/>
      <c r="Q16" s="46">
        <f t="shared" si="1"/>
        <v>30067</v>
      </c>
      <c r="R16" s="66"/>
      <c r="S16" s="46">
        <f t="shared" si="2"/>
        <v>846788.53999340453</v>
      </c>
      <c r="T16" s="35">
        <f t="shared" si="4"/>
        <v>3.6814261076355104E-2</v>
      </c>
      <c r="U16" s="35">
        <f t="shared" si="3"/>
        <v>5.0817346237045813E-2</v>
      </c>
    </row>
    <row r="17" spans="1:21" s="26" customFormat="1" ht="13.5" customHeight="1">
      <c r="A17" s="16" t="s">
        <v>16</v>
      </c>
      <c r="B17" s="17">
        <v>3</v>
      </c>
      <c r="C17" s="253">
        <v>873912.44651130447</v>
      </c>
      <c r="D17" s="255">
        <v>11399.664612</v>
      </c>
      <c r="E17" s="52">
        <f t="shared" si="0"/>
        <v>885312.11112330446</v>
      </c>
      <c r="F17" s="58"/>
      <c r="G17" s="58">
        <v>26377</v>
      </c>
      <c r="H17" s="58"/>
      <c r="I17" s="58"/>
      <c r="J17" s="58"/>
      <c r="K17" s="58"/>
      <c r="L17" s="58"/>
      <c r="M17" s="58"/>
      <c r="N17" s="58"/>
      <c r="O17" s="58"/>
      <c r="P17" s="58"/>
      <c r="Q17" s="46">
        <f t="shared" si="1"/>
        <v>26377</v>
      </c>
      <c r="R17" s="66"/>
      <c r="S17" s="46">
        <f t="shared" si="2"/>
        <v>911689.11112330446</v>
      </c>
      <c r="T17" s="35">
        <f t="shared" si="4"/>
        <v>2.9794012381161528E-2</v>
      </c>
      <c r="U17" s="35">
        <f t="shared" si="3"/>
        <v>4.3227058686263087E-2</v>
      </c>
    </row>
    <row r="18" spans="1:21" s="26" customFormat="1" ht="13.5" customHeight="1">
      <c r="A18" s="16" t="s">
        <v>17</v>
      </c>
      <c r="B18" s="17">
        <v>3</v>
      </c>
      <c r="C18" s="253">
        <v>823615.487275369</v>
      </c>
      <c r="D18" s="255">
        <v>9945.7838100000008</v>
      </c>
      <c r="E18" s="52">
        <f t="shared" si="0"/>
        <v>833561.27108536905</v>
      </c>
      <c r="F18" s="58">
        <v>868</v>
      </c>
      <c r="G18" s="58"/>
      <c r="H18" s="58">
        <v>20699</v>
      </c>
      <c r="I18" s="162">
        <v>97002</v>
      </c>
      <c r="J18" s="58"/>
      <c r="K18" s="58"/>
      <c r="L18" s="58"/>
      <c r="M18" s="58"/>
      <c r="N18" s="58"/>
      <c r="O18" s="58"/>
      <c r="P18" s="58"/>
      <c r="Q18" s="46">
        <f t="shared" si="1"/>
        <v>118569</v>
      </c>
      <c r="R18" s="66">
        <v>2</v>
      </c>
      <c r="S18" s="46">
        <f t="shared" si="2"/>
        <v>952130.27108536905</v>
      </c>
      <c r="T18" s="35">
        <f t="shared" si="4"/>
        <v>0.14224389269622972</v>
      </c>
      <c r="U18" s="35">
        <f t="shared" si="3"/>
        <v>0.15603735698941779</v>
      </c>
    </row>
    <row r="19" spans="1:21" s="26" customFormat="1" ht="13.5" customHeight="1">
      <c r="A19" s="16" t="s">
        <v>18</v>
      </c>
      <c r="B19" s="17">
        <v>3</v>
      </c>
      <c r="C19" s="253">
        <v>1365042.1682261289</v>
      </c>
      <c r="D19" s="255">
        <v>20823.294397000001</v>
      </c>
      <c r="E19" s="52">
        <f t="shared" si="0"/>
        <v>1385865.4626231289</v>
      </c>
      <c r="F19" s="58">
        <v>1258</v>
      </c>
      <c r="G19" s="58">
        <v>37677</v>
      </c>
      <c r="H19" s="58">
        <v>31185</v>
      </c>
      <c r="I19" s="58"/>
      <c r="J19" s="162">
        <v>56999</v>
      </c>
      <c r="K19" s="58"/>
      <c r="L19" s="58"/>
      <c r="M19" s="58"/>
      <c r="N19" s="58"/>
      <c r="O19" s="58">
        <v>15000</v>
      </c>
      <c r="P19" s="58"/>
      <c r="Q19" s="46">
        <f t="shared" si="1"/>
        <v>142119</v>
      </c>
      <c r="R19" s="66">
        <v>1</v>
      </c>
      <c r="S19" s="46">
        <f t="shared" si="2"/>
        <v>1527984.4626231289</v>
      </c>
      <c r="T19" s="35">
        <f t="shared" si="4"/>
        <v>0.1025489153405994</v>
      </c>
      <c r="U19" s="35">
        <f t="shared" si="3"/>
        <v>0.11936795667546551</v>
      </c>
    </row>
    <row r="20" spans="1:21" s="26" customFormat="1" ht="13.5" customHeight="1">
      <c r="A20" s="16" t="s">
        <v>19</v>
      </c>
      <c r="B20" s="17">
        <v>3</v>
      </c>
      <c r="C20" s="253">
        <v>924370.12797318376</v>
      </c>
      <c r="D20" s="255">
        <v>9983.9270589999996</v>
      </c>
      <c r="E20" s="52">
        <f t="shared" si="0"/>
        <v>934354.05503218377</v>
      </c>
      <c r="F20" s="58"/>
      <c r="G20" s="58">
        <v>12798</v>
      </c>
      <c r="H20" s="58">
        <v>24352</v>
      </c>
      <c r="I20" s="58"/>
      <c r="J20" s="58"/>
      <c r="K20" s="58"/>
      <c r="L20" s="58"/>
      <c r="M20" s="58"/>
      <c r="N20" s="58"/>
      <c r="O20" s="58"/>
      <c r="P20" s="58"/>
      <c r="Q20" s="46">
        <f t="shared" si="1"/>
        <v>37150</v>
      </c>
      <c r="R20" s="66"/>
      <c r="S20" s="46">
        <f t="shared" si="2"/>
        <v>971504.05503218377</v>
      </c>
      <c r="T20" s="35">
        <f t="shared" si="4"/>
        <v>3.9760088587318609E-2</v>
      </c>
      <c r="U20" s="35">
        <f t="shared" si="3"/>
        <v>5.0990318307178484E-2</v>
      </c>
    </row>
    <row r="21" spans="1:21" s="26" customFormat="1" ht="13.5" customHeight="1">
      <c r="A21" s="16" t="s">
        <v>20</v>
      </c>
      <c r="B21" s="17">
        <v>3</v>
      </c>
      <c r="C21" s="253">
        <v>1306754.5851154381</v>
      </c>
      <c r="D21" s="255">
        <v>13330.300019999999</v>
      </c>
      <c r="E21" s="52">
        <f t="shared" si="0"/>
        <v>1320084.8851354381</v>
      </c>
      <c r="F21" s="58"/>
      <c r="G21" s="58">
        <v>28999</v>
      </c>
      <c r="H21" s="58">
        <v>38571</v>
      </c>
      <c r="I21" s="162">
        <v>49000</v>
      </c>
      <c r="J21" s="162">
        <v>49000</v>
      </c>
      <c r="K21" s="58"/>
      <c r="L21" s="58"/>
      <c r="M21" s="58"/>
      <c r="N21" s="58"/>
      <c r="O21" s="58"/>
      <c r="P21" s="58"/>
      <c r="Q21" s="46">
        <f t="shared" si="1"/>
        <v>165570</v>
      </c>
      <c r="R21" s="66">
        <f>1+1</f>
        <v>2</v>
      </c>
      <c r="S21" s="46">
        <f t="shared" si="2"/>
        <v>1485654.8851354381</v>
      </c>
      <c r="T21" s="35">
        <f t="shared" si="4"/>
        <v>0.12542375256649718</v>
      </c>
      <c r="U21" s="35">
        <f t="shared" si="3"/>
        <v>0.13690428337329763</v>
      </c>
    </row>
    <row r="22" spans="1:21" s="26" customFormat="1" ht="13.5" customHeight="1">
      <c r="A22" s="16" t="s">
        <v>21</v>
      </c>
      <c r="B22" s="17">
        <v>3</v>
      </c>
      <c r="C22" s="253">
        <v>1128977.6082525733</v>
      </c>
      <c r="D22" s="255">
        <v>14358.949932</v>
      </c>
      <c r="E22" s="52">
        <f t="shared" si="0"/>
        <v>1143336.5581845732</v>
      </c>
      <c r="F22" s="58"/>
      <c r="G22" s="58">
        <v>15426</v>
      </c>
      <c r="H22" s="58">
        <f>46400+32728</f>
        <v>79128</v>
      </c>
      <c r="I22" s="58"/>
      <c r="J22" s="58"/>
      <c r="K22" s="58"/>
      <c r="L22" s="58"/>
      <c r="M22" s="58"/>
      <c r="N22" s="58"/>
      <c r="O22" s="58"/>
      <c r="P22" s="58"/>
      <c r="Q22" s="46">
        <f t="shared" si="1"/>
        <v>94554</v>
      </c>
      <c r="R22" s="66"/>
      <c r="S22" s="46">
        <f t="shared" si="2"/>
        <v>1237890.5581845732</v>
      </c>
      <c r="T22" s="35">
        <f t="shared" si="4"/>
        <v>8.2700058283919464E-2</v>
      </c>
      <c r="U22" s="35">
        <f t="shared" si="3"/>
        <v>9.64704252200137E-2</v>
      </c>
    </row>
    <row r="23" spans="1:21" s="26" customFormat="1" ht="13.5" customHeight="1">
      <c r="A23" s="16" t="s">
        <v>22</v>
      </c>
      <c r="B23" s="17">
        <v>3</v>
      </c>
      <c r="C23" s="253">
        <v>1148148.0297307179</v>
      </c>
      <c r="D23" s="255">
        <v>14699.757613000002</v>
      </c>
      <c r="E23" s="52">
        <f t="shared" si="0"/>
        <v>1162847.7873437179</v>
      </c>
      <c r="F23" s="58"/>
      <c r="G23" s="58">
        <v>13212</v>
      </c>
      <c r="H23" s="58">
        <f>78104</f>
        <v>78104</v>
      </c>
      <c r="I23" s="58"/>
      <c r="J23" s="58"/>
      <c r="K23" s="162">
        <v>14270</v>
      </c>
      <c r="L23" s="58"/>
      <c r="M23" s="58"/>
      <c r="N23" s="58"/>
      <c r="O23" s="58"/>
      <c r="P23" s="58"/>
      <c r="Q23" s="46">
        <f t="shared" si="1"/>
        <v>105586</v>
      </c>
      <c r="R23" s="65">
        <v>0.22</v>
      </c>
      <c r="S23" s="46">
        <f t="shared" si="2"/>
        <v>1268433.7873437179</v>
      </c>
      <c r="T23" s="35">
        <f t="shared" si="4"/>
        <v>9.0799502006353894E-2</v>
      </c>
      <c r="U23" s="35">
        <f t="shared" si="3"/>
        <v>0.10476502550042377</v>
      </c>
    </row>
    <row r="24" spans="1:21" s="26" customFormat="1" ht="13.5" customHeight="1">
      <c r="A24" s="16" t="s">
        <v>23</v>
      </c>
      <c r="B24" s="17">
        <v>3</v>
      </c>
      <c r="C24" s="253">
        <v>568909.17075554712</v>
      </c>
      <c r="D24" s="255">
        <v>6153.019690000001</v>
      </c>
      <c r="E24" s="52">
        <f t="shared" si="0"/>
        <v>575062.19044554711</v>
      </c>
      <c r="F24" s="58"/>
      <c r="G24" s="58">
        <v>10000</v>
      </c>
      <c r="H24" s="58">
        <f>12500+7200</f>
        <v>19700</v>
      </c>
      <c r="I24" s="58"/>
      <c r="J24" s="58"/>
      <c r="K24" s="58"/>
      <c r="L24" s="58"/>
      <c r="M24" s="58"/>
      <c r="N24" s="58"/>
      <c r="O24" s="58"/>
      <c r="P24" s="58"/>
      <c r="Q24" s="46">
        <f t="shared" si="1"/>
        <v>29700</v>
      </c>
      <c r="R24" s="66"/>
      <c r="S24" s="46">
        <f t="shared" si="2"/>
        <v>604762.19044554711</v>
      </c>
      <c r="T24" s="35">
        <f t="shared" si="4"/>
        <v>5.1646587957711265E-2</v>
      </c>
      <c r="U24" s="35">
        <f t="shared" si="3"/>
        <v>6.3020639379718357E-2</v>
      </c>
    </row>
    <row r="25" spans="1:21" s="26" customFormat="1" ht="13.5" customHeight="1">
      <c r="A25" s="16" t="s">
        <v>24</v>
      </c>
      <c r="B25" s="17">
        <v>3</v>
      </c>
      <c r="C25" s="253">
        <v>1298780.1345464382</v>
      </c>
      <c r="D25" s="255">
        <v>15678.798728</v>
      </c>
      <c r="E25" s="52">
        <f t="shared" si="0"/>
        <v>1314458.9332744381</v>
      </c>
      <c r="F25" s="58"/>
      <c r="G25" s="58">
        <v>17500</v>
      </c>
      <c r="H25" s="58"/>
      <c r="I25" s="162">
        <v>109090</v>
      </c>
      <c r="J25" s="58"/>
      <c r="K25" s="58"/>
      <c r="L25" s="58"/>
      <c r="M25" s="58"/>
      <c r="N25" s="58"/>
      <c r="O25" s="58"/>
      <c r="P25" s="58"/>
      <c r="Q25" s="46">
        <f t="shared" si="1"/>
        <v>126590</v>
      </c>
      <c r="R25" s="66">
        <v>2.5</v>
      </c>
      <c r="S25" s="46">
        <f t="shared" si="2"/>
        <v>1441048.9332744381</v>
      </c>
      <c r="T25" s="35">
        <f t="shared" si="4"/>
        <v>9.6305785441811231E-2</v>
      </c>
      <c r="U25" s="35">
        <f t="shared" si="3"/>
        <v>0.10954032552837223</v>
      </c>
    </row>
    <row r="26" spans="1:21" s="26" customFormat="1" ht="13.5" customHeight="1">
      <c r="A26" s="16" t="s">
        <v>25</v>
      </c>
      <c r="B26" s="17">
        <v>3</v>
      </c>
      <c r="C26" s="253">
        <v>1199403.2573326579</v>
      </c>
      <c r="D26" s="255">
        <v>18648.917587</v>
      </c>
      <c r="E26" s="52">
        <f t="shared" si="0"/>
        <v>1218052.1749196579</v>
      </c>
      <c r="F26" s="58"/>
      <c r="G26" s="58">
        <v>7949</v>
      </c>
      <c r="H26" s="58">
        <v>63484</v>
      </c>
      <c r="I26" s="58"/>
      <c r="J26" s="58"/>
      <c r="K26" s="58">
        <v>78705</v>
      </c>
      <c r="L26" s="58"/>
      <c r="M26" s="58"/>
      <c r="N26" s="58"/>
      <c r="O26" s="58"/>
      <c r="P26" s="58"/>
      <c r="Q26" s="46">
        <f t="shared" si="1"/>
        <v>150138</v>
      </c>
      <c r="R26" s="66"/>
      <c r="S26" s="46">
        <f t="shared" si="2"/>
        <v>1368190.1749196579</v>
      </c>
      <c r="T26" s="35">
        <f t="shared" si="4"/>
        <v>0.12326072978762426</v>
      </c>
      <c r="U26" s="35">
        <f t="shared" si="3"/>
        <v>0.14072574553646255</v>
      </c>
    </row>
    <row r="27" spans="1:21" s="26" customFormat="1">
      <c r="A27" s="16" t="s">
        <v>26</v>
      </c>
      <c r="B27" s="17">
        <v>3</v>
      </c>
      <c r="C27" s="253">
        <v>704723.49500453321</v>
      </c>
      <c r="D27" s="255">
        <v>8836.5766619999995</v>
      </c>
      <c r="E27" s="52">
        <f t="shared" si="0"/>
        <v>713560.07166653324</v>
      </c>
      <c r="F27" s="58"/>
      <c r="G27" s="58">
        <v>9725</v>
      </c>
      <c r="H27" s="58">
        <v>15761</v>
      </c>
      <c r="I27" s="58"/>
      <c r="J27" s="162">
        <v>58352</v>
      </c>
      <c r="K27" s="58"/>
      <c r="L27" s="58"/>
      <c r="M27" s="58"/>
      <c r="N27" s="58"/>
      <c r="O27" s="58"/>
      <c r="P27" s="58"/>
      <c r="Q27" s="46">
        <f t="shared" si="1"/>
        <v>83838</v>
      </c>
      <c r="R27" s="66">
        <v>1</v>
      </c>
      <c r="S27" s="46">
        <f t="shared" si="2"/>
        <v>797398.07166653324</v>
      </c>
      <c r="T27" s="35">
        <f t="shared" si="4"/>
        <v>0.11749256065322533</v>
      </c>
      <c r="U27" s="35">
        <f t="shared" si="3"/>
        <v>0.13150487718790171</v>
      </c>
    </row>
    <row r="28" spans="1:21" s="26" customFormat="1" ht="13.5" customHeight="1">
      <c r="A28" s="16" t="s">
        <v>27</v>
      </c>
      <c r="B28" s="17">
        <v>4</v>
      </c>
      <c r="C28" s="253">
        <v>3063819.4898824035</v>
      </c>
      <c r="D28" s="255">
        <v>48750.344624999998</v>
      </c>
      <c r="E28" s="52">
        <f t="shared" si="0"/>
        <v>3112569.8345074034</v>
      </c>
      <c r="F28" s="58"/>
      <c r="G28" s="58">
        <v>60914</v>
      </c>
      <c r="H28" s="58">
        <f>666002+16292</f>
        <v>682294</v>
      </c>
      <c r="I28" s="58"/>
      <c r="J28" s="58"/>
      <c r="K28" s="162">
        <f>852667+96491</f>
        <v>949158</v>
      </c>
      <c r="L28" s="58"/>
      <c r="M28" s="58"/>
      <c r="N28" s="58"/>
      <c r="O28" s="58"/>
      <c r="P28" s="58"/>
      <c r="Q28" s="46">
        <f t="shared" si="1"/>
        <v>1692366</v>
      </c>
      <c r="R28" s="66">
        <v>10.72</v>
      </c>
      <c r="S28" s="46">
        <f t="shared" si="2"/>
        <v>4804935.8345074039</v>
      </c>
      <c r="T28" s="35">
        <f t="shared" si="4"/>
        <v>0.54371984886496039</v>
      </c>
      <c r="U28" s="35">
        <f t="shared" si="3"/>
        <v>0.56828293911395811</v>
      </c>
    </row>
    <row r="29" spans="1:21" s="26" customFormat="1" ht="13.5" customHeight="1">
      <c r="A29" s="16" t="s">
        <v>28</v>
      </c>
      <c r="B29" s="17">
        <v>4</v>
      </c>
      <c r="C29" s="253">
        <v>1557901.7635374721</v>
      </c>
      <c r="D29" s="255">
        <v>18454.225001000003</v>
      </c>
      <c r="E29" s="52">
        <f t="shared" si="0"/>
        <v>1576355.9885384722</v>
      </c>
      <c r="F29" s="58"/>
      <c r="G29" s="58"/>
      <c r="H29" s="58"/>
      <c r="I29" s="162">
        <v>48457</v>
      </c>
      <c r="J29" s="58"/>
      <c r="K29" s="58"/>
      <c r="L29" s="58"/>
      <c r="M29" s="58"/>
      <c r="N29" s="58"/>
      <c r="O29" s="58"/>
      <c r="P29" s="58"/>
      <c r="Q29" s="46">
        <f t="shared" si="1"/>
        <v>48457</v>
      </c>
      <c r="R29" s="66">
        <v>1</v>
      </c>
      <c r="S29" s="46">
        <f t="shared" si="2"/>
        <v>1624812.9885384722</v>
      </c>
      <c r="T29" s="35">
        <f t="shared" si="4"/>
        <v>3.0739883853854177E-2</v>
      </c>
      <c r="U29" s="35">
        <f t="shared" si="3"/>
        <v>4.2949579085825862E-2</v>
      </c>
    </row>
    <row r="30" spans="1:21" s="26" customFormat="1" ht="13.5" customHeight="1">
      <c r="A30" s="16" t="s">
        <v>29</v>
      </c>
      <c r="B30" s="17">
        <v>4</v>
      </c>
      <c r="C30" s="253">
        <v>1857621.4224692769</v>
      </c>
      <c r="D30" s="255">
        <v>24460.543118559999</v>
      </c>
      <c r="E30" s="52">
        <f t="shared" si="0"/>
        <v>1882081.9655878369</v>
      </c>
      <c r="F30" s="58"/>
      <c r="G30" s="58">
        <v>42720</v>
      </c>
      <c r="H30" s="58">
        <f>54000+50000</f>
        <v>104000</v>
      </c>
      <c r="I30" s="162">
        <v>184800</v>
      </c>
      <c r="J30" s="58"/>
      <c r="K30" s="58"/>
      <c r="L30" s="58">
        <v>70000</v>
      </c>
      <c r="M30" s="58"/>
      <c r="N30" s="58"/>
      <c r="O30" s="58"/>
      <c r="P30" s="58"/>
      <c r="Q30" s="46">
        <f t="shared" si="1"/>
        <v>401520</v>
      </c>
      <c r="R30" s="66">
        <v>3</v>
      </c>
      <c r="S30" s="46">
        <f t="shared" si="2"/>
        <v>2283601.9655878367</v>
      </c>
      <c r="T30" s="35">
        <f t="shared" si="4"/>
        <v>0.21333821126891883</v>
      </c>
      <c r="U30" s="35">
        <f t="shared" si="3"/>
        <v>0.22931504663222357</v>
      </c>
    </row>
    <row r="31" spans="1:21" s="26" customFormat="1" ht="13.5" customHeight="1">
      <c r="A31" s="16" t="s">
        <v>30</v>
      </c>
      <c r="B31" s="17">
        <v>4</v>
      </c>
      <c r="C31" s="253">
        <v>2009733.3847616124</v>
      </c>
      <c r="D31" s="255">
        <v>30989.550552000001</v>
      </c>
      <c r="E31" s="52">
        <f t="shared" si="0"/>
        <v>2040722.9353136125</v>
      </c>
      <c r="F31" s="58"/>
      <c r="G31" s="58">
        <v>15714</v>
      </c>
      <c r="H31" s="58">
        <v>102519</v>
      </c>
      <c r="I31" s="162">
        <f>53129+53129+53129+53129</f>
        <v>212516</v>
      </c>
      <c r="J31" s="162">
        <v>71616</v>
      </c>
      <c r="K31" s="58"/>
      <c r="L31" s="58"/>
      <c r="M31" s="58"/>
      <c r="N31" s="58"/>
      <c r="O31" s="58"/>
      <c r="P31" s="58"/>
      <c r="Q31" s="46">
        <f t="shared" si="1"/>
        <v>402365</v>
      </c>
      <c r="R31" s="66">
        <f>1+1+1+1+1</f>
        <v>5</v>
      </c>
      <c r="S31" s="46">
        <f t="shared" si="2"/>
        <v>2443087.9353136122</v>
      </c>
      <c r="T31" s="35">
        <f t="shared" si="4"/>
        <v>0.19716787273631797</v>
      </c>
      <c r="U31" s="35">
        <f t="shared" si="3"/>
        <v>0.21562788071185013</v>
      </c>
    </row>
    <row r="32" spans="1:21" s="26" customFormat="1" ht="13.5" customHeight="1">
      <c r="A32" s="16" t="s">
        <v>31</v>
      </c>
      <c r="B32" s="17">
        <v>4</v>
      </c>
      <c r="C32" s="253">
        <v>3029669.554779971</v>
      </c>
      <c r="D32" s="255">
        <v>41439.559609999997</v>
      </c>
      <c r="E32" s="52">
        <f t="shared" si="0"/>
        <v>3071109.1143899709</v>
      </c>
      <c r="F32" s="58">
        <v>10716</v>
      </c>
      <c r="G32" s="58"/>
      <c r="H32" s="58">
        <f>63988+18208</f>
        <v>82196</v>
      </c>
      <c r="I32" s="58"/>
      <c r="J32" s="58"/>
      <c r="K32" s="162">
        <v>95530</v>
      </c>
      <c r="L32" s="58"/>
      <c r="M32" s="58"/>
      <c r="N32" s="58"/>
      <c r="O32" s="58"/>
      <c r="P32" s="58"/>
      <c r="Q32" s="46">
        <f t="shared" si="1"/>
        <v>188442</v>
      </c>
      <c r="R32" s="66">
        <v>2</v>
      </c>
      <c r="S32" s="46">
        <f t="shared" si="2"/>
        <v>3259551.1143899709</v>
      </c>
      <c r="T32" s="35">
        <f t="shared" si="4"/>
        <v>6.135959126852164E-2</v>
      </c>
      <c r="U32" s="35">
        <f t="shared" si="3"/>
        <v>7.5876776477920238E-2</v>
      </c>
    </row>
    <row r="33" spans="1:21" s="26" customFormat="1" ht="13.5" customHeight="1">
      <c r="A33" s="16" t="s">
        <v>32</v>
      </c>
      <c r="B33" s="17">
        <v>4</v>
      </c>
      <c r="C33" s="253">
        <v>1593029.1728064942</v>
      </c>
      <c r="D33" s="255">
        <v>21018.818771169037</v>
      </c>
      <c r="E33" s="52">
        <f t="shared" si="0"/>
        <v>1614047.9915776632</v>
      </c>
      <c r="F33" s="58"/>
      <c r="G33" s="58"/>
      <c r="H33" s="58">
        <v>137515</v>
      </c>
      <c r="I33" s="58"/>
      <c r="J33" s="162">
        <v>96236</v>
      </c>
      <c r="K33" s="58"/>
      <c r="L33" s="58"/>
      <c r="M33" s="58"/>
      <c r="N33" s="58"/>
      <c r="O33" s="58"/>
      <c r="P33" s="58"/>
      <c r="Q33" s="46">
        <f t="shared" si="1"/>
        <v>233751</v>
      </c>
      <c r="R33" s="66">
        <v>2</v>
      </c>
      <c r="S33" s="46">
        <f t="shared" si="2"/>
        <v>1847798.9915776632</v>
      </c>
      <c r="T33" s="35">
        <f t="shared" si="4"/>
        <v>0.14482283130349694</v>
      </c>
      <c r="U33" s="35">
        <f t="shared" si="3"/>
        <v>0.15992790535174706</v>
      </c>
    </row>
    <row r="34" spans="1:21" s="26" customFormat="1" ht="13.5" customHeight="1">
      <c r="A34" s="16" t="s">
        <v>33</v>
      </c>
      <c r="B34" s="17">
        <v>4</v>
      </c>
      <c r="C34" s="253">
        <v>2193535.928849957</v>
      </c>
      <c r="D34" s="255">
        <v>32192.571596000002</v>
      </c>
      <c r="E34" s="52">
        <f t="shared" ref="E34:E65" si="5">C34+D34</f>
        <v>2225728.5004459568</v>
      </c>
      <c r="F34" s="58"/>
      <c r="G34" s="58">
        <v>24630</v>
      </c>
      <c r="H34" s="58">
        <v>98686</v>
      </c>
      <c r="I34" s="58"/>
      <c r="J34" s="162">
        <v>71444</v>
      </c>
      <c r="K34" s="58"/>
      <c r="L34" s="58"/>
      <c r="M34" s="58"/>
      <c r="N34" s="58"/>
      <c r="O34" s="58"/>
      <c r="P34" s="58"/>
      <c r="Q34" s="46">
        <f t="shared" ref="Q34:Q54" si="6">SUM(F34:P34)</f>
        <v>194760</v>
      </c>
      <c r="R34" s="66">
        <v>1</v>
      </c>
      <c r="S34" s="46">
        <f t="shared" ref="S34:S68" si="7">E34+Q34</f>
        <v>2420488.5004459568</v>
      </c>
      <c r="T34" s="35">
        <f t="shared" ref="T34:T65" si="8">S34/E34-1</f>
        <v>8.7503934087637791E-2</v>
      </c>
      <c r="U34" s="35">
        <f t="shared" ref="U34:U68" si="9">S34/C34-1</f>
        <v>0.10346425996996933</v>
      </c>
    </row>
    <row r="35" spans="1:21" s="26" customFormat="1" ht="13.5" customHeight="1">
      <c r="A35" s="16" t="s">
        <v>34</v>
      </c>
      <c r="B35" s="17">
        <v>4</v>
      </c>
      <c r="C35" s="253">
        <v>1941030.192744473</v>
      </c>
      <c r="D35" s="255">
        <v>29638.714400000001</v>
      </c>
      <c r="E35" s="52">
        <f t="shared" si="5"/>
        <v>1970668.9071444729</v>
      </c>
      <c r="F35" s="58"/>
      <c r="G35" s="58">
        <v>33556</v>
      </c>
      <c r="H35" s="58"/>
      <c r="I35" s="58"/>
      <c r="J35" s="58"/>
      <c r="K35" s="58">
        <v>402987</v>
      </c>
      <c r="L35" s="58"/>
      <c r="M35" s="58"/>
      <c r="N35" s="58"/>
      <c r="O35" s="58"/>
      <c r="P35" s="58"/>
      <c r="Q35" s="46">
        <f t="shared" si="6"/>
        <v>436543</v>
      </c>
      <c r="R35" s="66"/>
      <c r="S35" s="46">
        <f t="shared" si="7"/>
        <v>2407211.9071444729</v>
      </c>
      <c r="T35" s="35">
        <f t="shared" si="8"/>
        <v>0.22152021499773755</v>
      </c>
      <c r="U35" s="35">
        <f t="shared" si="9"/>
        <v>0.24017231475459622</v>
      </c>
    </row>
    <row r="36" spans="1:21" s="26" customFormat="1" ht="13.5" customHeight="1">
      <c r="A36" s="16" t="s">
        <v>35</v>
      </c>
      <c r="B36" s="17">
        <v>4</v>
      </c>
      <c r="C36" s="253">
        <v>1687871.4594191166</v>
      </c>
      <c r="D36" s="255">
        <v>22803.311220000003</v>
      </c>
      <c r="E36" s="52">
        <f t="shared" si="5"/>
        <v>1710674.7706391166</v>
      </c>
      <c r="F36" s="58"/>
      <c r="G36" s="58">
        <v>33660</v>
      </c>
      <c r="H36" s="58">
        <v>68845</v>
      </c>
      <c r="I36" s="58"/>
      <c r="J36" s="58"/>
      <c r="K36" s="162">
        <f>15646+215365</f>
        <v>231011</v>
      </c>
      <c r="L36" s="58"/>
      <c r="M36" s="58"/>
      <c r="N36" s="58"/>
      <c r="O36" s="58"/>
      <c r="P36" s="58"/>
      <c r="Q36" s="46">
        <f t="shared" si="6"/>
        <v>333516</v>
      </c>
      <c r="R36" s="66">
        <v>0.85</v>
      </c>
      <c r="S36" s="46">
        <f t="shared" si="7"/>
        <v>2044190.7706391166</v>
      </c>
      <c r="T36" s="35">
        <f t="shared" si="8"/>
        <v>0.19496166408966031</v>
      </c>
      <c r="U36" s="35">
        <f t="shared" si="9"/>
        <v>0.21110571497110797</v>
      </c>
    </row>
    <row r="37" spans="1:21" s="26" customFormat="1" ht="13.5" customHeight="1">
      <c r="A37" s="16" t="s">
        <v>36</v>
      </c>
      <c r="B37" s="17">
        <v>5</v>
      </c>
      <c r="C37" s="253">
        <v>5924258.6490596049</v>
      </c>
      <c r="D37" s="255">
        <v>76808.892504000003</v>
      </c>
      <c r="E37" s="52">
        <f t="shared" si="5"/>
        <v>6001067.541563605</v>
      </c>
      <c r="F37" s="58"/>
      <c r="G37" s="58">
        <v>55786</v>
      </c>
      <c r="H37" s="58">
        <f>300701+8730</f>
        <v>309431</v>
      </c>
      <c r="I37" s="58"/>
      <c r="J37" s="58"/>
      <c r="K37" s="58"/>
      <c r="L37" s="58"/>
      <c r="M37" s="58"/>
      <c r="N37" s="58"/>
      <c r="O37" s="58"/>
      <c r="P37" s="58"/>
      <c r="Q37" s="46">
        <f t="shared" si="6"/>
        <v>365217</v>
      </c>
      <c r="R37" s="66"/>
      <c r="S37" s="46">
        <f t="shared" si="7"/>
        <v>6366284.541563605</v>
      </c>
      <c r="T37" s="35">
        <f t="shared" si="8"/>
        <v>6.0858671806390152E-2</v>
      </c>
      <c r="U37" s="35">
        <f t="shared" si="9"/>
        <v>7.4612861910437589E-2</v>
      </c>
    </row>
    <row r="38" spans="1:21" s="26" customFormat="1" ht="13.5" customHeight="1">
      <c r="A38" s="16" t="s">
        <v>37</v>
      </c>
      <c r="B38" s="17">
        <v>5</v>
      </c>
      <c r="C38" s="253">
        <v>3607348.7005813592</v>
      </c>
      <c r="D38" s="255">
        <v>42079.793673</v>
      </c>
      <c r="E38" s="52">
        <f t="shared" si="5"/>
        <v>3649428.494254359</v>
      </c>
      <c r="F38" s="58"/>
      <c r="G38" s="58">
        <v>32060</v>
      </c>
      <c r="H38" s="58">
        <v>185410</v>
      </c>
      <c r="I38" s="58"/>
      <c r="J38" s="58"/>
      <c r="K38" s="58"/>
      <c r="L38" s="58"/>
      <c r="M38" s="58"/>
      <c r="N38" s="58"/>
      <c r="O38" s="58"/>
      <c r="P38" s="58"/>
      <c r="Q38" s="46">
        <f t="shared" si="6"/>
        <v>217470</v>
      </c>
      <c r="R38" s="66"/>
      <c r="S38" s="46">
        <f t="shared" si="7"/>
        <v>3866898.494254359</v>
      </c>
      <c r="T38" s="35">
        <f t="shared" si="8"/>
        <v>5.9590152360125215E-2</v>
      </c>
      <c r="U38" s="35">
        <f t="shared" si="9"/>
        <v>7.195029236601691E-2</v>
      </c>
    </row>
    <row r="39" spans="1:21" s="26" customFormat="1" ht="13.5" customHeight="1">
      <c r="A39" s="16" t="s">
        <v>38</v>
      </c>
      <c r="B39" s="17">
        <v>5</v>
      </c>
      <c r="C39" s="253">
        <v>3737552.9093964566</v>
      </c>
      <c r="D39" s="255">
        <v>54637.433878999997</v>
      </c>
      <c r="E39" s="52">
        <f t="shared" si="5"/>
        <v>3792190.3432754567</v>
      </c>
      <c r="F39" s="58">
        <v>6505</v>
      </c>
      <c r="G39" s="58"/>
      <c r="H39" s="58">
        <v>112344</v>
      </c>
      <c r="I39" s="162">
        <v>87000</v>
      </c>
      <c r="J39" s="58"/>
      <c r="K39" s="58"/>
      <c r="L39" s="58"/>
      <c r="M39" s="58"/>
      <c r="N39" s="58"/>
      <c r="O39" s="58"/>
      <c r="P39" s="58"/>
      <c r="Q39" s="46">
        <f t="shared" si="6"/>
        <v>205849</v>
      </c>
      <c r="R39" s="66">
        <v>1</v>
      </c>
      <c r="S39" s="46">
        <f t="shared" si="7"/>
        <v>3998039.3432754567</v>
      </c>
      <c r="T39" s="35">
        <f t="shared" si="8"/>
        <v>5.428234908224594E-2</v>
      </c>
      <c r="U39" s="35">
        <f t="shared" si="9"/>
        <v>6.9694380305391768E-2</v>
      </c>
    </row>
    <row r="40" spans="1:21" s="26" customFormat="1" ht="13.5" customHeight="1">
      <c r="A40" s="16" t="s">
        <v>39</v>
      </c>
      <c r="B40" s="17">
        <v>5</v>
      </c>
      <c r="C40" s="253">
        <v>3487927.0325470357</v>
      </c>
      <c r="D40" s="255">
        <v>44983.376539999997</v>
      </c>
      <c r="E40" s="52">
        <f t="shared" si="5"/>
        <v>3532910.4090870358</v>
      </c>
      <c r="F40" s="58"/>
      <c r="G40" s="58">
        <v>87734</v>
      </c>
      <c r="H40" s="58">
        <f>268479+171806</f>
        <v>440285</v>
      </c>
      <c r="I40" s="58"/>
      <c r="J40" s="58"/>
      <c r="K40" s="58"/>
      <c r="L40" s="58"/>
      <c r="M40" s="58"/>
      <c r="N40" s="58"/>
      <c r="O40" s="58"/>
      <c r="P40" s="58"/>
      <c r="Q40" s="46">
        <f t="shared" si="6"/>
        <v>528019</v>
      </c>
      <c r="R40" s="66"/>
      <c r="S40" s="46">
        <f t="shared" si="7"/>
        <v>4060929.4090870358</v>
      </c>
      <c r="T40" s="35">
        <f t="shared" si="8"/>
        <v>0.14945722898658187</v>
      </c>
      <c r="U40" s="35">
        <f t="shared" si="9"/>
        <v>0.16428164098420628</v>
      </c>
    </row>
    <row r="41" spans="1:21" s="26" customFormat="1" ht="13.5" customHeight="1">
      <c r="A41" s="16" t="s">
        <v>40</v>
      </c>
      <c r="B41" s="17">
        <v>5</v>
      </c>
      <c r="C41" s="253">
        <v>3572364.8294009161</v>
      </c>
      <c r="D41" s="255">
        <v>40073.022314000009</v>
      </c>
      <c r="E41" s="52">
        <f t="shared" si="5"/>
        <v>3612437.8517149161</v>
      </c>
      <c r="F41" s="58"/>
      <c r="G41" s="58">
        <v>23835</v>
      </c>
      <c r="H41" s="58">
        <v>307688</v>
      </c>
      <c r="I41" s="58"/>
      <c r="J41" s="58"/>
      <c r="K41" s="58"/>
      <c r="L41" s="58"/>
      <c r="M41" s="162">
        <v>125778</v>
      </c>
      <c r="N41" s="58"/>
      <c r="O41" s="58"/>
      <c r="P41" s="58"/>
      <c r="Q41" s="46">
        <f t="shared" si="6"/>
        <v>457301</v>
      </c>
      <c r="R41" s="66">
        <v>2</v>
      </c>
      <c r="S41" s="46">
        <f t="shared" si="7"/>
        <v>4069738.8517149161</v>
      </c>
      <c r="T41" s="35">
        <f t="shared" si="8"/>
        <v>0.12659068993613487</v>
      </c>
      <c r="U41" s="35">
        <f t="shared" si="9"/>
        <v>0.13922822725735129</v>
      </c>
    </row>
    <row r="42" spans="1:21" s="26" customFormat="1" ht="13.5" customHeight="1">
      <c r="A42" s="16" t="s">
        <v>41</v>
      </c>
      <c r="B42" s="17">
        <v>5</v>
      </c>
      <c r="C42" s="253">
        <v>3577729.3127536457</v>
      </c>
      <c r="D42" s="255">
        <v>52866.216639999999</v>
      </c>
      <c r="E42" s="52">
        <f t="shared" si="5"/>
        <v>3630595.5293936459</v>
      </c>
      <c r="F42" s="58"/>
      <c r="G42" s="58">
        <v>445830</v>
      </c>
      <c r="H42" s="58">
        <v>261620</v>
      </c>
      <c r="I42" s="58"/>
      <c r="J42" s="58"/>
      <c r="K42" s="58">
        <v>129786</v>
      </c>
      <c r="L42" s="58"/>
      <c r="M42" s="58"/>
      <c r="N42" s="58"/>
      <c r="O42" s="58"/>
      <c r="P42" s="58"/>
      <c r="Q42" s="46">
        <f t="shared" si="6"/>
        <v>837236</v>
      </c>
      <c r="R42" s="66"/>
      <c r="S42" s="46">
        <f t="shared" si="7"/>
        <v>4467831.5293936459</v>
      </c>
      <c r="T42" s="35">
        <f t="shared" si="8"/>
        <v>0.23060569353475424</v>
      </c>
      <c r="U42" s="35">
        <f t="shared" si="9"/>
        <v>0.24878970397984679</v>
      </c>
    </row>
    <row r="43" spans="1:21" s="26" customFormat="1" ht="13.5" customHeight="1">
      <c r="A43" s="16" t="s">
        <v>42</v>
      </c>
      <c r="B43" s="17">
        <v>5</v>
      </c>
      <c r="C43" s="253">
        <v>3716894.5437888196</v>
      </c>
      <c r="D43" s="255">
        <v>50568.145086700177</v>
      </c>
      <c r="E43" s="52">
        <f t="shared" si="5"/>
        <v>3767462.6888755197</v>
      </c>
      <c r="F43" s="58">
        <v>35659</v>
      </c>
      <c r="G43" s="58"/>
      <c r="H43" s="58"/>
      <c r="I43" s="58"/>
      <c r="J43" s="58"/>
      <c r="K43" s="58">
        <v>522624</v>
      </c>
      <c r="L43" s="58"/>
      <c r="M43" s="58"/>
      <c r="N43" s="58"/>
      <c r="O43" s="58"/>
      <c r="P43" s="58"/>
      <c r="Q43" s="46">
        <f t="shared" si="6"/>
        <v>558283</v>
      </c>
      <c r="R43" s="66"/>
      <c r="S43" s="46">
        <f t="shared" si="7"/>
        <v>4325745.6888755197</v>
      </c>
      <c r="T43" s="35">
        <f t="shared" si="8"/>
        <v>0.14818540914777611</v>
      </c>
      <c r="U43" s="35">
        <f t="shared" si="9"/>
        <v>0.16380640825662685</v>
      </c>
    </row>
    <row r="44" spans="1:21" s="26" customFormat="1" ht="13.5" customHeight="1">
      <c r="A44" s="16" t="s">
        <v>43</v>
      </c>
      <c r="B44" s="17">
        <v>5</v>
      </c>
      <c r="C44" s="253">
        <v>3655584.574165097</v>
      </c>
      <c r="D44" s="255">
        <v>50895.595095199998</v>
      </c>
      <c r="E44" s="52">
        <f t="shared" si="5"/>
        <v>3706480.169260297</v>
      </c>
      <c r="F44" s="58"/>
      <c r="G44" s="58">
        <v>61660</v>
      </c>
      <c r="H44" s="58">
        <f>195609+211903</f>
        <v>407512</v>
      </c>
      <c r="I44" s="162">
        <v>519068</v>
      </c>
      <c r="J44" s="58"/>
      <c r="K44" s="58"/>
      <c r="L44" s="58"/>
      <c r="M44" s="58"/>
      <c r="N44" s="58"/>
      <c r="O44" s="58"/>
      <c r="P44" s="58"/>
      <c r="Q44" s="46">
        <f t="shared" si="6"/>
        <v>988240</v>
      </c>
      <c r="R44" s="66">
        <v>8</v>
      </c>
      <c r="S44" s="46">
        <f t="shared" si="7"/>
        <v>4694720.169260297</v>
      </c>
      <c r="T44" s="35">
        <f t="shared" si="8"/>
        <v>0.26662492577080843</v>
      </c>
      <c r="U44" s="35">
        <f t="shared" si="9"/>
        <v>0.28425976037841472</v>
      </c>
    </row>
    <row r="45" spans="1:21" s="26" customFormat="1" ht="13.5" customHeight="1">
      <c r="A45" s="16" t="s">
        <v>44</v>
      </c>
      <c r="B45" s="17">
        <v>5</v>
      </c>
      <c r="C45" s="253">
        <v>3243588.8158480064</v>
      </c>
      <c r="D45" s="255">
        <v>46152.735752792803</v>
      </c>
      <c r="E45" s="52">
        <f t="shared" si="5"/>
        <v>3289741.5516007994</v>
      </c>
      <c r="F45" s="58"/>
      <c r="G45" s="58">
        <v>87594</v>
      </c>
      <c r="H45" s="58">
        <v>297879</v>
      </c>
      <c r="I45" s="58"/>
      <c r="J45" s="162">
        <v>134154</v>
      </c>
      <c r="K45" s="58">
        <v>918585</v>
      </c>
      <c r="L45" s="58"/>
      <c r="M45" s="58"/>
      <c r="N45" s="58"/>
      <c r="O45" s="58"/>
      <c r="P45" s="58"/>
      <c r="Q45" s="46">
        <f t="shared" si="6"/>
        <v>1438212</v>
      </c>
      <c r="R45" s="65">
        <f>15.68+2</f>
        <v>17.68</v>
      </c>
      <c r="S45" s="46">
        <f t="shared" si="7"/>
        <v>4727953.551600799</v>
      </c>
      <c r="T45" s="35">
        <f t="shared" si="8"/>
        <v>0.43718084762620957</v>
      </c>
      <c r="U45" s="35">
        <f t="shared" si="9"/>
        <v>0.4576303656308911</v>
      </c>
    </row>
    <row r="46" spans="1:21" s="26" customFormat="1" ht="13.5" customHeight="1">
      <c r="A46" s="16" t="s">
        <v>45</v>
      </c>
      <c r="B46" s="17">
        <v>6</v>
      </c>
      <c r="C46" s="253">
        <v>3941758.0786951818</v>
      </c>
      <c r="D46" s="255">
        <v>50195.492847459209</v>
      </c>
      <c r="E46" s="52">
        <f t="shared" si="5"/>
        <v>3991953.5715426411</v>
      </c>
      <c r="F46" s="58"/>
      <c r="G46" s="58">
        <v>24054</v>
      </c>
      <c r="H46" s="58">
        <v>214128</v>
      </c>
      <c r="I46" s="162">
        <v>95879</v>
      </c>
      <c r="J46" s="58"/>
      <c r="K46" s="58"/>
      <c r="L46" s="58"/>
      <c r="M46" s="58"/>
      <c r="N46" s="58"/>
      <c r="O46" s="58"/>
      <c r="P46" s="58"/>
      <c r="Q46" s="46">
        <f t="shared" si="6"/>
        <v>334061</v>
      </c>
      <c r="R46" s="66">
        <v>1</v>
      </c>
      <c r="S46" s="46">
        <f t="shared" si="7"/>
        <v>4326014.5715426411</v>
      </c>
      <c r="T46" s="35">
        <f t="shared" si="8"/>
        <v>8.3683588501983985E-2</v>
      </c>
      <c r="U46" s="35">
        <f t="shared" si="9"/>
        <v>9.7483530235995097E-2</v>
      </c>
    </row>
    <row r="47" spans="1:21" s="26" customFormat="1" ht="13.5" customHeight="1">
      <c r="A47" s="16" t="s">
        <v>46</v>
      </c>
      <c r="B47" s="17">
        <v>6</v>
      </c>
      <c r="C47" s="253">
        <v>11517991.535049893</v>
      </c>
      <c r="D47" s="255">
        <v>138124.578713</v>
      </c>
      <c r="E47" s="52">
        <f t="shared" si="5"/>
        <v>11656116.113762893</v>
      </c>
      <c r="F47" s="58"/>
      <c r="G47" s="58">
        <v>166864</v>
      </c>
      <c r="H47" s="58">
        <v>600000</v>
      </c>
      <c r="I47" s="162">
        <v>63000</v>
      </c>
      <c r="J47" s="58"/>
      <c r="K47" s="58"/>
      <c r="L47" s="58"/>
      <c r="M47" s="58"/>
      <c r="N47" s="58">
        <v>100000</v>
      </c>
      <c r="O47" s="58"/>
      <c r="P47" s="58"/>
      <c r="Q47" s="46">
        <f t="shared" si="6"/>
        <v>929864</v>
      </c>
      <c r="R47" s="66">
        <v>1</v>
      </c>
      <c r="S47" s="46">
        <f t="shared" si="7"/>
        <v>12585980.113762893</v>
      </c>
      <c r="T47" s="35">
        <f t="shared" si="8"/>
        <v>7.9774771538357214E-2</v>
      </c>
      <c r="U47" s="35">
        <f t="shared" si="9"/>
        <v>9.2723507867066068E-2</v>
      </c>
    </row>
    <row r="48" spans="1:21" s="26" customFormat="1" ht="13.5" customHeight="1">
      <c r="A48" s="16" t="s">
        <v>47</v>
      </c>
      <c r="B48" s="17">
        <v>6</v>
      </c>
      <c r="C48" s="253">
        <v>6549606.5919116838</v>
      </c>
      <c r="D48" s="255">
        <v>92475.281812000001</v>
      </c>
      <c r="E48" s="52">
        <f t="shared" si="5"/>
        <v>6642081.8737236839</v>
      </c>
      <c r="F48" s="58"/>
      <c r="G48" s="58"/>
      <c r="H48" s="58">
        <v>1508319</v>
      </c>
      <c r="I48" s="58"/>
      <c r="J48" s="58"/>
      <c r="K48" s="58"/>
      <c r="L48" s="58"/>
      <c r="M48" s="58"/>
      <c r="N48" s="58"/>
      <c r="O48" s="58"/>
      <c r="P48" s="58"/>
      <c r="Q48" s="46">
        <f t="shared" si="6"/>
        <v>1508319</v>
      </c>
      <c r="R48" s="66"/>
      <c r="S48" s="46">
        <f t="shared" si="7"/>
        <v>8150400.8737236839</v>
      </c>
      <c r="T48" s="35">
        <f t="shared" si="8"/>
        <v>0.22708527667612244</v>
      </c>
      <c r="U48" s="35">
        <f t="shared" si="9"/>
        <v>0.24441075343194996</v>
      </c>
    </row>
    <row r="49" spans="1:21" s="26" customFormat="1" ht="13.5" customHeight="1">
      <c r="A49" s="16" t="s">
        <v>48</v>
      </c>
      <c r="B49" s="17">
        <v>6</v>
      </c>
      <c r="C49" s="253">
        <v>7108406.4357385244</v>
      </c>
      <c r="D49" s="255">
        <v>75754.815195000003</v>
      </c>
      <c r="E49" s="52">
        <f t="shared" si="5"/>
        <v>7184161.2509335242</v>
      </c>
      <c r="F49" s="58"/>
      <c r="G49" s="58"/>
      <c r="H49" s="58">
        <v>151734</v>
      </c>
      <c r="I49" s="162">
        <v>163284</v>
      </c>
      <c r="J49" s="58"/>
      <c r="K49" s="58"/>
      <c r="L49" s="58"/>
      <c r="M49" s="58"/>
      <c r="N49" s="58"/>
      <c r="O49" s="58"/>
      <c r="P49" s="58"/>
      <c r="Q49" s="46">
        <f t="shared" si="6"/>
        <v>315018</v>
      </c>
      <c r="R49" s="66">
        <v>3</v>
      </c>
      <c r="S49" s="46">
        <f t="shared" si="7"/>
        <v>7499179.2509335242</v>
      </c>
      <c r="T49" s="35">
        <f t="shared" si="8"/>
        <v>4.3848960093854528E-2</v>
      </c>
      <c r="U49" s="35">
        <f t="shared" si="9"/>
        <v>5.4973335968851567E-2</v>
      </c>
    </row>
    <row r="50" spans="1:21" s="26" customFormat="1" ht="13.5" customHeight="1">
      <c r="A50" s="16" t="s">
        <v>49</v>
      </c>
      <c r="B50" s="17">
        <v>6</v>
      </c>
      <c r="C50" s="253">
        <v>6312466.3796340935</v>
      </c>
      <c r="D50" s="255">
        <v>81176.93888999999</v>
      </c>
      <c r="E50" s="52">
        <f t="shared" si="5"/>
        <v>6393643.3185240934</v>
      </c>
      <c r="F50" s="58">
        <v>56179</v>
      </c>
      <c r="G50" s="58">
        <v>183410</v>
      </c>
      <c r="H50" s="58">
        <v>357874</v>
      </c>
      <c r="I50" s="58"/>
      <c r="J50" s="162">
        <v>98730</v>
      </c>
      <c r="K50" s="58"/>
      <c r="L50" s="58"/>
      <c r="M50" s="58"/>
      <c r="N50" s="58"/>
      <c r="O50" s="58"/>
      <c r="P50" s="58"/>
      <c r="Q50" s="46">
        <f t="shared" si="6"/>
        <v>696193</v>
      </c>
      <c r="R50" s="66">
        <v>2</v>
      </c>
      <c r="S50" s="46">
        <f t="shared" si="7"/>
        <v>7089836.3185240934</v>
      </c>
      <c r="T50" s="35">
        <f t="shared" si="8"/>
        <v>0.10888830754492407</v>
      </c>
      <c r="U50" s="35">
        <f t="shared" si="9"/>
        <v>0.12314836897952097</v>
      </c>
    </row>
    <row r="51" spans="1:21" s="26" customFormat="1" ht="13.5" customHeight="1">
      <c r="A51" s="16" t="s">
        <v>50</v>
      </c>
      <c r="B51" s="17">
        <v>6</v>
      </c>
      <c r="C51" s="253">
        <v>6023069.4605719475</v>
      </c>
      <c r="D51" s="255">
        <v>72411.828588999997</v>
      </c>
      <c r="E51" s="52">
        <f t="shared" si="5"/>
        <v>6095481.2891609473</v>
      </c>
      <c r="F51" s="58">
        <v>1955</v>
      </c>
      <c r="G51" s="58">
        <v>64262</v>
      </c>
      <c r="H51" s="58">
        <v>197742</v>
      </c>
      <c r="I51" s="58"/>
      <c r="J51" s="58"/>
      <c r="K51" s="58"/>
      <c r="L51" s="58"/>
      <c r="M51" s="58"/>
      <c r="N51" s="58"/>
      <c r="O51" s="58">
        <v>52000</v>
      </c>
      <c r="P51" s="58"/>
      <c r="Q51" s="46">
        <f t="shared" si="6"/>
        <v>315959</v>
      </c>
      <c r="R51" s="66"/>
      <c r="S51" s="46">
        <f t="shared" si="7"/>
        <v>6411440.2891609473</v>
      </c>
      <c r="T51" s="35">
        <f t="shared" si="8"/>
        <v>5.1834955274465688E-2</v>
      </c>
      <c r="U51" s="35">
        <f t="shared" si="9"/>
        <v>6.4480549515715024E-2</v>
      </c>
    </row>
    <row r="52" spans="1:21" s="26" customFormat="1" ht="13.5" customHeight="1">
      <c r="A52" s="16" t="s">
        <v>51</v>
      </c>
      <c r="B52" s="17">
        <v>6</v>
      </c>
      <c r="C52" s="253">
        <v>6050340.6865703063</v>
      </c>
      <c r="D52" s="255">
        <v>71889.013714600005</v>
      </c>
      <c r="E52" s="52">
        <f t="shared" si="5"/>
        <v>6122229.7002849067</v>
      </c>
      <c r="F52" s="58"/>
      <c r="G52" s="58">
        <v>12290</v>
      </c>
      <c r="H52" s="58">
        <f>203118+200000</f>
        <v>403118</v>
      </c>
      <c r="I52" s="162">
        <v>20000</v>
      </c>
      <c r="J52" s="58"/>
      <c r="K52" s="58"/>
      <c r="L52" s="58"/>
      <c r="M52" s="58"/>
      <c r="N52" s="58"/>
      <c r="O52" s="58"/>
      <c r="P52" s="58"/>
      <c r="Q52" s="46">
        <f t="shared" si="6"/>
        <v>435408</v>
      </c>
      <c r="R52" s="65">
        <v>0.5</v>
      </c>
      <c r="S52" s="46">
        <f t="shared" si="7"/>
        <v>6557637.7002849067</v>
      </c>
      <c r="T52" s="35">
        <f t="shared" si="8"/>
        <v>7.1119187177792087E-2</v>
      </c>
      <c r="U52" s="35">
        <f t="shared" si="9"/>
        <v>8.3846024545465081E-2</v>
      </c>
    </row>
    <row r="53" spans="1:21" s="26" customFormat="1" ht="13.5" customHeight="1">
      <c r="A53" s="16" t="s">
        <v>52</v>
      </c>
      <c r="B53" s="17">
        <v>6</v>
      </c>
      <c r="C53" s="253">
        <v>6684669.8682746552</v>
      </c>
      <c r="D53" s="255">
        <v>78537.505864000006</v>
      </c>
      <c r="E53" s="52">
        <f t="shared" si="5"/>
        <v>6763207.3741386551</v>
      </c>
      <c r="F53" s="58"/>
      <c r="G53" s="58">
        <v>29106</v>
      </c>
      <c r="H53" s="58">
        <v>340031</v>
      </c>
      <c r="I53" s="162">
        <v>60715</v>
      </c>
      <c r="J53" s="58"/>
      <c r="K53" s="58"/>
      <c r="L53" s="58"/>
      <c r="M53" s="58"/>
      <c r="N53" s="58"/>
      <c r="O53" s="58"/>
      <c r="P53" s="58"/>
      <c r="Q53" s="46">
        <f t="shared" si="6"/>
        <v>429852</v>
      </c>
      <c r="R53" s="66">
        <v>0.75</v>
      </c>
      <c r="S53" s="46">
        <f t="shared" si="7"/>
        <v>7193059.3741386551</v>
      </c>
      <c r="T53" s="35">
        <f t="shared" si="8"/>
        <v>6.3557418281107392E-2</v>
      </c>
      <c r="U53" s="35">
        <f t="shared" si="9"/>
        <v>7.6053046131239643E-2</v>
      </c>
    </row>
    <row r="54" spans="1:21" s="26" customFormat="1" ht="13.5" customHeight="1">
      <c r="A54" s="16" t="s">
        <v>53</v>
      </c>
      <c r="B54" s="17">
        <v>6</v>
      </c>
      <c r="C54" s="253">
        <v>7898790.8338446869</v>
      </c>
      <c r="D54" s="255">
        <v>86695.637225000013</v>
      </c>
      <c r="E54" s="52">
        <f t="shared" si="5"/>
        <v>7985486.471069687</v>
      </c>
      <c r="F54" s="58"/>
      <c r="G54" s="58">
        <v>258719</v>
      </c>
      <c r="H54" s="58">
        <v>512004</v>
      </c>
      <c r="I54" s="58"/>
      <c r="J54" s="58"/>
      <c r="K54" s="58"/>
      <c r="L54" s="58"/>
      <c r="M54" s="58"/>
      <c r="N54" s="58"/>
      <c r="O54" s="58"/>
      <c r="P54" s="58"/>
      <c r="Q54" s="46">
        <f t="shared" si="6"/>
        <v>770723</v>
      </c>
      <c r="R54" s="66"/>
      <c r="S54" s="46">
        <f t="shared" si="7"/>
        <v>8756209.4710696861</v>
      </c>
      <c r="T54" s="35">
        <f t="shared" si="8"/>
        <v>9.6515472512817002E-2</v>
      </c>
      <c r="U54" s="35">
        <f t="shared" si="9"/>
        <v>0.10855061936203425</v>
      </c>
    </row>
    <row r="55" spans="1:21" s="26" customFormat="1" ht="13.5" customHeight="1">
      <c r="A55" s="16" t="s">
        <v>54</v>
      </c>
      <c r="B55" s="17">
        <v>6</v>
      </c>
      <c r="C55" s="253">
        <v>11837844.937983895</v>
      </c>
      <c r="D55" s="255">
        <v>157973.62269900003</v>
      </c>
      <c r="E55" s="52">
        <f t="shared" si="5"/>
        <v>11995818.560682895</v>
      </c>
      <c r="F55" s="58"/>
      <c r="G55" s="58">
        <v>381882</v>
      </c>
      <c r="H55" s="58">
        <f>595642+17334+93551</f>
        <v>706527</v>
      </c>
      <c r="I55" s="58"/>
      <c r="J55" s="58"/>
      <c r="K55" s="384">
        <v>-7486249</v>
      </c>
      <c r="L55" s="58"/>
      <c r="M55" s="58"/>
      <c r="N55" s="58">
        <v>105520</v>
      </c>
      <c r="O55" s="58"/>
      <c r="P55" s="58"/>
      <c r="Q55" s="46">
        <f>SUM(F55:P55)-K55</f>
        <v>1193929</v>
      </c>
      <c r="R55" s="66"/>
      <c r="S55" s="46">
        <f t="shared" si="7"/>
        <v>13189747.560682895</v>
      </c>
      <c r="T55" s="35">
        <f t="shared" si="8"/>
        <v>9.9528764457406993E-2</v>
      </c>
      <c r="U55" s="35">
        <f t="shared" si="9"/>
        <v>0.1142017512293283</v>
      </c>
    </row>
    <row r="56" spans="1:21" s="26" customFormat="1" ht="13.5" customHeight="1">
      <c r="A56" s="16" t="s">
        <v>55</v>
      </c>
      <c r="B56" s="17">
        <v>6</v>
      </c>
      <c r="C56" s="253">
        <v>6804945.6890191836</v>
      </c>
      <c r="D56" s="255">
        <v>68533.225799499996</v>
      </c>
      <c r="E56" s="52">
        <f t="shared" si="5"/>
        <v>6873478.9148186836</v>
      </c>
      <c r="F56" s="58"/>
      <c r="G56" s="58">
        <v>84860</v>
      </c>
      <c r="H56" s="58">
        <f>297279+506684</f>
        <v>803963</v>
      </c>
      <c r="I56" s="162">
        <f>122045+148864</f>
        <v>270909</v>
      </c>
      <c r="J56" s="58"/>
      <c r="K56" s="58"/>
      <c r="L56" s="58"/>
      <c r="M56" s="58"/>
      <c r="N56" s="58"/>
      <c r="O56" s="58"/>
      <c r="P56" s="58"/>
      <c r="Q56" s="46">
        <f t="shared" ref="Q56:Q68" si="10">SUM(F56:P56)</f>
        <v>1159732</v>
      </c>
      <c r="R56" s="66">
        <f>1+2</f>
        <v>3</v>
      </c>
      <c r="S56" s="46">
        <f t="shared" si="7"/>
        <v>8033210.9148186836</v>
      </c>
      <c r="T56" s="35">
        <f t="shared" si="8"/>
        <v>0.16872562124249901</v>
      </c>
      <c r="U56" s="35">
        <f t="shared" si="9"/>
        <v>0.18049596307307691</v>
      </c>
    </row>
    <row r="57" spans="1:21" s="26" customFormat="1" ht="13.5" customHeight="1">
      <c r="A57" s="16" t="s">
        <v>56</v>
      </c>
      <c r="B57" s="17">
        <v>6</v>
      </c>
      <c r="C57" s="253">
        <v>8275600.5546593918</v>
      </c>
      <c r="D57" s="255">
        <v>98784.876451999997</v>
      </c>
      <c r="E57" s="52">
        <f t="shared" si="5"/>
        <v>8374385.4311113916</v>
      </c>
      <c r="F57" s="58"/>
      <c r="G57" s="58">
        <v>294611</v>
      </c>
      <c r="H57" s="58">
        <v>398878</v>
      </c>
      <c r="I57" s="162">
        <f>114077+184218</f>
        <v>298295</v>
      </c>
      <c r="J57" s="58"/>
      <c r="K57" s="58"/>
      <c r="L57" s="58"/>
      <c r="M57" s="58"/>
      <c r="N57" s="58"/>
      <c r="O57" s="58"/>
      <c r="P57" s="58"/>
      <c r="Q57" s="46">
        <f t="shared" si="10"/>
        <v>991784</v>
      </c>
      <c r="R57" s="66">
        <f>2+3</f>
        <v>5</v>
      </c>
      <c r="S57" s="46">
        <f t="shared" si="7"/>
        <v>9366169.4311113916</v>
      </c>
      <c r="T57" s="35">
        <f t="shared" si="8"/>
        <v>0.11843066075218567</v>
      </c>
      <c r="U57" s="35">
        <f t="shared" si="9"/>
        <v>0.1317812368116269</v>
      </c>
    </row>
    <row r="58" spans="1:21" s="26" customFormat="1" ht="13.5" customHeight="1">
      <c r="A58" s="16" t="s">
        <v>57</v>
      </c>
      <c r="B58" s="17">
        <v>6</v>
      </c>
      <c r="C58" s="253">
        <v>9024813.7813020777</v>
      </c>
      <c r="D58" s="255">
        <v>105849.02637363999</v>
      </c>
      <c r="E58" s="52">
        <f t="shared" si="5"/>
        <v>9130662.8076757174</v>
      </c>
      <c r="F58" s="58">
        <v>5631</v>
      </c>
      <c r="G58" s="58">
        <v>129990</v>
      </c>
      <c r="H58" s="58">
        <v>1086467</v>
      </c>
      <c r="I58" s="58"/>
      <c r="J58" s="58"/>
      <c r="K58" s="58"/>
      <c r="L58" s="58"/>
      <c r="M58" s="58"/>
      <c r="N58" s="58"/>
      <c r="O58" s="58"/>
      <c r="P58" s="58"/>
      <c r="Q58" s="46">
        <f t="shared" si="10"/>
        <v>1222088</v>
      </c>
      <c r="R58" s="66"/>
      <c r="S58" s="46">
        <f t="shared" si="7"/>
        <v>10352750.807675717</v>
      </c>
      <c r="T58" s="35">
        <f t="shared" si="8"/>
        <v>0.13384439068023068</v>
      </c>
      <c r="U58" s="35">
        <f t="shared" si="9"/>
        <v>0.14714287281194727</v>
      </c>
    </row>
    <row r="59" spans="1:21" s="26" customFormat="1" ht="13.5" customHeight="1">
      <c r="A59" s="16" t="s">
        <v>58</v>
      </c>
      <c r="B59" s="17">
        <v>7</v>
      </c>
      <c r="C59" s="253">
        <v>19939648.159827851</v>
      </c>
      <c r="D59" s="255">
        <v>215051.930643</v>
      </c>
      <c r="E59" s="52">
        <f t="shared" si="5"/>
        <v>20154700.09047085</v>
      </c>
      <c r="F59" s="58">
        <v>491007</v>
      </c>
      <c r="G59" s="58"/>
      <c r="H59" s="58">
        <v>713636</v>
      </c>
      <c r="I59" s="58"/>
      <c r="J59" s="162">
        <v>310144</v>
      </c>
      <c r="K59" s="58"/>
      <c r="L59" s="58">
        <f>527424+70000+98855+180000+111039</f>
        <v>987318</v>
      </c>
      <c r="M59" s="58"/>
      <c r="N59" s="58"/>
      <c r="O59" s="58">
        <f>100000+22938</f>
        <v>122938</v>
      </c>
      <c r="P59" s="58"/>
      <c r="Q59" s="46">
        <f t="shared" si="10"/>
        <v>2625043</v>
      </c>
      <c r="R59" s="66">
        <v>5</v>
      </c>
      <c r="S59" s="46">
        <f t="shared" si="7"/>
        <v>22779743.09047085</v>
      </c>
      <c r="T59" s="35">
        <f t="shared" si="8"/>
        <v>0.13024470660524101</v>
      </c>
      <c r="U59" s="35">
        <f t="shared" si="9"/>
        <v>0.14243455590981302</v>
      </c>
    </row>
    <row r="60" spans="1:21" s="26" customFormat="1" ht="13.5" customHeight="1">
      <c r="A60" s="16" t="s">
        <v>59</v>
      </c>
      <c r="B60" s="17">
        <v>7</v>
      </c>
      <c r="C60" s="253">
        <v>11903367.042925278</v>
      </c>
      <c r="D60" s="255">
        <v>155743.44097499998</v>
      </c>
      <c r="E60" s="52">
        <f t="shared" si="5"/>
        <v>12059110.483900277</v>
      </c>
      <c r="F60" s="58"/>
      <c r="G60" s="58"/>
      <c r="H60" s="58"/>
      <c r="I60" s="162">
        <v>660000</v>
      </c>
      <c r="J60" s="58"/>
      <c r="K60" s="58"/>
      <c r="L60" s="58"/>
      <c r="M60" s="58"/>
      <c r="N60" s="58">
        <v>250000</v>
      </c>
      <c r="O60" s="58">
        <v>360000</v>
      </c>
      <c r="P60" s="58"/>
      <c r="Q60" s="46">
        <f t="shared" si="10"/>
        <v>1270000</v>
      </c>
      <c r="R60" s="66">
        <f>6+11</f>
        <v>17</v>
      </c>
      <c r="S60" s="46">
        <f t="shared" si="7"/>
        <v>13329110.483900277</v>
      </c>
      <c r="T60" s="35">
        <f t="shared" si="8"/>
        <v>0.10531456708150544</v>
      </c>
      <c r="U60" s="35">
        <f t="shared" si="9"/>
        <v>0.11977648306009225</v>
      </c>
    </row>
    <row r="61" spans="1:21" s="26" customFormat="1" ht="13.5" customHeight="1">
      <c r="A61" s="16" t="s">
        <v>60</v>
      </c>
      <c r="B61" s="17">
        <v>7</v>
      </c>
      <c r="C61" s="253">
        <v>23037307.259508505</v>
      </c>
      <c r="D61" s="255">
        <v>264177.53887599998</v>
      </c>
      <c r="E61" s="52">
        <f t="shared" si="5"/>
        <v>23301484.798384506</v>
      </c>
      <c r="F61" s="58">
        <v>20814</v>
      </c>
      <c r="G61" s="58">
        <v>1240401</v>
      </c>
      <c r="H61" s="58">
        <v>1148693</v>
      </c>
      <c r="I61" s="162">
        <f>869926+624421</f>
        <v>1494347</v>
      </c>
      <c r="J61" s="58"/>
      <c r="K61" s="58"/>
      <c r="L61" s="58"/>
      <c r="M61" s="58"/>
      <c r="N61" s="58"/>
      <c r="O61" s="58"/>
      <c r="P61" s="58"/>
      <c r="Q61" s="46">
        <f t="shared" si="10"/>
        <v>3904255</v>
      </c>
      <c r="R61" s="66">
        <f>11.55+7</f>
        <v>18.55</v>
      </c>
      <c r="S61" s="46">
        <f t="shared" si="7"/>
        <v>27205739.798384506</v>
      </c>
      <c r="T61" s="35">
        <f t="shared" si="8"/>
        <v>0.1675539148591374</v>
      </c>
      <c r="U61" s="35">
        <f t="shared" si="9"/>
        <v>0.18094269837702082</v>
      </c>
    </row>
    <row r="62" spans="1:21" s="26" customFormat="1" ht="13.5" customHeight="1">
      <c r="A62" s="16" t="s">
        <v>61</v>
      </c>
      <c r="B62" s="17">
        <v>7</v>
      </c>
      <c r="C62" s="253">
        <v>12626653.44961052</v>
      </c>
      <c r="D62" s="255">
        <v>149053.39958699999</v>
      </c>
      <c r="E62" s="52">
        <f t="shared" si="5"/>
        <v>12775706.84919752</v>
      </c>
      <c r="F62" s="58"/>
      <c r="G62" s="58"/>
      <c r="H62" s="58">
        <f>533877+353934+250000</f>
        <v>1137811</v>
      </c>
      <c r="I62" s="162">
        <f>109015+450027</f>
        <v>559042</v>
      </c>
      <c r="J62" s="58"/>
      <c r="K62" s="58"/>
      <c r="L62" s="58"/>
      <c r="M62" s="58"/>
      <c r="N62" s="58">
        <v>165000</v>
      </c>
      <c r="O62" s="58"/>
      <c r="P62" s="58"/>
      <c r="Q62" s="46">
        <f t="shared" si="10"/>
        <v>1861853</v>
      </c>
      <c r="R62" s="66">
        <f>2+9</f>
        <v>11</v>
      </c>
      <c r="S62" s="46">
        <f t="shared" si="7"/>
        <v>14637559.84919752</v>
      </c>
      <c r="T62" s="35">
        <f t="shared" si="8"/>
        <v>0.14573385425769603</v>
      </c>
      <c r="U62" s="35">
        <f t="shared" si="9"/>
        <v>0.15925885727457167</v>
      </c>
    </row>
    <row r="63" spans="1:21" s="26" customFormat="1" ht="13.5" customHeight="1">
      <c r="A63" s="16" t="s">
        <v>62</v>
      </c>
      <c r="B63" s="17">
        <v>7</v>
      </c>
      <c r="C63" s="253">
        <v>11847283.072723754</v>
      </c>
      <c r="D63" s="255">
        <v>135970.477893</v>
      </c>
      <c r="E63" s="52">
        <f t="shared" si="5"/>
        <v>11983253.550616754</v>
      </c>
      <c r="F63" s="58"/>
      <c r="G63" s="58">
        <v>32289</v>
      </c>
      <c r="H63" s="58">
        <v>800281</v>
      </c>
      <c r="I63" s="162">
        <v>987821</v>
      </c>
      <c r="J63" s="162">
        <v>103981</v>
      </c>
      <c r="K63" s="58"/>
      <c r="L63" s="58"/>
      <c r="M63" s="58"/>
      <c r="N63" s="58"/>
      <c r="O63" s="58"/>
      <c r="P63" s="58"/>
      <c r="Q63" s="46">
        <f t="shared" si="10"/>
        <v>1924372</v>
      </c>
      <c r="R63" s="66">
        <f>2+19</f>
        <v>21</v>
      </c>
      <c r="S63" s="46">
        <f t="shared" si="7"/>
        <v>13907625.550616754</v>
      </c>
      <c r="T63" s="35">
        <f t="shared" si="8"/>
        <v>0.16058844051588617</v>
      </c>
      <c r="U63" s="35">
        <f t="shared" si="9"/>
        <v>0.17390843666397826</v>
      </c>
    </row>
    <row r="64" spans="1:21" s="26" customFormat="1" ht="13.5" customHeight="1">
      <c r="A64" s="16" t="s">
        <v>63</v>
      </c>
      <c r="B64" s="17">
        <v>8</v>
      </c>
      <c r="C64" s="253">
        <v>39664380.37862049</v>
      </c>
      <c r="D64" s="255">
        <v>465357.27245999995</v>
      </c>
      <c r="E64" s="52">
        <f t="shared" si="5"/>
        <v>40129737.651080489</v>
      </c>
      <c r="F64" s="58">
        <v>34616</v>
      </c>
      <c r="G64" s="58">
        <v>963545</v>
      </c>
      <c r="H64" s="58">
        <v>3870661</v>
      </c>
      <c r="I64" s="58"/>
      <c r="J64" s="58"/>
      <c r="K64" s="58"/>
      <c r="L64" s="58"/>
      <c r="M64" s="58"/>
      <c r="N64" s="58"/>
      <c r="O64" s="58"/>
      <c r="P64" s="58"/>
      <c r="Q64" s="46">
        <f t="shared" si="10"/>
        <v>4868822</v>
      </c>
      <c r="R64" s="66"/>
      <c r="S64" s="46">
        <f t="shared" si="7"/>
        <v>44998559.651080489</v>
      </c>
      <c r="T64" s="35">
        <f t="shared" si="8"/>
        <v>0.12132703289349589</v>
      </c>
      <c r="U64" s="35">
        <f t="shared" si="9"/>
        <v>0.13448285896671108</v>
      </c>
    </row>
    <row r="65" spans="1:21" s="26" customFormat="1" ht="13.5" customHeight="1">
      <c r="A65" s="16" t="s">
        <v>64</v>
      </c>
      <c r="B65" s="17">
        <v>8</v>
      </c>
      <c r="C65" s="253">
        <v>30825590.949284896</v>
      </c>
      <c r="D65" s="255">
        <v>340600.89001600002</v>
      </c>
      <c r="E65" s="52">
        <f t="shared" si="5"/>
        <v>31166191.839300897</v>
      </c>
      <c r="F65" s="58"/>
      <c r="G65" s="58">
        <v>586000</v>
      </c>
      <c r="H65" s="58">
        <v>1206700</v>
      </c>
      <c r="I65" s="58"/>
      <c r="J65" s="58"/>
      <c r="K65" s="58"/>
      <c r="L65" s="58"/>
      <c r="M65" s="58"/>
      <c r="N65" s="58">
        <v>161308</v>
      </c>
      <c r="O65" s="58">
        <f>1390835+207616</f>
        <v>1598451</v>
      </c>
      <c r="P65" s="58"/>
      <c r="Q65" s="46">
        <f t="shared" si="10"/>
        <v>3552459</v>
      </c>
      <c r="R65" s="66"/>
      <c r="S65" s="46">
        <f t="shared" si="7"/>
        <v>34718650.839300901</v>
      </c>
      <c r="T65" s="35">
        <f t="shared" si="8"/>
        <v>0.11398437827493302</v>
      </c>
      <c r="U65" s="35">
        <f t="shared" si="9"/>
        <v>0.12629311458849157</v>
      </c>
    </row>
    <row r="66" spans="1:21" s="26" customFormat="1" ht="13.5" customHeight="1">
      <c r="A66" s="16" t="s">
        <v>65</v>
      </c>
      <c r="B66" s="17">
        <v>8</v>
      </c>
      <c r="C66" s="253">
        <v>71990695.401439622</v>
      </c>
      <c r="D66" s="255">
        <v>834109.72784519999</v>
      </c>
      <c r="E66" s="52">
        <f t="shared" ref="E66:E68" si="11">C66+D66</f>
        <v>72824805.129284829</v>
      </c>
      <c r="F66" s="58"/>
      <c r="G66" s="58">
        <v>484578</v>
      </c>
      <c r="H66" s="58">
        <v>2870634</v>
      </c>
      <c r="I66" s="162">
        <v>3216114</v>
      </c>
      <c r="J66" s="58"/>
      <c r="K66" s="58"/>
      <c r="L66" s="58"/>
      <c r="M66" s="58"/>
      <c r="N66" s="58"/>
      <c r="O66" s="58"/>
      <c r="P66" s="58"/>
      <c r="Q66" s="46">
        <f t="shared" si="10"/>
        <v>6571326</v>
      </c>
      <c r="R66" s="66">
        <v>44</v>
      </c>
      <c r="S66" s="46">
        <f t="shared" si="7"/>
        <v>79396131.129284829</v>
      </c>
      <c r="T66" s="35">
        <f t="shared" ref="T66:T68" si="12">S66/E66-1</f>
        <v>9.023472137459243E-2</v>
      </c>
      <c r="U66" s="35">
        <f t="shared" si="9"/>
        <v>0.10286656749945933</v>
      </c>
    </row>
    <row r="67" spans="1:21" ht="13.5" customHeight="1">
      <c r="A67" s="16" t="s">
        <v>66</v>
      </c>
      <c r="B67" s="17">
        <v>8</v>
      </c>
      <c r="C67" s="253">
        <v>29521040.987910237</v>
      </c>
      <c r="D67" s="255">
        <v>341543.71869500005</v>
      </c>
      <c r="E67" s="52">
        <f t="shared" si="11"/>
        <v>29862584.706605237</v>
      </c>
      <c r="F67" s="58"/>
      <c r="G67" s="58">
        <v>348999</v>
      </c>
      <c r="H67" s="58">
        <f>999119+799295+1401260</f>
        <v>3199674</v>
      </c>
      <c r="I67" s="58"/>
      <c r="J67" s="58"/>
      <c r="K67" s="58"/>
      <c r="L67" s="58"/>
      <c r="M67" s="58"/>
      <c r="N67" s="58"/>
      <c r="O67" s="58"/>
      <c r="P67" s="58"/>
      <c r="Q67" s="46">
        <f t="shared" si="10"/>
        <v>3548673</v>
      </c>
      <c r="R67" s="66"/>
      <c r="S67" s="46">
        <f t="shared" si="7"/>
        <v>33411257.706605237</v>
      </c>
      <c r="T67" s="35">
        <f t="shared" si="12"/>
        <v>0.11883341763163169</v>
      </c>
      <c r="U67" s="35">
        <f t="shared" si="9"/>
        <v>0.13177776218284998</v>
      </c>
    </row>
    <row r="68" spans="1:21" ht="13.5" customHeight="1" thickBot="1">
      <c r="A68" s="18" t="s">
        <v>67</v>
      </c>
      <c r="B68" s="19">
        <v>8</v>
      </c>
      <c r="C68" s="254">
        <v>30780285.476537708</v>
      </c>
      <c r="D68" s="257">
        <v>343405.99220019998</v>
      </c>
      <c r="E68" s="53">
        <f t="shared" si="11"/>
        <v>31123691.468737908</v>
      </c>
      <c r="F68" s="60"/>
      <c r="G68" s="59">
        <v>506011</v>
      </c>
      <c r="H68" s="60">
        <v>647575</v>
      </c>
      <c r="I68" s="60"/>
      <c r="J68" s="60"/>
      <c r="K68" s="60"/>
      <c r="L68" s="60"/>
      <c r="M68" s="60"/>
      <c r="N68" s="60"/>
      <c r="O68" s="60"/>
      <c r="P68" s="60"/>
      <c r="Q68" s="47">
        <f t="shared" si="10"/>
        <v>1153586</v>
      </c>
      <c r="R68" s="67"/>
      <c r="S68" s="47">
        <f t="shared" si="7"/>
        <v>32277277.468737908</v>
      </c>
      <c r="T68" s="34">
        <f t="shared" si="12"/>
        <v>3.7064562253443345E-2</v>
      </c>
      <c r="U68" s="34">
        <f t="shared" si="9"/>
        <v>4.8634766345532432E-2</v>
      </c>
    </row>
    <row r="69" spans="1:21" ht="11.25" customHeight="1" thickBot="1">
      <c r="A69" s="20"/>
      <c r="B69" s="21"/>
      <c r="C69" s="54"/>
      <c r="D69" s="54"/>
      <c r="E69" s="54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48"/>
      <c r="R69" s="68"/>
      <c r="S69" s="48"/>
      <c r="T69" s="9"/>
      <c r="U69" s="9"/>
    </row>
    <row r="70" spans="1:21" s="26" customFormat="1" ht="14.25" thickBot="1">
      <c r="A70" s="422" t="s">
        <v>68</v>
      </c>
      <c r="B70" s="422"/>
      <c r="C70" s="137">
        <f t="shared" ref="C70:E70" si="13">SUM(C2:C68)</f>
        <v>453209796.99999994</v>
      </c>
      <c r="D70" s="137">
        <f t="shared" si="13"/>
        <v>5404099.4905510545</v>
      </c>
      <c r="E70" s="55">
        <f t="shared" si="13"/>
        <v>458613896.49055099</v>
      </c>
      <c r="F70" s="49">
        <f t="shared" ref="F70:S70" si="14">SUM(F2:F68)</f>
        <v>673434</v>
      </c>
      <c r="G70" s="49">
        <f t="shared" si="14"/>
        <v>7062731</v>
      </c>
      <c r="H70" s="49">
        <f t="shared" ref="H70:J70" si="15">SUM(H2:H68)</f>
        <v>27167547</v>
      </c>
      <c r="I70" s="49">
        <f t="shared" si="15"/>
        <v>9290530</v>
      </c>
      <c r="J70" s="49">
        <f t="shared" si="15"/>
        <v>1096787</v>
      </c>
      <c r="K70" s="49">
        <f>(SUM(K2:K68))-K55</f>
        <v>3458554</v>
      </c>
      <c r="L70" s="49">
        <f t="shared" ref="L70:N70" si="16">SUM(L2:L68)</f>
        <v>1057318</v>
      </c>
      <c r="M70" s="49">
        <f t="shared" si="16"/>
        <v>125778</v>
      </c>
      <c r="N70" s="49">
        <f t="shared" si="16"/>
        <v>781828</v>
      </c>
      <c r="O70" s="49">
        <f t="shared" ref="O70" si="17">SUM(O2:O68)</f>
        <v>2175026</v>
      </c>
      <c r="P70" s="49">
        <f t="shared" si="14"/>
        <v>0</v>
      </c>
      <c r="Q70" s="49">
        <f t="shared" si="14"/>
        <v>52889533</v>
      </c>
      <c r="R70" s="69">
        <f>SUM(R2:R68)</f>
        <v>200.76999999999998</v>
      </c>
      <c r="S70" s="51">
        <f t="shared" si="14"/>
        <v>511503429.49055111</v>
      </c>
      <c r="T70" s="63">
        <f>S70/E70-1</f>
        <v>0.11532475008874887</v>
      </c>
      <c r="U70" s="63">
        <f>S70/C70-1</f>
        <v>0.12862394607623884</v>
      </c>
    </row>
    <row r="71" spans="1:21" ht="7.5" customHeight="1" thickBo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21" ht="14.25" thickBot="1">
      <c r="E72" s="165"/>
      <c r="G72" s="29"/>
      <c r="H72" s="160" t="s">
        <v>185</v>
      </c>
      <c r="I72" s="174">
        <f>I70+J11+K15+J19+J21+K23+J27+852667+J31+K32+J33+J34+215365+M41+J45+J50+J59+J63</f>
        <v>11806825</v>
      </c>
      <c r="J72" s="29"/>
      <c r="K72" s="29"/>
      <c r="L72" s="29"/>
      <c r="M72" s="29"/>
      <c r="N72" s="29"/>
      <c r="O72" s="29"/>
      <c r="P72" s="160" t="s">
        <v>186</v>
      </c>
      <c r="Q72" s="176">
        <f>Q70+D70</f>
        <v>58293632.490551054</v>
      </c>
      <c r="R72" s="28"/>
      <c r="S72" s="163"/>
      <c r="U72" s="11" t="s">
        <v>277</v>
      </c>
    </row>
    <row r="73" spans="1:21" ht="7.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1">
      <c r="F74" s="164">
        <v>12</v>
      </c>
      <c r="G74" s="164">
        <v>52</v>
      </c>
      <c r="H74" s="164">
        <v>58</v>
      </c>
      <c r="I74" s="164">
        <f>22+14</f>
        <v>36</v>
      </c>
      <c r="J74" s="164">
        <v>11</v>
      </c>
      <c r="K74" s="164">
        <v>11</v>
      </c>
      <c r="L74" s="164">
        <v>2</v>
      </c>
      <c r="M74" s="164">
        <v>1</v>
      </c>
      <c r="N74" s="164">
        <v>5</v>
      </c>
      <c r="O74" s="164">
        <v>7</v>
      </c>
      <c r="Q74" s="164">
        <v>66</v>
      </c>
      <c r="R74" s="164">
        <v>36</v>
      </c>
      <c r="T74" s="177"/>
      <c r="U74" s="177"/>
    </row>
    <row r="75" spans="1:21">
      <c r="T75" s="177"/>
      <c r="U75" s="177"/>
    </row>
    <row r="76" spans="1:21" ht="15">
      <c r="K76" s="407"/>
      <c r="T76" s="183"/>
      <c r="U76" s="183"/>
    </row>
    <row r="77" spans="1:21">
      <c r="G77" s="140"/>
      <c r="K77" s="408"/>
      <c r="T77" s="183"/>
      <c r="U77" s="183"/>
    </row>
    <row r="79" spans="1:21">
      <c r="G79" s="383"/>
    </row>
  </sheetData>
  <autoFilter ref="A1:U1" xr:uid="{9E11FCF2-DD73-4F32-9271-ACFE81C4F4E8}"/>
  <mergeCells count="1">
    <mergeCell ref="A70:B70"/>
  </mergeCells>
  <conditionalFormatting sqref="Q70:R70">
    <cfRule type="cellIs" dxfId="1" priority="2" operator="lessThan">
      <formula>0</formula>
    </cfRule>
  </conditionalFormatting>
  <conditionalFormatting sqref="T2:U68">
    <cfRule type="cellIs" dxfId="0" priority="1" operator="lessThan">
      <formula>0</formula>
    </cfRule>
  </conditionalFormatting>
  <printOptions horizontalCentered="1"/>
  <pageMargins left="0.2" right="0.2" top="0.16" bottom="0.16" header="0.25" footer="0.25"/>
  <pageSetup paperSize="5" scale="59" fitToHeight="0" pageOrder="overThenDown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30BE-8D55-4A84-AD6C-5A9A93182A2F}">
  <sheetPr>
    <pageSetUpPr fitToPage="1"/>
  </sheetPr>
  <dimension ref="A1:M76"/>
  <sheetViews>
    <sheetView tabSelected="1" zoomScale="140" zoomScaleNormal="140" zoomScalePageLayoutView="55"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M2" sqref="M2"/>
    </sheetView>
  </sheetViews>
  <sheetFormatPr defaultColWidth="2.28515625" defaultRowHeight="13.5"/>
  <cols>
    <col min="1" max="1" width="13.28515625" style="6" customWidth="1"/>
    <col min="2" max="2" width="6.28515625" style="6" customWidth="1"/>
    <col min="3" max="3" width="16.7109375" style="6" customWidth="1"/>
    <col min="4" max="4" width="13.85546875" style="6" customWidth="1"/>
    <col min="5" max="5" width="16.5703125" style="6" customWidth="1"/>
    <col min="6" max="6" width="14" style="6" customWidth="1"/>
    <col min="7" max="7" width="14.42578125" style="6" customWidth="1"/>
    <col min="8" max="8" width="15.140625" style="6" customWidth="1"/>
    <col min="9" max="9" width="14.85546875" style="6" customWidth="1"/>
    <col min="10" max="10" width="16.42578125" style="6" customWidth="1"/>
    <col min="11" max="11" width="16.140625" style="6" customWidth="1"/>
    <col min="12" max="12" width="7.7109375" style="6" customWidth="1"/>
    <col min="13" max="13" width="8.28515625" style="6" customWidth="1"/>
    <col min="14" max="16384" width="2.28515625" style="6"/>
  </cols>
  <sheetData>
    <row r="1" spans="1:13" s="32" customFormat="1" ht="68.25" thickBot="1">
      <c r="A1" s="14" t="s">
        <v>0</v>
      </c>
      <c r="B1" s="15" t="s">
        <v>71</v>
      </c>
      <c r="C1" s="138" t="s">
        <v>75</v>
      </c>
      <c r="D1" s="139" t="s">
        <v>183</v>
      </c>
      <c r="E1" s="42" t="s">
        <v>278</v>
      </c>
      <c r="F1" s="62" t="s">
        <v>261</v>
      </c>
      <c r="G1" s="260" t="s">
        <v>232</v>
      </c>
      <c r="H1" s="62" t="s">
        <v>215</v>
      </c>
      <c r="I1" s="193" t="s">
        <v>280</v>
      </c>
      <c r="J1" s="175" t="s">
        <v>213</v>
      </c>
      <c r="K1" s="265" t="s">
        <v>216</v>
      </c>
      <c r="L1" s="357" t="s">
        <v>187</v>
      </c>
      <c r="M1" s="357" t="s">
        <v>188</v>
      </c>
    </row>
    <row r="2" spans="1:13" s="26" customFormat="1" ht="13.5" customHeight="1">
      <c r="A2" s="31" t="s">
        <v>1</v>
      </c>
      <c r="B2" s="30">
        <v>1</v>
      </c>
      <c r="C2" s="252">
        <v>459014.59064273734</v>
      </c>
      <c r="D2" s="256">
        <v>5692.4533219999994</v>
      </c>
      <c r="E2" s="56">
        <f>C2+D2</f>
        <v>464707.04396473733</v>
      </c>
      <c r="F2" s="57">
        <v>1597</v>
      </c>
      <c r="G2" s="271">
        <v>13234</v>
      </c>
      <c r="H2" s="57">
        <f t="shared" ref="H2:H33" si="0">ROUND((G2/$G$70*$H$73),0)</f>
        <v>10782</v>
      </c>
      <c r="I2" s="57"/>
      <c r="J2" s="57">
        <f>E2+F2+H2+I2+1</f>
        <v>477087.04396473733</v>
      </c>
      <c r="K2" s="262">
        <f t="shared" ref="K2:K33" si="1">J2-C2</f>
        <v>18072.453321999987</v>
      </c>
      <c r="L2" s="356">
        <f t="shared" ref="L2:L33" si="2">K2/E2</f>
        <v>3.8889992214904648E-2</v>
      </c>
      <c r="M2" s="356">
        <f t="shared" ref="M2:M33" si="3">K2/C2</f>
        <v>3.9372285087264765E-2</v>
      </c>
    </row>
    <row r="3" spans="1:13" customFormat="1" ht="13.5" customHeight="1">
      <c r="A3" s="16" t="s">
        <v>2</v>
      </c>
      <c r="B3" s="17">
        <v>1</v>
      </c>
      <c r="C3" s="253">
        <v>315036.79031373578</v>
      </c>
      <c r="D3" s="255">
        <v>3108.9804979999999</v>
      </c>
      <c r="E3" s="258">
        <f t="shared" ref="E3:E66" si="4">C3+D3</f>
        <v>318145.77081173577</v>
      </c>
      <c r="F3" s="58">
        <v>978</v>
      </c>
      <c r="G3" s="272">
        <v>4538</v>
      </c>
      <c r="H3" s="58">
        <f t="shared" si="0"/>
        <v>3697</v>
      </c>
      <c r="I3" s="58">
        <v>1667</v>
      </c>
      <c r="J3" s="58">
        <f>E3+F3+H3+I3+1</f>
        <v>324488.77081173577</v>
      </c>
      <c r="K3" s="263">
        <f t="shared" si="1"/>
        <v>9451.9804979999899</v>
      </c>
      <c r="L3" s="266">
        <f t="shared" si="2"/>
        <v>2.9709590273300359E-2</v>
      </c>
      <c r="M3" s="266">
        <f t="shared" si="3"/>
        <v>3.0002783130779878E-2</v>
      </c>
    </row>
    <row r="4" spans="1:13" s="27" customFormat="1" ht="13.5" customHeight="1">
      <c r="A4" s="16" t="s">
        <v>3</v>
      </c>
      <c r="B4" s="17">
        <v>1</v>
      </c>
      <c r="C4" s="253">
        <v>322496.72759339341</v>
      </c>
      <c r="D4" s="255">
        <v>5480.3805599999996</v>
      </c>
      <c r="E4" s="258">
        <f t="shared" si="4"/>
        <v>327977.10815339343</v>
      </c>
      <c r="F4" s="58">
        <v>1491</v>
      </c>
      <c r="G4" s="272">
        <v>7148.5</v>
      </c>
      <c r="H4" s="58">
        <f t="shared" si="0"/>
        <v>5824</v>
      </c>
      <c r="I4" s="58"/>
      <c r="J4" s="58">
        <f>E4+F4+H4+I4+1</f>
        <v>335293.10815339343</v>
      </c>
      <c r="K4" s="263">
        <f t="shared" si="1"/>
        <v>12796.38056000002</v>
      </c>
      <c r="L4" s="266">
        <f t="shared" si="2"/>
        <v>3.9016078384395074E-2</v>
      </c>
      <c r="M4" s="266">
        <f t="shared" si="3"/>
        <v>3.9679102034591199E-2</v>
      </c>
    </row>
    <row r="5" spans="1:13" s="26" customFormat="1" ht="13.5" customHeight="1">
      <c r="A5" s="16" t="s">
        <v>4</v>
      </c>
      <c r="B5" s="17">
        <v>1</v>
      </c>
      <c r="C5" s="253">
        <v>498165.1097184039</v>
      </c>
      <c r="D5" s="255">
        <v>7139.1738022323998</v>
      </c>
      <c r="E5" s="258">
        <f t="shared" si="4"/>
        <v>505304.28352063632</v>
      </c>
      <c r="F5" s="58">
        <v>1985</v>
      </c>
      <c r="G5" s="272">
        <v>7861.5</v>
      </c>
      <c r="H5" s="58">
        <f t="shared" si="0"/>
        <v>6405</v>
      </c>
      <c r="I5" s="58"/>
      <c r="J5" s="58">
        <f t="shared" ref="J5:J66" si="5">E5+F5+H5+I5</f>
        <v>513694.28352063632</v>
      </c>
      <c r="K5" s="263">
        <f t="shared" si="1"/>
        <v>15529.173802232428</v>
      </c>
      <c r="L5" s="266">
        <f t="shared" si="2"/>
        <v>3.0732321709278022E-2</v>
      </c>
      <c r="M5" s="266">
        <f t="shared" si="3"/>
        <v>3.1172744737202794E-2</v>
      </c>
    </row>
    <row r="6" spans="1:13" s="26" customFormat="1" ht="13.5" customHeight="1">
      <c r="A6" s="16" t="s">
        <v>5</v>
      </c>
      <c r="B6" s="17">
        <v>2</v>
      </c>
      <c r="C6" s="253">
        <v>725439.47801392386</v>
      </c>
      <c r="D6" s="255">
        <v>11887.7089</v>
      </c>
      <c r="E6" s="258">
        <f t="shared" si="4"/>
        <v>737327.18691392383</v>
      </c>
      <c r="F6" s="58">
        <v>3127</v>
      </c>
      <c r="G6" s="272">
        <v>19595.5</v>
      </c>
      <c r="H6" s="58">
        <f t="shared" si="0"/>
        <v>15965</v>
      </c>
      <c r="I6" s="58"/>
      <c r="J6" s="58">
        <f t="shared" si="5"/>
        <v>756419.18691392383</v>
      </c>
      <c r="K6" s="263">
        <f t="shared" si="1"/>
        <v>30979.708899999969</v>
      </c>
      <c r="L6" s="266">
        <f t="shared" si="2"/>
        <v>4.2016230311085173E-2</v>
      </c>
      <c r="M6" s="266">
        <f t="shared" si="3"/>
        <v>4.2704746348813064E-2</v>
      </c>
    </row>
    <row r="7" spans="1:13" s="26" customFormat="1" ht="13.5" customHeight="1">
      <c r="A7" s="16" t="s">
        <v>6</v>
      </c>
      <c r="B7" s="17">
        <v>2</v>
      </c>
      <c r="C7" s="253">
        <v>501450.31244996039</v>
      </c>
      <c r="D7" s="255">
        <v>7162.49244</v>
      </c>
      <c r="E7" s="258">
        <f t="shared" si="4"/>
        <v>508612.80488996039</v>
      </c>
      <c r="F7" s="58">
        <v>1933</v>
      </c>
      <c r="G7" s="272">
        <v>12763.5</v>
      </c>
      <c r="H7" s="58">
        <f t="shared" si="0"/>
        <v>10399</v>
      </c>
      <c r="I7" s="58"/>
      <c r="J7" s="58">
        <f t="shared" si="5"/>
        <v>520944.80488996039</v>
      </c>
      <c r="K7" s="263">
        <f t="shared" si="1"/>
        <v>19494.492440000002</v>
      </c>
      <c r="L7" s="266">
        <f t="shared" si="2"/>
        <v>3.8328748809652327E-2</v>
      </c>
      <c r="M7" s="266">
        <f t="shared" si="3"/>
        <v>3.8876219549559762E-2</v>
      </c>
    </row>
    <row r="8" spans="1:13" s="26" customFormat="1" ht="13.5" customHeight="1">
      <c r="A8" s="16" t="s">
        <v>7</v>
      </c>
      <c r="B8" s="17">
        <v>2</v>
      </c>
      <c r="C8" s="253">
        <v>674134.71966310788</v>
      </c>
      <c r="D8" s="255">
        <v>9405.6715297999999</v>
      </c>
      <c r="E8" s="258">
        <f t="shared" si="4"/>
        <v>683540.39119290793</v>
      </c>
      <c r="F8" s="270">
        <v>2507</v>
      </c>
      <c r="G8" s="272">
        <v>12254</v>
      </c>
      <c r="H8" s="270">
        <f t="shared" si="0"/>
        <v>9984</v>
      </c>
      <c r="I8" s="58"/>
      <c r="J8" s="58">
        <f t="shared" si="5"/>
        <v>696031.39119290793</v>
      </c>
      <c r="K8" s="263">
        <f t="shared" si="1"/>
        <v>21896.671529800049</v>
      </c>
      <c r="L8" s="266">
        <f t="shared" si="2"/>
        <v>3.2034202823897788E-2</v>
      </c>
      <c r="M8" s="266">
        <f t="shared" si="3"/>
        <v>3.2481150860680624E-2</v>
      </c>
    </row>
    <row r="9" spans="1:13" s="26" customFormat="1" ht="13.5" customHeight="1">
      <c r="A9" s="16" t="s">
        <v>8</v>
      </c>
      <c r="B9" s="17">
        <v>2</v>
      </c>
      <c r="C9" s="253">
        <v>557818.32633381232</v>
      </c>
      <c r="D9" s="255">
        <v>7214.5422399999998</v>
      </c>
      <c r="E9" s="258">
        <f t="shared" si="4"/>
        <v>565032.8685738123</v>
      </c>
      <c r="F9" s="58">
        <v>1979</v>
      </c>
      <c r="G9" s="272">
        <v>12406.5</v>
      </c>
      <c r="H9" s="58">
        <f t="shared" si="0"/>
        <v>10108</v>
      </c>
      <c r="I9" s="58"/>
      <c r="J9" s="58">
        <f t="shared" si="5"/>
        <v>577119.8685738123</v>
      </c>
      <c r="K9" s="263">
        <f t="shared" si="1"/>
        <v>19301.542239999981</v>
      </c>
      <c r="L9" s="266">
        <f t="shared" si="2"/>
        <v>3.4160034421924161E-2</v>
      </c>
      <c r="M9" s="266">
        <f t="shared" si="3"/>
        <v>3.4601843160759579E-2</v>
      </c>
    </row>
    <row r="10" spans="1:13" s="26" customFormat="1" ht="13.5" customHeight="1">
      <c r="A10" s="16" t="s">
        <v>9</v>
      </c>
      <c r="B10" s="17">
        <v>2</v>
      </c>
      <c r="C10" s="253">
        <v>579027.5951687413</v>
      </c>
      <c r="D10" s="255">
        <v>6754.2611399999996</v>
      </c>
      <c r="E10" s="258">
        <f t="shared" si="4"/>
        <v>585781.85630874126</v>
      </c>
      <c r="F10" s="58">
        <v>1859</v>
      </c>
      <c r="G10" s="272">
        <v>11559.5</v>
      </c>
      <c r="H10" s="58">
        <f t="shared" si="0"/>
        <v>9418</v>
      </c>
      <c r="I10" s="58"/>
      <c r="J10" s="58">
        <f t="shared" si="5"/>
        <v>597058.85630874126</v>
      </c>
      <c r="K10" s="263">
        <f t="shared" si="1"/>
        <v>18031.261139999959</v>
      </c>
      <c r="L10" s="266">
        <f t="shared" si="2"/>
        <v>3.0781528901599218E-2</v>
      </c>
      <c r="M10" s="266">
        <f t="shared" si="3"/>
        <v>3.1140590345690267E-2</v>
      </c>
    </row>
    <row r="11" spans="1:13" s="26" customFormat="1" ht="13.5" customHeight="1">
      <c r="A11" s="16" t="s">
        <v>10</v>
      </c>
      <c r="B11" s="17">
        <v>2</v>
      </c>
      <c r="C11" s="253">
        <v>502570.31387351878</v>
      </c>
      <c r="D11" s="255">
        <v>6607.6864839999998</v>
      </c>
      <c r="E11" s="258">
        <f t="shared" si="4"/>
        <v>509178.00035751879</v>
      </c>
      <c r="F11" s="58">
        <v>1835</v>
      </c>
      <c r="G11" s="272">
        <v>11107</v>
      </c>
      <c r="H11" s="58">
        <f t="shared" si="0"/>
        <v>9049</v>
      </c>
      <c r="I11" s="58"/>
      <c r="J11" s="58">
        <f t="shared" si="5"/>
        <v>520062.00035751879</v>
      </c>
      <c r="K11" s="263">
        <f t="shared" si="1"/>
        <v>17491.686484000005</v>
      </c>
      <c r="L11" s="266">
        <f t="shared" si="2"/>
        <v>3.4352793073774271E-2</v>
      </c>
      <c r="M11" s="266">
        <f t="shared" si="3"/>
        <v>3.4804456214662362E-2</v>
      </c>
    </row>
    <row r="12" spans="1:13" s="26" customFormat="1" ht="13.5" customHeight="1">
      <c r="A12" s="16" t="s">
        <v>11</v>
      </c>
      <c r="B12" s="17">
        <v>2</v>
      </c>
      <c r="C12" s="253">
        <v>609838.75346430275</v>
      </c>
      <c r="D12" s="255">
        <v>6679.2871599999989</v>
      </c>
      <c r="E12" s="258">
        <f t="shared" si="4"/>
        <v>616518.0406243027</v>
      </c>
      <c r="F12" s="58">
        <v>1838</v>
      </c>
      <c r="G12" s="272">
        <v>15370.5</v>
      </c>
      <c r="H12" s="58">
        <f t="shared" si="0"/>
        <v>12523</v>
      </c>
      <c r="I12" s="58"/>
      <c r="J12" s="58">
        <f t="shared" si="5"/>
        <v>630879.0406243027</v>
      </c>
      <c r="K12" s="263">
        <f t="shared" si="1"/>
        <v>21040.287159999949</v>
      </c>
      <c r="L12" s="266">
        <f t="shared" si="2"/>
        <v>3.4127609856629645E-2</v>
      </c>
      <c r="M12" s="266">
        <f t="shared" si="3"/>
        <v>3.4501394082413872E-2</v>
      </c>
    </row>
    <row r="13" spans="1:13" s="26" customFormat="1" ht="13.5" customHeight="1">
      <c r="A13" s="16" t="s">
        <v>12</v>
      </c>
      <c r="B13" s="17">
        <v>2</v>
      </c>
      <c r="C13" s="253">
        <v>604123.51154300408</v>
      </c>
      <c r="D13" s="255">
        <v>8099.089477999999</v>
      </c>
      <c r="E13" s="258">
        <f t="shared" si="4"/>
        <v>612222.60102100403</v>
      </c>
      <c r="F13" s="58">
        <v>2190</v>
      </c>
      <c r="G13" s="272">
        <v>16678.5</v>
      </c>
      <c r="H13" s="58">
        <f t="shared" si="0"/>
        <v>13589</v>
      </c>
      <c r="I13" s="58"/>
      <c r="J13" s="58">
        <f t="shared" si="5"/>
        <v>628001.60102100403</v>
      </c>
      <c r="K13" s="263">
        <f t="shared" si="1"/>
        <v>23878.089477999951</v>
      </c>
      <c r="L13" s="266">
        <f t="shared" si="2"/>
        <v>3.900229987945307E-2</v>
      </c>
      <c r="M13" s="266">
        <f t="shared" si="3"/>
        <v>3.9525178248753207E-2</v>
      </c>
    </row>
    <row r="14" spans="1:13" s="26" customFormat="1" ht="13.5" customHeight="1">
      <c r="A14" s="16" t="s">
        <v>13</v>
      </c>
      <c r="B14" s="17">
        <v>2</v>
      </c>
      <c r="C14" s="253">
        <v>513901.73621836456</v>
      </c>
      <c r="D14" s="255">
        <v>5296.8335040000002</v>
      </c>
      <c r="E14" s="258">
        <f t="shared" si="4"/>
        <v>519198.56972236454</v>
      </c>
      <c r="F14" s="58">
        <v>1515</v>
      </c>
      <c r="G14" s="272">
        <v>12499</v>
      </c>
      <c r="H14" s="58">
        <f t="shared" si="0"/>
        <v>10184</v>
      </c>
      <c r="I14" s="58"/>
      <c r="J14" s="58">
        <f t="shared" si="5"/>
        <v>530897.56972236454</v>
      </c>
      <c r="K14" s="263">
        <f t="shared" si="1"/>
        <v>16995.83350399998</v>
      </c>
      <c r="L14" s="266">
        <f t="shared" si="2"/>
        <v>3.2734746386316717E-2</v>
      </c>
      <c r="M14" s="266">
        <f t="shared" si="3"/>
        <v>3.3072146494516209E-2</v>
      </c>
    </row>
    <row r="15" spans="1:13" s="26" customFormat="1" ht="13.5" customHeight="1">
      <c r="A15" s="16" t="s">
        <v>14</v>
      </c>
      <c r="B15" s="17">
        <v>2</v>
      </c>
      <c r="C15" s="253">
        <v>574285.78408759309</v>
      </c>
      <c r="D15" s="255">
        <v>6599.3074020000004</v>
      </c>
      <c r="E15" s="258">
        <f t="shared" si="4"/>
        <v>580885.09148959303</v>
      </c>
      <c r="F15" s="58">
        <v>1739</v>
      </c>
      <c r="G15" s="272">
        <v>19523</v>
      </c>
      <c r="H15" s="58">
        <f t="shared" si="0"/>
        <v>15906</v>
      </c>
      <c r="I15" s="58"/>
      <c r="J15" s="58">
        <f t="shared" si="5"/>
        <v>598530.09148959303</v>
      </c>
      <c r="K15" s="263">
        <f t="shared" si="1"/>
        <v>24244.307401999948</v>
      </c>
      <c r="L15" s="266">
        <f t="shared" si="2"/>
        <v>4.1736838760707461E-2</v>
      </c>
      <c r="M15" s="266">
        <f t="shared" si="3"/>
        <v>4.2216450543902162E-2</v>
      </c>
    </row>
    <row r="16" spans="1:13" s="26" customFormat="1" ht="13.5" customHeight="1">
      <c r="A16" s="16" t="s">
        <v>15</v>
      </c>
      <c r="B16" s="17">
        <v>2</v>
      </c>
      <c r="C16" s="253">
        <v>805837.99175540451</v>
      </c>
      <c r="D16" s="255">
        <v>10883.548238000001</v>
      </c>
      <c r="E16" s="258">
        <f t="shared" si="4"/>
        <v>816721.53999340453</v>
      </c>
      <c r="F16" s="58">
        <v>2864</v>
      </c>
      <c r="G16" s="272">
        <v>20364</v>
      </c>
      <c r="H16" s="58">
        <f t="shared" si="0"/>
        <v>16592</v>
      </c>
      <c r="I16" s="58"/>
      <c r="J16" s="58">
        <f t="shared" si="5"/>
        <v>836177.53999340453</v>
      </c>
      <c r="K16" s="263">
        <f t="shared" si="1"/>
        <v>30339.548238000018</v>
      </c>
      <c r="L16" s="266">
        <f t="shared" si="2"/>
        <v>3.7147971190088884E-2</v>
      </c>
      <c r="M16" s="266">
        <f t="shared" si="3"/>
        <v>3.7649687093940044E-2</v>
      </c>
    </row>
    <row r="17" spans="1:13" s="26" customFormat="1" ht="13.5" customHeight="1">
      <c r="A17" s="16" t="s">
        <v>16</v>
      </c>
      <c r="B17" s="17">
        <v>3</v>
      </c>
      <c r="C17" s="253">
        <v>873912.44651130447</v>
      </c>
      <c r="D17" s="255">
        <v>11399.664612</v>
      </c>
      <c r="E17" s="258">
        <f t="shared" si="4"/>
        <v>885312.11112330446</v>
      </c>
      <c r="F17" s="58">
        <v>3063</v>
      </c>
      <c r="G17" s="272">
        <v>30987</v>
      </c>
      <c r="H17" s="58">
        <f t="shared" si="0"/>
        <v>25247</v>
      </c>
      <c r="I17" s="58"/>
      <c r="J17" s="58">
        <f t="shared" si="5"/>
        <v>913622.11112330446</v>
      </c>
      <c r="K17" s="263">
        <f t="shared" si="1"/>
        <v>39709.664611999993</v>
      </c>
      <c r="L17" s="266">
        <f t="shared" si="2"/>
        <v>4.4853859009807796E-2</v>
      </c>
      <c r="M17" s="266">
        <f t="shared" si="3"/>
        <v>4.5438950744462629E-2</v>
      </c>
    </row>
    <row r="18" spans="1:13" s="26" customFormat="1" ht="13.5" customHeight="1">
      <c r="A18" s="16" t="s">
        <v>17</v>
      </c>
      <c r="B18" s="17">
        <v>3</v>
      </c>
      <c r="C18" s="253">
        <v>823615.487275369</v>
      </c>
      <c r="D18" s="255">
        <v>9945.7838100000008</v>
      </c>
      <c r="E18" s="258">
        <f t="shared" si="4"/>
        <v>833561.27108536905</v>
      </c>
      <c r="F18" s="58">
        <v>2661</v>
      </c>
      <c r="G18" s="272">
        <v>26500.5</v>
      </c>
      <c r="H18" s="58">
        <f t="shared" si="0"/>
        <v>21591</v>
      </c>
      <c r="I18" s="58"/>
      <c r="J18" s="58">
        <f t="shared" si="5"/>
        <v>857813.27108536905</v>
      </c>
      <c r="K18" s="263">
        <f t="shared" si="1"/>
        <v>34197.783810000052</v>
      </c>
      <c r="L18" s="266">
        <f t="shared" si="2"/>
        <v>4.10261188904225E-2</v>
      </c>
      <c r="M18" s="266">
        <f t="shared" si="3"/>
        <v>4.1521540498383448E-2</v>
      </c>
    </row>
    <row r="19" spans="1:13" s="26" customFormat="1" ht="13.5" customHeight="1">
      <c r="A19" s="16" t="s">
        <v>18</v>
      </c>
      <c r="B19" s="17">
        <v>3</v>
      </c>
      <c r="C19" s="253">
        <v>1365042.1682261289</v>
      </c>
      <c r="D19" s="255">
        <v>20823.294397000001</v>
      </c>
      <c r="E19" s="258">
        <f t="shared" si="4"/>
        <v>1385865.4626231289</v>
      </c>
      <c r="F19" s="58">
        <v>5174</v>
      </c>
      <c r="G19" s="272">
        <v>35454.5</v>
      </c>
      <c r="H19" s="58">
        <f t="shared" si="0"/>
        <v>28887</v>
      </c>
      <c r="I19" s="58"/>
      <c r="J19" s="58">
        <f t="shared" si="5"/>
        <v>1419926.4626231289</v>
      </c>
      <c r="K19" s="263">
        <f t="shared" si="1"/>
        <v>54884.294396999991</v>
      </c>
      <c r="L19" s="266">
        <f t="shared" si="2"/>
        <v>3.9602902213261362E-2</v>
      </c>
      <c r="M19" s="266">
        <f t="shared" si="3"/>
        <v>4.0207032188845922E-2</v>
      </c>
    </row>
    <row r="20" spans="1:13" s="26" customFormat="1" ht="13.5" customHeight="1">
      <c r="A20" s="16" t="s">
        <v>19</v>
      </c>
      <c r="B20" s="17">
        <v>3</v>
      </c>
      <c r="C20" s="253">
        <v>924370.12797318376</v>
      </c>
      <c r="D20" s="255">
        <v>9983.9270589999996</v>
      </c>
      <c r="E20" s="258">
        <f t="shared" si="4"/>
        <v>934354.05503218377</v>
      </c>
      <c r="F20" s="58">
        <v>2649</v>
      </c>
      <c r="G20" s="272">
        <v>20386</v>
      </c>
      <c r="H20" s="58">
        <f t="shared" si="0"/>
        <v>16610</v>
      </c>
      <c r="I20" s="58"/>
      <c r="J20" s="58">
        <f t="shared" si="5"/>
        <v>953613.05503218377</v>
      </c>
      <c r="K20" s="263">
        <f t="shared" si="1"/>
        <v>29242.927059000009</v>
      </c>
      <c r="L20" s="266">
        <f t="shared" si="2"/>
        <v>3.1297479688245949E-2</v>
      </c>
      <c r="M20" s="266">
        <f t="shared" si="3"/>
        <v>3.1635517174402196E-2</v>
      </c>
    </row>
    <row r="21" spans="1:13" s="26" customFormat="1" ht="13.5" customHeight="1">
      <c r="A21" s="16" t="s">
        <v>20</v>
      </c>
      <c r="B21" s="17">
        <v>3</v>
      </c>
      <c r="C21" s="253">
        <v>1306754.5851154381</v>
      </c>
      <c r="D21" s="255">
        <v>13330.300019999999</v>
      </c>
      <c r="E21" s="258">
        <f t="shared" si="4"/>
        <v>1320084.8851354381</v>
      </c>
      <c r="F21" s="58">
        <v>3599</v>
      </c>
      <c r="G21" s="272">
        <v>28223.5</v>
      </c>
      <c r="H21" s="58">
        <f t="shared" si="0"/>
        <v>22995</v>
      </c>
      <c r="I21" s="58"/>
      <c r="J21" s="58">
        <f t="shared" si="5"/>
        <v>1346678.8851354381</v>
      </c>
      <c r="K21" s="263">
        <f t="shared" si="1"/>
        <v>39924.300019999966</v>
      </c>
      <c r="L21" s="266">
        <f t="shared" si="2"/>
        <v>3.0243736951736867E-2</v>
      </c>
      <c r="M21" s="266">
        <f t="shared" si="3"/>
        <v>3.0552255545729018E-2</v>
      </c>
    </row>
    <row r="22" spans="1:13" s="26" customFormat="1" ht="13.5" customHeight="1">
      <c r="A22" s="16" t="s">
        <v>21</v>
      </c>
      <c r="B22" s="17">
        <v>3</v>
      </c>
      <c r="C22" s="253">
        <v>1128977.6082525733</v>
      </c>
      <c r="D22" s="255">
        <v>14358.949932</v>
      </c>
      <c r="E22" s="258">
        <f t="shared" si="4"/>
        <v>1143336.5581845732</v>
      </c>
      <c r="F22" s="58">
        <v>3860</v>
      </c>
      <c r="G22" s="272">
        <v>32334</v>
      </c>
      <c r="H22" s="58">
        <f t="shared" si="0"/>
        <v>26344</v>
      </c>
      <c r="I22" s="58"/>
      <c r="J22" s="58">
        <f t="shared" si="5"/>
        <v>1173540.5581845732</v>
      </c>
      <c r="K22" s="263">
        <f t="shared" si="1"/>
        <v>44562.949931999901</v>
      </c>
      <c r="L22" s="266">
        <f t="shared" si="2"/>
        <v>3.8976231113223909E-2</v>
      </c>
      <c r="M22" s="266">
        <f t="shared" si="3"/>
        <v>3.947195197340915E-2</v>
      </c>
    </row>
    <row r="23" spans="1:13" s="26" customFormat="1" ht="13.5" customHeight="1">
      <c r="A23" s="16" t="s">
        <v>22</v>
      </c>
      <c r="B23" s="17">
        <v>3</v>
      </c>
      <c r="C23" s="253">
        <v>1148148.0297307179</v>
      </c>
      <c r="D23" s="255">
        <v>14699.757613000002</v>
      </c>
      <c r="E23" s="258">
        <f t="shared" si="4"/>
        <v>1162847.7873437179</v>
      </c>
      <c r="F23" s="58">
        <v>3858</v>
      </c>
      <c r="G23" s="272">
        <v>39743.5</v>
      </c>
      <c r="H23" s="58">
        <f t="shared" si="0"/>
        <v>32381</v>
      </c>
      <c r="I23" s="58"/>
      <c r="J23" s="58">
        <f t="shared" si="5"/>
        <v>1199086.7873437179</v>
      </c>
      <c r="K23" s="263">
        <f t="shared" si="1"/>
        <v>50938.757612999994</v>
      </c>
      <c r="L23" s="266">
        <f t="shared" si="2"/>
        <v>4.3805180839152573E-2</v>
      </c>
      <c r="M23" s="266">
        <f t="shared" si="3"/>
        <v>4.4366019271005475E-2</v>
      </c>
    </row>
    <row r="24" spans="1:13" s="26" customFormat="1" ht="13.5" customHeight="1">
      <c r="A24" s="16" t="s">
        <v>23</v>
      </c>
      <c r="B24" s="17">
        <v>3</v>
      </c>
      <c r="C24" s="253">
        <v>568909.17075554712</v>
      </c>
      <c r="D24" s="255">
        <v>6153.019690000001</v>
      </c>
      <c r="E24" s="258">
        <f t="shared" si="4"/>
        <v>575062.19044554711</v>
      </c>
      <c r="F24" s="58">
        <v>1719</v>
      </c>
      <c r="G24" s="272">
        <v>24042</v>
      </c>
      <c r="H24" s="58">
        <f t="shared" si="0"/>
        <v>19588</v>
      </c>
      <c r="I24" s="58"/>
      <c r="J24" s="58">
        <f t="shared" si="5"/>
        <v>596369.19044554711</v>
      </c>
      <c r="K24" s="263">
        <f t="shared" si="1"/>
        <v>27460.019689999986</v>
      </c>
      <c r="L24" s="266">
        <f t="shared" si="2"/>
        <v>4.7751391321214302E-2</v>
      </c>
      <c r="M24" s="266">
        <f t="shared" si="3"/>
        <v>4.8267845029693147E-2</v>
      </c>
    </row>
    <row r="25" spans="1:13" s="26" customFormat="1" ht="13.5" customHeight="1">
      <c r="A25" s="16" t="s">
        <v>24</v>
      </c>
      <c r="B25" s="17">
        <v>3</v>
      </c>
      <c r="C25" s="253">
        <v>1298780.1345464382</v>
      </c>
      <c r="D25" s="255">
        <v>15678.798728</v>
      </c>
      <c r="E25" s="258">
        <f t="shared" si="4"/>
        <v>1314458.9332744381</v>
      </c>
      <c r="F25" s="58">
        <v>4136</v>
      </c>
      <c r="G25" s="272">
        <v>34476</v>
      </c>
      <c r="H25" s="58">
        <f t="shared" si="0"/>
        <v>28089</v>
      </c>
      <c r="I25" s="58"/>
      <c r="J25" s="58">
        <f t="shared" si="5"/>
        <v>1346683.9332744381</v>
      </c>
      <c r="K25" s="263">
        <f t="shared" si="1"/>
        <v>47903.798727999907</v>
      </c>
      <c r="L25" s="266">
        <f t="shared" si="2"/>
        <v>3.6443739332857772E-2</v>
      </c>
      <c r="M25" s="266">
        <f t="shared" si="3"/>
        <v>3.6883686048007611E-2</v>
      </c>
    </row>
    <row r="26" spans="1:13" s="26" customFormat="1" ht="13.5" customHeight="1">
      <c r="A26" s="16" t="s">
        <v>25</v>
      </c>
      <c r="B26" s="17">
        <v>3</v>
      </c>
      <c r="C26" s="253">
        <v>1199403.2573326579</v>
      </c>
      <c r="D26" s="255">
        <v>18648.917587</v>
      </c>
      <c r="E26" s="258">
        <f t="shared" si="4"/>
        <v>1218052.1749196579</v>
      </c>
      <c r="F26" s="58">
        <v>4768</v>
      </c>
      <c r="G26" s="272">
        <v>30781</v>
      </c>
      <c r="H26" s="58">
        <f t="shared" si="0"/>
        <v>25079</v>
      </c>
      <c r="I26" s="58"/>
      <c r="J26" s="58">
        <f t="shared" si="5"/>
        <v>1247899.1749196579</v>
      </c>
      <c r="K26" s="263">
        <f t="shared" si="1"/>
        <v>48495.917586999945</v>
      </c>
      <c r="L26" s="266">
        <f t="shared" si="2"/>
        <v>3.9814318783346625E-2</v>
      </c>
      <c r="M26" s="266">
        <f t="shared" si="3"/>
        <v>4.0433371587508926E-2</v>
      </c>
    </row>
    <row r="27" spans="1:13" s="26" customFormat="1" ht="13.5" customHeight="1">
      <c r="A27" s="16" t="s">
        <v>26</v>
      </c>
      <c r="B27" s="17">
        <v>3</v>
      </c>
      <c r="C27" s="253">
        <v>704723.49500453321</v>
      </c>
      <c r="D27" s="255">
        <v>8836.5766619999995</v>
      </c>
      <c r="E27" s="258">
        <f t="shared" si="4"/>
        <v>713560.07166653324</v>
      </c>
      <c r="F27" s="58">
        <v>2398</v>
      </c>
      <c r="G27" s="272">
        <v>23389.5</v>
      </c>
      <c r="H27" s="58">
        <f t="shared" si="0"/>
        <v>19057</v>
      </c>
      <c r="I27" s="58"/>
      <c r="J27" s="58">
        <f t="shared" si="5"/>
        <v>735015.07166653324</v>
      </c>
      <c r="K27" s="263">
        <f t="shared" si="1"/>
        <v>30291.576662000036</v>
      </c>
      <c r="L27" s="266">
        <f t="shared" si="2"/>
        <v>4.245133362248462E-2</v>
      </c>
      <c r="M27" s="266">
        <f t="shared" si="3"/>
        <v>4.29836338318835E-2</v>
      </c>
    </row>
    <row r="28" spans="1:13" s="26" customFormat="1" ht="13.5" customHeight="1">
      <c r="A28" s="16" t="s">
        <v>27</v>
      </c>
      <c r="B28" s="17">
        <v>4</v>
      </c>
      <c r="C28" s="253">
        <v>3063819.4898824035</v>
      </c>
      <c r="D28" s="255">
        <v>48750.344624999998</v>
      </c>
      <c r="E28" s="258">
        <f t="shared" si="4"/>
        <v>3112569.8345074034</v>
      </c>
      <c r="F28" s="58">
        <v>12481</v>
      </c>
      <c r="G28" s="272">
        <v>102654.5</v>
      </c>
      <c r="H28" s="58">
        <f t="shared" si="0"/>
        <v>83638</v>
      </c>
      <c r="I28" s="58"/>
      <c r="J28" s="58">
        <f t="shared" si="5"/>
        <v>3208688.8345074034</v>
      </c>
      <c r="K28" s="263">
        <f t="shared" si="1"/>
        <v>144869.34462499991</v>
      </c>
      <c r="L28" s="266">
        <f t="shared" si="2"/>
        <v>4.6543323468251435E-2</v>
      </c>
      <c r="M28" s="266">
        <f t="shared" si="3"/>
        <v>4.72839033446322E-2</v>
      </c>
    </row>
    <row r="29" spans="1:13" s="26" customFormat="1" ht="13.5" customHeight="1">
      <c r="A29" s="16" t="s">
        <v>28</v>
      </c>
      <c r="B29" s="17">
        <v>4</v>
      </c>
      <c r="C29" s="253">
        <v>1557901.7635374721</v>
      </c>
      <c r="D29" s="255">
        <v>18454.225001000003</v>
      </c>
      <c r="E29" s="258">
        <f t="shared" si="4"/>
        <v>1576355.9885384722</v>
      </c>
      <c r="F29" s="58">
        <v>4880</v>
      </c>
      <c r="G29" s="272">
        <v>65278</v>
      </c>
      <c r="H29" s="58">
        <f t="shared" si="0"/>
        <v>53185</v>
      </c>
      <c r="I29" s="58"/>
      <c r="J29" s="58">
        <f t="shared" si="5"/>
        <v>1634420.9885384722</v>
      </c>
      <c r="K29" s="263">
        <f t="shared" si="1"/>
        <v>76519.225001000101</v>
      </c>
      <c r="L29" s="266">
        <f t="shared" si="2"/>
        <v>4.8541843059159089E-2</v>
      </c>
      <c r="M29" s="266">
        <f t="shared" si="3"/>
        <v>4.9116848566401659E-2</v>
      </c>
    </row>
    <row r="30" spans="1:13" s="26" customFormat="1" ht="13.5" customHeight="1">
      <c r="A30" s="16" t="s">
        <v>29</v>
      </c>
      <c r="B30" s="17">
        <v>4</v>
      </c>
      <c r="C30" s="253">
        <v>1857621.4224692769</v>
      </c>
      <c r="D30" s="255">
        <v>24460.543118559999</v>
      </c>
      <c r="E30" s="258">
        <f t="shared" si="4"/>
        <v>1882081.9655878369</v>
      </c>
      <c r="F30" s="58">
        <v>6257</v>
      </c>
      <c r="G30" s="272">
        <v>71591</v>
      </c>
      <c r="H30" s="58">
        <f t="shared" si="0"/>
        <v>58329</v>
      </c>
      <c r="I30" s="58"/>
      <c r="J30" s="58">
        <f t="shared" si="5"/>
        <v>1946667.9655878369</v>
      </c>
      <c r="K30" s="263">
        <f t="shared" si="1"/>
        <v>89046.543118559988</v>
      </c>
      <c r="L30" s="266">
        <f t="shared" si="2"/>
        <v>4.7312786980957963E-2</v>
      </c>
      <c r="M30" s="266">
        <f t="shared" si="3"/>
        <v>4.79357860764726E-2</v>
      </c>
    </row>
    <row r="31" spans="1:13" s="26" customFormat="1" ht="13.5" customHeight="1">
      <c r="A31" s="16" t="s">
        <v>30</v>
      </c>
      <c r="B31" s="17">
        <v>4</v>
      </c>
      <c r="C31" s="253">
        <v>2009733.3847616124</v>
      </c>
      <c r="D31" s="255">
        <v>30989.550552000001</v>
      </c>
      <c r="E31" s="258">
        <f t="shared" si="4"/>
        <v>2040722.9353136125</v>
      </c>
      <c r="F31" s="58">
        <v>7874</v>
      </c>
      <c r="G31" s="272">
        <v>61752.5</v>
      </c>
      <c r="H31" s="58">
        <f t="shared" si="0"/>
        <v>50313</v>
      </c>
      <c r="I31" s="58"/>
      <c r="J31" s="58">
        <f t="shared" si="5"/>
        <v>2098909.9353136122</v>
      </c>
      <c r="K31" s="263">
        <f t="shared" si="1"/>
        <v>89176.550551999826</v>
      </c>
      <c r="L31" s="266">
        <f t="shared" si="2"/>
        <v>4.3698509488401191E-2</v>
      </c>
      <c r="M31" s="266">
        <f t="shared" si="3"/>
        <v>4.4372328801503012E-2</v>
      </c>
    </row>
    <row r="32" spans="1:13" s="26" customFormat="1" ht="13.5" customHeight="1">
      <c r="A32" s="16" t="s">
        <v>31</v>
      </c>
      <c r="B32" s="17">
        <v>4</v>
      </c>
      <c r="C32" s="253">
        <v>3029669.554779971</v>
      </c>
      <c r="D32" s="255">
        <v>41439.559609999997</v>
      </c>
      <c r="E32" s="258">
        <f t="shared" si="4"/>
        <v>3071109.1143899709</v>
      </c>
      <c r="F32" s="58">
        <v>10657</v>
      </c>
      <c r="G32" s="272">
        <v>87914.5</v>
      </c>
      <c r="H32" s="58">
        <f t="shared" si="0"/>
        <v>71628</v>
      </c>
      <c r="I32" s="58"/>
      <c r="J32" s="58">
        <f t="shared" si="5"/>
        <v>3153394.1143899709</v>
      </c>
      <c r="K32" s="263">
        <f t="shared" si="1"/>
        <v>123724.55960999988</v>
      </c>
      <c r="L32" s="266">
        <f t="shared" si="2"/>
        <v>4.0286604937049227E-2</v>
      </c>
      <c r="M32" s="266">
        <f t="shared" si="3"/>
        <v>4.0837641654614489E-2</v>
      </c>
    </row>
    <row r="33" spans="1:13" s="26" customFormat="1" ht="13.5" customHeight="1">
      <c r="A33" s="16" t="s">
        <v>32</v>
      </c>
      <c r="B33" s="17">
        <v>4</v>
      </c>
      <c r="C33" s="253">
        <v>1593029.1728064942</v>
      </c>
      <c r="D33" s="255">
        <v>21018.818771169037</v>
      </c>
      <c r="E33" s="258">
        <f t="shared" si="4"/>
        <v>1614047.9915776632</v>
      </c>
      <c r="F33" s="58">
        <v>5321</v>
      </c>
      <c r="G33" s="272">
        <v>53930</v>
      </c>
      <c r="H33" s="58">
        <f t="shared" si="0"/>
        <v>43940</v>
      </c>
      <c r="I33" s="58"/>
      <c r="J33" s="167">
        <f t="shared" si="5"/>
        <v>1663308.9915776632</v>
      </c>
      <c r="K33" s="263">
        <f t="shared" si="1"/>
        <v>70279.818771169055</v>
      </c>
      <c r="L33" s="266">
        <f t="shared" si="2"/>
        <v>4.3542583081729508E-2</v>
      </c>
      <c r="M33" s="266">
        <f t="shared" si="3"/>
        <v>4.4117094633838179E-2</v>
      </c>
    </row>
    <row r="34" spans="1:13" s="26" customFormat="1" ht="13.5" customHeight="1">
      <c r="A34" s="16" t="s">
        <v>33</v>
      </c>
      <c r="B34" s="17">
        <v>4</v>
      </c>
      <c r="C34" s="253">
        <v>2193535.928849957</v>
      </c>
      <c r="D34" s="255">
        <v>32192.571596000002</v>
      </c>
      <c r="E34" s="258">
        <f t="shared" si="4"/>
        <v>2225728.5004459568</v>
      </c>
      <c r="F34" s="58">
        <v>8044</v>
      </c>
      <c r="G34" s="272">
        <v>59943.5</v>
      </c>
      <c r="H34" s="58">
        <f t="shared" ref="H34:H65" si="6">ROUND((G34/$G$70*$H$73),0)</f>
        <v>48839</v>
      </c>
      <c r="I34" s="58"/>
      <c r="J34" s="58">
        <f t="shared" si="5"/>
        <v>2282611.5004459568</v>
      </c>
      <c r="K34" s="263">
        <f t="shared" ref="K34:K65" si="7">J34-C34</f>
        <v>89075.571595999878</v>
      </c>
      <c r="L34" s="266">
        <f t="shared" ref="L34:L65" si="8">K34/E34</f>
        <v>4.0020861294696231E-2</v>
      </c>
      <c r="M34" s="266">
        <f t="shared" ref="M34:M68" si="9">K34/C34</f>
        <v>4.0608211802895366E-2</v>
      </c>
    </row>
    <row r="35" spans="1:13" s="26" customFormat="1" ht="13.5" customHeight="1">
      <c r="A35" s="16" t="s">
        <v>34</v>
      </c>
      <c r="B35" s="17">
        <v>4</v>
      </c>
      <c r="C35" s="253">
        <v>1941030.192744473</v>
      </c>
      <c r="D35" s="255">
        <v>29638.714400000001</v>
      </c>
      <c r="E35" s="258">
        <f t="shared" si="4"/>
        <v>1970668.9071444729</v>
      </c>
      <c r="F35" s="58">
        <v>7724</v>
      </c>
      <c r="G35" s="272">
        <v>72197.5</v>
      </c>
      <c r="H35" s="58">
        <f t="shared" si="6"/>
        <v>58823</v>
      </c>
      <c r="I35" s="58"/>
      <c r="J35" s="58">
        <f t="shared" si="5"/>
        <v>2037215.9071444729</v>
      </c>
      <c r="K35" s="263">
        <f t="shared" si="7"/>
        <v>96185.714399999939</v>
      </c>
      <c r="L35" s="266">
        <f t="shared" si="8"/>
        <v>4.8808662912013155E-2</v>
      </c>
      <c r="M35" s="266">
        <f t="shared" si="9"/>
        <v>4.955395065957241E-2</v>
      </c>
    </row>
    <row r="36" spans="1:13" s="26" customFormat="1" ht="13.5" customHeight="1">
      <c r="A36" s="16" t="s">
        <v>35</v>
      </c>
      <c r="B36" s="17">
        <v>4</v>
      </c>
      <c r="C36" s="253">
        <v>1687871.4594191166</v>
      </c>
      <c r="D36" s="255">
        <v>22803.311220000003</v>
      </c>
      <c r="E36" s="258">
        <f t="shared" si="4"/>
        <v>1710674.7706391166</v>
      </c>
      <c r="F36" s="58">
        <v>5875</v>
      </c>
      <c r="G36" s="272">
        <v>70373.5</v>
      </c>
      <c r="H36" s="58">
        <f t="shared" si="6"/>
        <v>57337</v>
      </c>
      <c r="I36" s="58"/>
      <c r="J36" s="58">
        <f t="shared" si="5"/>
        <v>1773886.7706391166</v>
      </c>
      <c r="K36" s="263">
        <f t="shared" si="7"/>
        <v>86015.311220000032</v>
      </c>
      <c r="L36" s="266">
        <f t="shared" si="8"/>
        <v>5.0281510370240791E-2</v>
      </c>
      <c r="M36" s="266">
        <f t="shared" si="9"/>
        <v>5.096081857418356E-2</v>
      </c>
    </row>
    <row r="37" spans="1:13" s="26" customFormat="1" ht="13.5" customHeight="1">
      <c r="A37" s="16" t="s">
        <v>36</v>
      </c>
      <c r="B37" s="17">
        <v>5</v>
      </c>
      <c r="C37" s="253">
        <v>5924258.6490596049</v>
      </c>
      <c r="D37" s="255">
        <v>76808.892504000003</v>
      </c>
      <c r="E37" s="258">
        <f t="shared" si="4"/>
        <v>6001067.541563605</v>
      </c>
      <c r="F37" s="58">
        <v>19283</v>
      </c>
      <c r="G37" s="272">
        <v>185378</v>
      </c>
      <c r="H37" s="58">
        <f t="shared" si="6"/>
        <v>151037</v>
      </c>
      <c r="I37" s="58"/>
      <c r="J37" s="58">
        <f t="shared" si="5"/>
        <v>6171387.541563605</v>
      </c>
      <c r="K37" s="263">
        <f t="shared" si="7"/>
        <v>247128.8925040001</v>
      </c>
      <c r="L37" s="266">
        <f t="shared" si="8"/>
        <v>4.1180821710866726E-2</v>
      </c>
      <c r="M37" s="266">
        <f t="shared" si="9"/>
        <v>4.1714737175296765E-2</v>
      </c>
    </row>
    <row r="38" spans="1:13" s="26" customFormat="1" ht="13.5" customHeight="1">
      <c r="A38" s="16" t="s">
        <v>37</v>
      </c>
      <c r="B38" s="17">
        <v>5</v>
      </c>
      <c r="C38" s="253">
        <v>3607348.7005813592</v>
      </c>
      <c r="D38" s="255">
        <v>42079.793673</v>
      </c>
      <c r="E38" s="258">
        <f t="shared" si="4"/>
        <v>3649428.494254359</v>
      </c>
      <c r="F38" s="58">
        <v>10810</v>
      </c>
      <c r="G38" s="272">
        <v>140392.5</v>
      </c>
      <c r="H38" s="58">
        <f t="shared" si="6"/>
        <v>114385</v>
      </c>
      <c r="I38" s="58"/>
      <c r="J38" s="58">
        <f t="shared" si="5"/>
        <v>3774623.494254359</v>
      </c>
      <c r="K38" s="263">
        <f t="shared" si="7"/>
        <v>167274.79367299983</v>
      </c>
      <c r="L38" s="266">
        <f t="shared" si="8"/>
        <v>4.583588743726761E-2</v>
      </c>
      <c r="M38" s="266">
        <f t="shared" si="9"/>
        <v>4.6370563967392975E-2</v>
      </c>
    </row>
    <row r="39" spans="1:13" s="26" customFormat="1" ht="13.5" customHeight="1">
      <c r="A39" s="16" t="s">
        <v>38</v>
      </c>
      <c r="B39" s="17">
        <v>5</v>
      </c>
      <c r="C39" s="253">
        <v>3737552.9093964566</v>
      </c>
      <c r="D39" s="255">
        <v>54637.433878999997</v>
      </c>
      <c r="E39" s="258">
        <f t="shared" si="4"/>
        <v>3792190.3432754567</v>
      </c>
      <c r="F39" s="58">
        <v>13807</v>
      </c>
      <c r="G39" s="272">
        <v>142202</v>
      </c>
      <c r="H39" s="58">
        <f t="shared" si="6"/>
        <v>115859</v>
      </c>
      <c r="I39" s="58"/>
      <c r="J39" s="58">
        <f t="shared" si="5"/>
        <v>3921856.3432754567</v>
      </c>
      <c r="K39" s="263">
        <f t="shared" si="7"/>
        <v>184303.43387900013</v>
      </c>
      <c r="L39" s="266">
        <f t="shared" si="8"/>
        <v>4.8600786668268968E-2</v>
      </c>
      <c r="M39" s="266">
        <f t="shared" si="9"/>
        <v>4.9311257484984106E-2</v>
      </c>
    </row>
    <row r="40" spans="1:13" s="26" customFormat="1" ht="13.5" customHeight="1">
      <c r="A40" s="16" t="s">
        <v>39</v>
      </c>
      <c r="B40" s="17">
        <v>5</v>
      </c>
      <c r="C40" s="253">
        <v>3487927.0325470357</v>
      </c>
      <c r="D40" s="255">
        <v>44983.376539999997</v>
      </c>
      <c r="E40" s="258">
        <f t="shared" si="4"/>
        <v>3532910.4090870358</v>
      </c>
      <c r="F40" s="58">
        <v>11570</v>
      </c>
      <c r="G40" s="272">
        <v>128656.5</v>
      </c>
      <c r="H40" s="58">
        <f t="shared" si="6"/>
        <v>104823</v>
      </c>
      <c r="I40" s="58"/>
      <c r="J40" s="58">
        <f t="shared" si="5"/>
        <v>3649303.4090870358</v>
      </c>
      <c r="K40" s="263">
        <f t="shared" si="7"/>
        <v>161376.37654000008</v>
      </c>
      <c r="L40" s="266">
        <f t="shared" si="8"/>
        <v>4.5678026854267861E-2</v>
      </c>
      <c r="M40" s="266">
        <f t="shared" si="9"/>
        <v>4.6267130887241083E-2</v>
      </c>
    </row>
    <row r="41" spans="1:13" s="26" customFormat="1" ht="13.5" customHeight="1">
      <c r="A41" s="16" t="s">
        <v>40</v>
      </c>
      <c r="B41" s="17">
        <v>5</v>
      </c>
      <c r="C41" s="253">
        <v>3572364.8294009161</v>
      </c>
      <c r="D41" s="255">
        <v>40073.022314000009</v>
      </c>
      <c r="E41" s="258">
        <f t="shared" si="4"/>
        <v>3612437.8517149161</v>
      </c>
      <c r="F41" s="58">
        <v>10122</v>
      </c>
      <c r="G41" s="272">
        <v>104015</v>
      </c>
      <c r="H41" s="58">
        <f t="shared" si="6"/>
        <v>84746</v>
      </c>
      <c r="I41" s="58"/>
      <c r="J41" s="58">
        <f t="shared" si="5"/>
        <v>3707305.8517149161</v>
      </c>
      <c r="K41" s="263">
        <f t="shared" si="7"/>
        <v>134941.02231399994</v>
      </c>
      <c r="L41" s="266">
        <f t="shared" si="8"/>
        <v>3.735455884727263E-2</v>
      </c>
      <c r="M41" s="266">
        <f t="shared" si="9"/>
        <v>3.777358381860161E-2</v>
      </c>
    </row>
    <row r="42" spans="1:13" s="26" customFormat="1" ht="13.5" customHeight="1">
      <c r="A42" s="16" t="s">
        <v>41</v>
      </c>
      <c r="B42" s="17">
        <v>5</v>
      </c>
      <c r="C42" s="253">
        <v>3577729.3127536457</v>
      </c>
      <c r="D42" s="255">
        <v>52866.216639999999</v>
      </c>
      <c r="E42" s="258">
        <f t="shared" si="4"/>
        <v>3630595.5293936459</v>
      </c>
      <c r="F42" s="58">
        <v>13517</v>
      </c>
      <c r="G42" s="272">
        <v>121354.5</v>
      </c>
      <c r="H42" s="58">
        <f t="shared" si="6"/>
        <v>98874</v>
      </c>
      <c r="I42" s="58"/>
      <c r="J42" s="58">
        <f t="shared" si="5"/>
        <v>3742986.5293936459</v>
      </c>
      <c r="K42" s="263">
        <f t="shared" si="7"/>
        <v>165257.21664000023</v>
      </c>
      <c r="L42" s="266">
        <f t="shared" si="8"/>
        <v>4.5517936465811773E-2</v>
      </c>
      <c r="M42" s="266">
        <f t="shared" si="9"/>
        <v>4.6190530974744952E-2</v>
      </c>
    </row>
    <row r="43" spans="1:13" s="26" customFormat="1" ht="13.5" customHeight="1">
      <c r="A43" s="16" t="s">
        <v>42</v>
      </c>
      <c r="B43" s="17">
        <v>5</v>
      </c>
      <c r="C43" s="253">
        <v>3716894.5437888196</v>
      </c>
      <c r="D43" s="255">
        <v>50568.145086700177</v>
      </c>
      <c r="E43" s="258">
        <f t="shared" si="4"/>
        <v>3767462.6888755197</v>
      </c>
      <c r="F43" s="58">
        <v>12599</v>
      </c>
      <c r="G43" s="272">
        <v>154122.5</v>
      </c>
      <c r="H43" s="58">
        <f t="shared" si="6"/>
        <v>125572</v>
      </c>
      <c r="I43" s="58"/>
      <c r="J43" s="58">
        <f t="shared" si="5"/>
        <v>3905633.6888755197</v>
      </c>
      <c r="K43" s="263">
        <f t="shared" si="7"/>
        <v>188739.1450867001</v>
      </c>
      <c r="L43" s="266">
        <f t="shared" si="8"/>
        <v>5.0097150436022857E-2</v>
      </c>
      <c r="M43" s="266">
        <f t="shared" si="9"/>
        <v>5.0778719402221374E-2</v>
      </c>
    </row>
    <row r="44" spans="1:13" s="26" customFormat="1" ht="13.5" customHeight="1">
      <c r="A44" s="16" t="s">
        <v>43</v>
      </c>
      <c r="B44" s="17">
        <v>5</v>
      </c>
      <c r="C44" s="253">
        <v>3655584.574165097</v>
      </c>
      <c r="D44" s="255">
        <v>50895.595095199998</v>
      </c>
      <c r="E44" s="258">
        <f t="shared" si="4"/>
        <v>3706480.169260297</v>
      </c>
      <c r="F44" s="58">
        <v>12693</v>
      </c>
      <c r="G44" s="272">
        <v>160469</v>
      </c>
      <c r="H44" s="58">
        <f t="shared" si="6"/>
        <v>130742</v>
      </c>
      <c r="I44" s="58"/>
      <c r="J44" s="58">
        <f t="shared" si="5"/>
        <v>3849915.169260297</v>
      </c>
      <c r="K44" s="263">
        <f t="shared" si="7"/>
        <v>194330.5950952</v>
      </c>
      <c r="L44" s="266">
        <f t="shared" si="8"/>
        <v>5.2429956784034969E-2</v>
      </c>
      <c r="M44" s="266">
        <f t="shared" si="9"/>
        <v>5.3159923167578026E-2</v>
      </c>
    </row>
    <row r="45" spans="1:13" s="26" customFormat="1" ht="13.5" customHeight="1">
      <c r="A45" s="16" t="s">
        <v>44</v>
      </c>
      <c r="B45" s="17">
        <v>5</v>
      </c>
      <c r="C45" s="253">
        <v>3243588.8158480064</v>
      </c>
      <c r="D45" s="255">
        <v>46152.735752792803</v>
      </c>
      <c r="E45" s="258">
        <f t="shared" si="4"/>
        <v>3289741.5516007994</v>
      </c>
      <c r="F45" s="58">
        <v>11761</v>
      </c>
      <c r="G45" s="272">
        <v>119938.5</v>
      </c>
      <c r="H45" s="58">
        <f t="shared" si="6"/>
        <v>97720</v>
      </c>
      <c r="I45" s="58"/>
      <c r="J45" s="58">
        <f t="shared" si="5"/>
        <v>3399222.5516007994</v>
      </c>
      <c r="K45" s="263">
        <f t="shared" si="7"/>
        <v>155633.73575279303</v>
      </c>
      <c r="L45" s="266">
        <f t="shared" si="8"/>
        <v>4.730880323320874E-2</v>
      </c>
      <c r="M45" s="266">
        <f t="shared" si="9"/>
        <v>4.7981955971846582E-2</v>
      </c>
    </row>
    <row r="46" spans="1:13" s="26" customFormat="1" ht="13.5" customHeight="1">
      <c r="A46" s="16" t="s">
        <v>45</v>
      </c>
      <c r="B46" s="17">
        <v>6</v>
      </c>
      <c r="C46" s="253">
        <v>3941758.0786951818</v>
      </c>
      <c r="D46" s="255">
        <v>50195.492847459209</v>
      </c>
      <c r="E46" s="258">
        <f t="shared" si="4"/>
        <v>3991953.5715426411</v>
      </c>
      <c r="F46" s="58">
        <v>12538</v>
      </c>
      <c r="G46" s="272">
        <v>194563</v>
      </c>
      <c r="H46" s="58">
        <f t="shared" si="6"/>
        <v>158520</v>
      </c>
      <c r="I46" s="58"/>
      <c r="J46" s="58">
        <f t="shared" si="5"/>
        <v>4163011.5715426411</v>
      </c>
      <c r="K46" s="263">
        <f t="shared" si="7"/>
        <v>221253.49284745939</v>
      </c>
      <c r="L46" s="266">
        <f t="shared" si="8"/>
        <v>5.5424866267159194E-2</v>
      </c>
      <c r="M46" s="266">
        <f t="shared" si="9"/>
        <v>5.6130662620649641E-2</v>
      </c>
    </row>
    <row r="47" spans="1:13" s="26" customFormat="1" ht="13.5" customHeight="1">
      <c r="A47" s="16" t="s">
        <v>46</v>
      </c>
      <c r="B47" s="17">
        <v>6</v>
      </c>
      <c r="C47" s="253">
        <v>11517991.535049893</v>
      </c>
      <c r="D47" s="255">
        <v>138124.578713</v>
      </c>
      <c r="E47" s="258">
        <f t="shared" si="4"/>
        <v>11656116.113762893</v>
      </c>
      <c r="F47" s="58">
        <v>34353</v>
      </c>
      <c r="G47" s="272">
        <v>388680</v>
      </c>
      <c r="H47" s="58">
        <f t="shared" si="6"/>
        <v>316678</v>
      </c>
      <c r="I47" s="58"/>
      <c r="J47" s="58">
        <f t="shared" si="5"/>
        <v>12007147.113762893</v>
      </c>
      <c r="K47" s="263">
        <f t="shared" si="7"/>
        <v>489155.57871299982</v>
      </c>
      <c r="L47" s="266">
        <f t="shared" si="8"/>
        <v>4.1965571888515435E-2</v>
      </c>
      <c r="M47" s="266">
        <f t="shared" si="9"/>
        <v>4.246882602964866E-2</v>
      </c>
    </row>
    <row r="48" spans="1:13" s="26" customFormat="1" ht="13.5" customHeight="1">
      <c r="A48" s="16" t="s">
        <v>47</v>
      </c>
      <c r="B48" s="17">
        <v>6</v>
      </c>
      <c r="C48" s="253">
        <v>6549606.5919116838</v>
      </c>
      <c r="D48" s="255">
        <v>92475.281812000001</v>
      </c>
      <c r="E48" s="258">
        <f t="shared" si="4"/>
        <v>6642081.8737236839</v>
      </c>
      <c r="F48" s="58">
        <v>23546</v>
      </c>
      <c r="G48" s="272">
        <v>230847.5</v>
      </c>
      <c r="H48" s="58">
        <f t="shared" si="6"/>
        <v>188083</v>
      </c>
      <c r="I48" s="58"/>
      <c r="J48" s="58">
        <f t="shared" si="5"/>
        <v>6853710.8737236839</v>
      </c>
      <c r="K48" s="263">
        <f t="shared" si="7"/>
        <v>304104.28181200009</v>
      </c>
      <c r="L48" s="266">
        <f t="shared" si="8"/>
        <v>4.578448257541775E-2</v>
      </c>
      <c r="M48" s="266">
        <f t="shared" si="9"/>
        <v>4.6430923376000639E-2</v>
      </c>
    </row>
    <row r="49" spans="1:13" s="26" customFormat="1" ht="13.5" customHeight="1">
      <c r="A49" s="16" t="s">
        <v>48</v>
      </c>
      <c r="B49" s="17">
        <v>6</v>
      </c>
      <c r="C49" s="253">
        <v>7108406.4357385244</v>
      </c>
      <c r="D49" s="255">
        <v>75754.815195000003</v>
      </c>
      <c r="E49" s="258">
        <f t="shared" si="4"/>
        <v>7184161.2509335242</v>
      </c>
      <c r="F49" s="58">
        <v>19139</v>
      </c>
      <c r="G49" s="272">
        <v>246362.5</v>
      </c>
      <c r="H49" s="58">
        <f t="shared" si="6"/>
        <v>200724</v>
      </c>
      <c r="I49" s="58"/>
      <c r="J49" s="58">
        <f t="shared" si="5"/>
        <v>7404024.2509335242</v>
      </c>
      <c r="K49" s="263">
        <f t="shared" si="7"/>
        <v>295617.8151949998</v>
      </c>
      <c r="L49" s="266">
        <f t="shared" si="8"/>
        <v>4.114854954801949E-2</v>
      </c>
      <c r="M49" s="266">
        <f t="shared" si="9"/>
        <v>4.1587072695891333E-2</v>
      </c>
    </row>
    <row r="50" spans="1:13" s="26" customFormat="1" ht="13.5" customHeight="1">
      <c r="A50" s="16" t="s">
        <v>49</v>
      </c>
      <c r="B50" s="17">
        <v>6</v>
      </c>
      <c r="C50" s="253">
        <v>6312466.3796340935</v>
      </c>
      <c r="D50" s="255">
        <v>81176.93888999999</v>
      </c>
      <c r="E50" s="258">
        <f t="shared" si="4"/>
        <v>6393643.3185240934</v>
      </c>
      <c r="F50" s="58">
        <v>20616</v>
      </c>
      <c r="G50" s="272">
        <v>230984</v>
      </c>
      <c r="H50" s="58">
        <f t="shared" si="6"/>
        <v>188195</v>
      </c>
      <c r="I50" s="58"/>
      <c r="J50" s="167">
        <f t="shared" si="5"/>
        <v>6602454.3185240934</v>
      </c>
      <c r="K50" s="263">
        <f t="shared" si="7"/>
        <v>289987.93888999987</v>
      </c>
      <c r="L50" s="266">
        <f t="shared" si="8"/>
        <v>4.5355664124995421E-2</v>
      </c>
      <c r="M50" s="266">
        <f t="shared" si="9"/>
        <v>4.5938928059179499E-2</v>
      </c>
    </row>
    <row r="51" spans="1:13" s="26" customFormat="1" ht="13.5" customHeight="1">
      <c r="A51" s="16" t="s">
        <v>50</v>
      </c>
      <c r="B51" s="17">
        <v>6</v>
      </c>
      <c r="C51" s="253">
        <v>6023069.4605719475</v>
      </c>
      <c r="D51" s="255">
        <v>72411.828588999997</v>
      </c>
      <c r="E51" s="258">
        <f t="shared" si="4"/>
        <v>6095481.2891609473</v>
      </c>
      <c r="F51" s="58">
        <v>18464</v>
      </c>
      <c r="G51" s="272">
        <v>205593</v>
      </c>
      <c r="H51" s="58">
        <f t="shared" si="6"/>
        <v>167507</v>
      </c>
      <c r="I51" s="58"/>
      <c r="J51" s="58">
        <f t="shared" si="5"/>
        <v>6281452.2891609473</v>
      </c>
      <c r="K51" s="263">
        <f t="shared" si="7"/>
        <v>258382.82858899981</v>
      </c>
      <c r="L51" s="266">
        <f t="shared" si="8"/>
        <v>4.2389241526909288E-2</v>
      </c>
      <c r="M51" s="266">
        <f t="shared" si="9"/>
        <v>4.2898862495347002E-2</v>
      </c>
    </row>
    <row r="52" spans="1:13" s="26" customFormat="1" ht="13.5" customHeight="1">
      <c r="A52" s="16" t="s">
        <v>51</v>
      </c>
      <c r="B52" s="17">
        <v>6</v>
      </c>
      <c r="C52" s="253">
        <v>6050340.6865703063</v>
      </c>
      <c r="D52" s="255">
        <v>71889.013714600005</v>
      </c>
      <c r="E52" s="258">
        <f t="shared" si="4"/>
        <v>6122229.7002849067</v>
      </c>
      <c r="F52" s="58">
        <v>18186</v>
      </c>
      <c r="G52" s="272">
        <v>240170</v>
      </c>
      <c r="H52" s="58">
        <f t="shared" si="6"/>
        <v>195679</v>
      </c>
      <c r="I52" s="58"/>
      <c r="J52" s="58">
        <f t="shared" si="5"/>
        <v>6336094.7002849067</v>
      </c>
      <c r="K52" s="263">
        <f t="shared" si="7"/>
        <v>285754.01371460035</v>
      </c>
      <c r="L52" s="266">
        <f t="shared" si="8"/>
        <v>4.6674827261267635E-2</v>
      </c>
      <c r="M52" s="266">
        <f t="shared" si="9"/>
        <v>4.7229408808148084E-2</v>
      </c>
    </row>
    <row r="53" spans="1:13" s="26" customFormat="1" ht="13.5" customHeight="1">
      <c r="A53" s="16" t="s">
        <v>52</v>
      </c>
      <c r="B53" s="17">
        <v>6</v>
      </c>
      <c r="C53" s="253">
        <v>6684669.8682746552</v>
      </c>
      <c r="D53" s="255">
        <v>78537.505864000006</v>
      </c>
      <c r="E53" s="258">
        <f t="shared" si="4"/>
        <v>6763207.3741386551</v>
      </c>
      <c r="F53" s="58">
        <v>20229</v>
      </c>
      <c r="G53" s="272">
        <v>239539.5</v>
      </c>
      <c r="H53" s="58">
        <f t="shared" si="6"/>
        <v>195165</v>
      </c>
      <c r="I53" s="58"/>
      <c r="J53" s="58">
        <f t="shared" si="5"/>
        <v>6978601.3741386551</v>
      </c>
      <c r="K53" s="263">
        <f t="shared" si="7"/>
        <v>293931.50586399995</v>
      </c>
      <c r="L53" s="266">
        <f t="shared" si="8"/>
        <v>4.3460371626034063E-2</v>
      </c>
      <c r="M53" s="266">
        <f t="shared" si="9"/>
        <v>4.3970983108529343E-2</v>
      </c>
    </row>
    <row r="54" spans="1:13" s="26" customFormat="1" ht="13.5" customHeight="1">
      <c r="A54" s="16" t="s">
        <v>53</v>
      </c>
      <c r="B54" s="17">
        <v>6</v>
      </c>
      <c r="C54" s="253">
        <v>7898790.8338446869</v>
      </c>
      <c r="D54" s="255">
        <v>86695.637225000013</v>
      </c>
      <c r="E54" s="258">
        <f t="shared" si="4"/>
        <v>7985486.471069687</v>
      </c>
      <c r="F54" s="58">
        <v>22005</v>
      </c>
      <c r="G54" s="272">
        <v>291815.5</v>
      </c>
      <c r="H54" s="58">
        <f t="shared" si="6"/>
        <v>237757</v>
      </c>
      <c r="I54" s="58"/>
      <c r="J54" s="58">
        <f t="shared" si="5"/>
        <v>8245248.471069687</v>
      </c>
      <c r="K54" s="263">
        <f t="shared" si="7"/>
        <v>346457.63722500019</v>
      </c>
      <c r="L54" s="266">
        <f t="shared" si="8"/>
        <v>4.3385914994680447E-2</v>
      </c>
      <c r="M54" s="266">
        <f t="shared" si="9"/>
        <v>4.3862110608183319E-2</v>
      </c>
    </row>
    <row r="55" spans="1:13" s="26" customFormat="1" ht="13.5" customHeight="1">
      <c r="A55" s="16" t="s">
        <v>54</v>
      </c>
      <c r="B55" s="17">
        <v>6</v>
      </c>
      <c r="C55" s="253">
        <v>11837844.937983895</v>
      </c>
      <c r="D55" s="255">
        <v>157973.62269900003</v>
      </c>
      <c r="E55" s="258">
        <f t="shared" si="4"/>
        <v>11995818.560682895</v>
      </c>
      <c r="F55" s="58">
        <v>40384</v>
      </c>
      <c r="G55" s="272">
        <v>333213</v>
      </c>
      <c r="H55" s="58">
        <f t="shared" si="6"/>
        <v>271486</v>
      </c>
      <c r="I55" s="58"/>
      <c r="J55" s="58">
        <f t="shared" si="5"/>
        <v>12307688.560682895</v>
      </c>
      <c r="K55" s="263">
        <f t="shared" si="7"/>
        <v>469843.62269899994</v>
      </c>
      <c r="L55" s="266">
        <f t="shared" si="8"/>
        <v>3.9167283193073971E-2</v>
      </c>
      <c r="M55" s="266">
        <f t="shared" si="9"/>
        <v>3.9689962586975658E-2</v>
      </c>
    </row>
    <row r="56" spans="1:13" s="26" customFormat="1" ht="13.5" customHeight="1">
      <c r="A56" s="16" t="s">
        <v>55</v>
      </c>
      <c r="B56" s="17">
        <v>6</v>
      </c>
      <c r="C56" s="253">
        <v>6804945.6890191836</v>
      </c>
      <c r="D56" s="255">
        <v>68533.225799499996</v>
      </c>
      <c r="E56" s="258">
        <f t="shared" si="4"/>
        <v>6873478.9148186836</v>
      </c>
      <c r="F56" s="58">
        <v>17823</v>
      </c>
      <c r="G56" s="272">
        <v>230593.5</v>
      </c>
      <c r="H56" s="58">
        <f t="shared" si="6"/>
        <v>187876</v>
      </c>
      <c r="I56" s="58"/>
      <c r="J56" s="58">
        <f t="shared" si="5"/>
        <v>7079177.9148186836</v>
      </c>
      <c r="K56" s="263">
        <f t="shared" si="7"/>
        <v>274232.22579950001</v>
      </c>
      <c r="L56" s="266">
        <f t="shared" si="8"/>
        <v>3.9897150947575725E-2</v>
      </c>
      <c r="M56" s="266">
        <f t="shared" si="9"/>
        <v>4.0298958776704932E-2</v>
      </c>
    </row>
    <row r="57" spans="1:13" s="26" customFormat="1" ht="13.5" customHeight="1">
      <c r="A57" s="16" t="s">
        <v>56</v>
      </c>
      <c r="B57" s="17">
        <v>6</v>
      </c>
      <c r="C57" s="253">
        <v>8275600.5546593918</v>
      </c>
      <c r="D57" s="255">
        <v>98784.876451999997</v>
      </c>
      <c r="E57" s="258">
        <f t="shared" si="4"/>
        <v>8374385.4311113916</v>
      </c>
      <c r="F57" s="58">
        <v>24739</v>
      </c>
      <c r="G57" s="272">
        <v>304616</v>
      </c>
      <c r="H57" s="58">
        <f t="shared" si="6"/>
        <v>248186</v>
      </c>
      <c r="I57" s="58"/>
      <c r="J57" s="58">
        <f t="shared" si="5"/>
        <v>8647310.4311113916</v>
      </c>
      <c r="K57" s="263">
        <f t="shared" si="7"/>
        <v>371709.87645199988</v>
      </c>
      <c r="L57" s="266">
        <f t="shared" si="8"/>
        <v>4.4386525973723792E-2</v>
      </c>
      <c r="M57" s="266">
        <f t="shared" si="9"/>
        <v>4.4916362745748638E-2</v>
      </c>
    </row>
    <row r="58" spans="1:13" s="26" customFormat="1" ht="13.5" customHeight="1">
      <c r="A58" s="16" t="s">
        <v>57</v>
      </c>
      <c r="B58" s="17">
        <v>6</v>
      </c>
      <c r="C58" s="253">
        <v>9024813.7813020777</v>
      </c>
      <c r="D58" s="255">
        <v>105849.02637363999</v>
      </c>
      <c r="E58" s="258">
        <f t="shared" si="4"/>
        <v>9130662.8076757174</v>
      </c>
      <c r="F58" s="58">
        <v>26974</v>
      </c>
      <c r="G58" s="272">
        <v>313164</v>
      </c>
      <c r="H58" s="58">
        <f t="shared" si="6"/>
        <v>255151</v>
      </c>
      <c r="I58" s="58"/>
      <c r="J58" s="58">
        <f t="shared" si="5"/>
        <v>9412787.8076757174</v>
      </c>
      <c r="K58" s="263">
        <f t="shared" si="7"/>
        <v>387974.0263736397</v>
      </c>
      <c r="L58" s="266">
        <f t="shared" si="8"/>
        <v>4.2491332178808336E-2</v>
      </c>
      <c r="M58" s="266">
        <f t="shared" si="9"/>
        <v>4.2989698820983739E-2</v>
      </c>
    </row>
    <row r="59" spans="1:13" s="26" customFormat="1" ht="13.5" customHeight="1">
      <c r="A59" s="16" t="s">
        <v>58</v>
      </c>
      <c r="B59" s="17">
        <v>7</v>
      </c>
      <c r="C59" s="253">
        <v>19939648.159827851</v>
      </c>
      <c r="D59" s="255">
        <v>215051.930643</v>
      </c>
      <c r="E59" s="258">
        <f t="shared" si="4"/>
        <v>20154700.09047085</v>
      </c>
      <c r="F59" s="58">
        <v>55014</v>
      </c>
      <c r="G59" s="272">
        <v>1012593</v>
      </c>
      <c r="H59" s="58">
        <f t="shared" si="6"/>
        <v>825012</v>
      </c>
      <c r="I59" s="58"/>
      <c r="J59" s="58">
        <f t="shared" si="5"/>
        <v>21034726.09047085</v>
      </c>
      <c r="K59" s="263">
        <f t="shared" si="7"/>
        <v>1095077.9306429997</v>
      </c>
      <c r="L59" s="266">
        <f t="shared" si="8"/>
        <v>5.4333625691644648E-2</v>
      </c>
      <c r="M59" s="266">
        <f t="shared" si="9"/>
        <v>5.4919621543234598E-2</v>
      </c>
    </row>
    <row r="60" spans="1:13" s="26" customFormat="1" ht="13.5" customHeight="1">
      <c r="A60" s="16" t="s">
        <v>59</v>
      </c>
      <c r="B60" s="17">
        <v>7</v>
      </c>
      <c r="C60" s="253">
        <v>11903367.042925278</v>
      </c>
      <c r="D60" s="255">
        <v>155743.44097499998</v>
      </c>
      <c r="E60" s="258">
        <f t="shared" si="4"/>
        <v>12059110.483900277</v>
      </c>
      <c r="F60" s="58">
        <v>39663</v>
      </c>
      <c r="G60" s="272">
        <v>483019.5</v>
      </c>
      <c r="H60" s="58">
        <f t="shared" si="6"/>
        <v>393541</v>
      </c>
      <c r="I60" s="58"/>
      <c r="J60" s="58">
        <f t="shared" si="5"/>
        <v>12492314.483900277</v>
      </c>
      <c r="K60" s="263">
        <f t="shared" si="7"/>
        <v>588947.44097499922</v>
      </c>
      <c r="L60" s="266">
        <f t="shared" si="8"/>
        <v>4.8838381716568867E-2</v>
      </c>
      <c r="M60" s="266">
        <f t="shared" si="9"/>
        <v>4.9477382227328524E-2</v>
      </c>
    </row>
    <row r="61" spans="1:13" s="26" customFormat="1" ht="13.5" customHeight="1">
      <c r="A61" s="16" t="s">
        <v>60</v>
      </c>
      <c r="B61" s="17">
        <v>7</v>
      </c>
      <c r="C61" s="253">
        <v>23037307.259508505</v>
      </c>
      <c r="D61" s="255">
        <v>264177.53887599998</v>
      </c>
      <c r="E61" s="258">
        <f t="shared" si="4"/>
        <v>23301484.798384506</v>
      </c>
      <c r="F61" s="58">
        <v>65803</v>
      </c>
      <c r="G61" s="272">
        <v>725922</v>
      </c>
      <c r="H61" s="58">
        <f t="shared" si="6"/>
        <v>591446</v>
      </c>
      <c r="I61" s="58"/>
      <c r="J61" s="58">
        <f t="shared" si="5"/>
        <v>23958733.798384506</v>
      </c>
      <c r="K61" s="263">
        <f t="shared" si="7"/>
        <v>921426.53887600079</v>
      </c>
      <c r="L61" s="266">
        <f t="shared" si="8"/>
        <v>3.9543683454021067E-2</v>
      </c>
      <c r="M61" s="266">
        <f t="shared" si="9"/>
        <v>3.9997145868499354E-2</v>
      </c>
    </row>
    <row r="62" spans="1:13" s="26" customFormat="1" ht="13.5" customHeight="1">
      <c r="A62" s="16" t="s">
        <v>61</v>
      </c>
      <c r="B62" s="17">
        <v>7</v>
      </c>
      <c r="C62" s="253">
        <v>12626653.44961052</v>
      </c>
      <c r="D62" s="255">
        <v>149053.39958699999</v>
      </c>
      <c r="E62" s="258">
        <f t="shared" si="4"/>
        <v>12775706.84919752</v>
      </c>
      <c r="F62" s="58">
        <v>37207</v>
      </c>
      <c r="G62" s="272">
        <v>571055</v>
      </c>
      <c r="H62" s="58">
        <f t="shared" si="6"/>
        <v>465268</v>
      </c>
      <c r="I62" s="58"/>
      <c r="J62" s="58">
        <f t="shared" si="5"/>
        <v>13278181.84919752</v>
      </c>
      <c r="K62" s="263">
        <f t="shared" si="7"/>
        <v>651528.39958699979</v>
      </c>
      <c r="L62" s="266">
        <f t="shared" si="8"/>
        <v>5.0997444390164931E-2</v>
      </c>
      <c r="M62" s="266">
        <f t="shared" si="9"/>
        <v>5.1599452078658001E-2</v>
      </c>
    </row>
    <row r="63" spans="1:13" s="26" customFormat="1" ht="13.5" customHeight="1">
      <c r="A63" s="16" t="s">
        <v>62</v>
      </c>
      <c r="B63" s="17">
        <v>7</v>
      </c>
      <c r="C63" s="253">
        <v>11847283.072723754</v>
      </c>
      <c r="D63" s="255">
        <v>135970.477893</v>
      </c>
      <c r="E63" s="258">
        <f t="shared" si="4"/>
        <v>11983253.550616754</v>
      </c>
      <c r="F63" s="58">
        <v>34515</v>
      </c>
      <c r="G63" s="272">
        <v>536057.5</v>
      </c>
      <c r="H63" s="58">
        <f t="shared" si="6"/>
        <v>436754</v>
      </c>
      <c r="I63" s="58"/>
      <c r="J63" s="58">
        <f t="shared" si="5"/>
        <v>12454522.550616754</v>
      </c>
      <c r="K63" s="263">
        <f t="shared" si="7"/>
        <v>607239.47789300047</v>
      </c>
      <c r="L63" s="266">
        <f t="shared" si="8"/>
        <v>5.0674007299273668E-2</v>
      </c>
      <c r="M63" s="266">
        <f t="shared" si="9"/>
        <v>5.1255589502293614E-2</v>
      </c>
    </row>
    <row r="64" spans="1:13" s="26" customFormat="1" ht="13.5" customHeight="1">
      <c r="A64" s="16" t="s">
        <v>63</v>
      </c>
      <c r="B64" s="17">
        <v>8</v>
      </c>
      <c r="C64" s="253">
        <v>39664380.37862049</v>
      </c>
      <c r="D64" s="255">
        <v>465357.27245999995</v>
      </c>
      <c r="E64" s="258">
        <f t="shared" si="4"/>
        <v>40129737.651080489</v>
      </c>
      <c r="F64" s="58">
        <v>116246</v>
      </c>
      <c r="G64" s="272">
        <v>1513921.5</v>
      </c>
      <c r="H64" s="58">
        <f t="shared" si="6"/>
        <v>1233470</v>
      </c>
      <c r="I64" s="58"/>
      <c r="J64" s="58">
        <f t="shared" si="5"/>
        <v>41479453.651080489</v>
      </c>
      <c r="K64" s="263">
        <f t="shared" si="7"/>
        <v>1815073.2724599987</v>
      </c>
      <c r="L64" s="266">
        <f t="shared" si="8"/>
        <v>4.5230130539144653E-2</v>
      </c>
      <c r="M64" s="266">
        <f t="shared" si="9"/>
        <v>4.5760787263888332E-2</v>
      </c>
    </row>
    <row r="65" spans="1:13" s="26" customFormat="1" ht="13.5" customHeight="1">
      <c r="A65" s="16" t="s">
        <v>64</v>
      </c>
      <c r="B65" s="17">
        <v>8</v>
      </c>
      <c r="C65" s="253">
        <v>30825590.949284896</v>
      </c>
      <c r="D65" s="255">
        <v>340600.89001600002</v>
      </c>
      <c r="E65" s="258">
        <f t="shared" si="4"/>
        <v>31166191.839300897</v>
      </c>
      <c r="F65" s="58">
        <v>85936</v>
      </c>
      <c r="G65" s="272">
        <v>1420920</v>
      </c>
      <c r="H65" s="58">
        <f t="shared" si="6"/>
        <v>1157697</v>
      </c>
      <c r="I65" s="58"/>
      <c r="J65" s="58">
        <f t="shared" si="5"/>
        <v>32409824.839300897</v>
      </c>
      <c r="K65" s="263">
        <f t="shared" si="7"/>
        <v>1584233.8900160007</v>
      </c>
      <c r="L65" s="266">
        <f t="shared" si="8"/>
        <v>5.0831808332074277E-2</v>
      </c>
      <c r="M65" s="266">
        <f t="shared" si="9"/>
        <v>5.1393463717286897E-2</v>
      </c>
    </row>
    <row r="66" spans="1:13" s="26" customFormat="1" ht="13.5" customHeight="1">
      <c r="A66" s="16" t="s">
        <v>65</v>
      </c>
      <c r="B66" s="17">
        <v>8</v>
      </c>
      <c r="C66" s="253">
        <v>71990695.401439622</v>
      </c>
      <c r="D66" s="255">
        <v>834109.72784519999</v>
      </c>
      <c r="E66" s="258">
        <f t="shared" si="4"/>
        <v>72824805.129284829</v>
      </c>
      <c r="F66" s="58">
        <v>208547</v>
      </c>
      <c r="G66" s="272">
        <v>3160436</v>
      </c>
      <c r="H66" s="58">
        <f t="shared" ref="H66:H68" si="10">ROUND((G66/$G$70*$H$73),0)</f>
        <v>2574970</v>
      </c>
      <c r="I66" s="58"/>
      <c r="J66" s="58">
        <f t="shared" si="5"/>
        <v>75608322.129284829</v>
      </c>
      <c r="K66" s="263">
        <f t="shared" ref="K66:K68" si="11">J66-C66</f>
        <v>3617626.7278452069</v>
      </c>
      <c r="L66" s="266">
        <f t="shared" ref="L66:L68" si="12">K66/E66</f>
        <v>4.9675748825182386E-2</v>
      </c>
      <c r="M66" s="266">
        <f t="shared" si="9"/>
        <v>5.0251309668177813E-2</v>
      </c>
    </row>
    <row r="67" spans="1:13" ht="13.5" customHeight="1">
      <c r="A67" s="16" t="s">
        <v>66</v>
      </c>
      <c r="B67" s="17">
        <v>8</v>
      </c>
      <c r="C67" s="253">
        <v>29521040.987910237</v>
      </c>
      <c r="D67" s="255">
        <v>341543.71869500005</v>
      </c>
      <c r="E67" s="258">
        <f t="shared" ref="E67:E68" si="13">C67+D67</f>
        <v>29862584.706605237</v>
      </c>
      <c r="F67" s="58">
        <v>85205</v>
      </c>
      <c r="G67" s="272">
        <v>1357461</v>
      </c>
      <c r="H67" s="58">
        <f t="shared" si="10"/>
        <v>1105993</v>
      </c>
      <c r="I67" s="58"/>
      <c r="J67" s="58">
        <f t="shared" ref="J67:J68" si="14">E67+F67+H67+I67</f>
        <v>31053782.706605237</v>
      </c>
      <c r="K67" s="263">
        <f t="shared" si="11"/>
        <v>1532741.7186949998</v>
      </c>
      <c r="L67" s="266">
        <f t="shared" si="12"/>
        <v>5.1326492122296972E-2</v>
      </c>
      <c r="M67" s="266">
        <f t="shared" si="9"/>
        <v>5.1920314033732894E-2</v>
      </c>
    </row>
    <row r="68" spans="1:13" ht="13.5" customHeight="1" thickBot="1">
      <c r="A68" s="18" t="s">
        <v>67</v>
      </c>
      <c r="B68" s="19">
        <v>8</v>
      </c>
      <c r="C68" s="254">
        <v>30780285.476537708</v>
      </c>
      <c r="D68" s="257">
        <v>343405.99220019998</v>
      </c>
      <c r="E68" s="59">
        <f t="shared" si="13"/>
        <v>31123691.468737908</v>
      </c>
      <c r="F68" s="60">
        <v>85992</v>
      </c>
      <c r="G68" s="273">
        <v>1084405.5</v>
      </c>
      <c r="H68" s="60">
        <f t="shared" si="10"/>
        <v>883521</v>
      </c>
      <c r="I68" s="60"/>
      <c r="J68" s="60">
        <f t="shared" si="14"/>
        <v>32093204.468737908</v>
      </c>
      <c r="K68" s="264">
        <f t="shared" si="11"/>
        <v>1312918.9922001995</v>
      </c>
      <c r="L68" s="267">
        <f t="shared" si="12"/>
        <v>4.2183909756301138E-2</v>
      </c>
      <c r="M68" s="267">
        <f t="shared" si="9"/>
        <v>4.265454240835332E-2</v>
      </c>
    </row>
    <row r="69" spans="1:13" ht="14.25" thickBot="1">
      <c r="A69" s="20"/>
      <c r="B69" s="21"/>
      <c r="C69" s="54"/>
      <c r="D69" s="61"/>
      <c r="E69" s="10"/>
      <c r="F69" s="10"/>
      <c r="G69" s="141"/>
      <c r="H69" s="10"/>
      <c r="I69" s="10"/>
      <c r="J69" s="10"/>
      <c r="K69" s="61"/>
    </row>
    <row r="70" spans="1:13" s="26" customFormat="1" ht="14.25" thickBot="1">
      <c r="A70" s="423" t="s">
        <v>68</v>
      </c>
      <c r="B70" s="423"/>
      <c r="C70" s="49">
        <f>SUM(C2:C68)</f>
        <v>453209796.99999994</v>
      </c>
      <c r="D70" s="49">
        <f>SUM(D2:D68)</f>
        <v>5404099.4905510545</v>
      </c>
      <c r="E70" s="55">
        <f>SUM(E2:E68)</f>
        <v>458613896.49055099</v>
      </c>
      <c r="F70" s="49">
        <f>SUM(F2:F68)</f>
        <v>1365721</v>
      </c>
      <c r="G70" s="261">
        <f>SUM(G2:G69)</f>
        <v>17741316.5</v>
      </c>
      <c r="H70" s="49">
        <f>SUM(H2:H68)</f>
        <v>14454762</v>
      </c>
      <c r="I70" s="49">
        <f>SUM(I2:I68)</f>
        <v>1667</v>
      </c>
      <c r="J70" s="50">
        <f>SUM(J2:J68)</f>
        <v>474436049.49055099</v>
      </c>
      <c r="K70" s="274">
        <f>SUM(K2:K68)</f>
        <v>21226252.490551058</v>
      </c>
      <c r="L70" s="268">
        <f>J70/E70-1</f>
        <v>3.4499942372169246E-2</v>
      </c>
      <c r="M70" s="268">
        <f>K70/C70</f>
        <v>4.6835378738626567E-2</v>
      </c>
    </row>
    <row r="71" spans="1:13">
      <c r="C71" s="5"/>
      <c r="D71" s="8"/>
      <c r="E71" s="5"/>
      <c r="F71" s="5"/>
      <c r="G71" s="411" t="s">
        <v>179</v>
      </c>
      <c r="H71" s="259"/>
      <c r="I71" s="259"/>
      <c r="K71" s="8"/>
    </row>
    <row r="72" spans="1:13" ht="15" customHeight="1">
      <c r="C72" s="5"/>
      <c r="I72" s="166"/>
      <c r="J72" s="383"/>
      <c r="M72" s="409" t="s">
        <v>287</v>
      </c>
    </row>
    <row r="73" spans="1:13" hidden="1">
      <c r="H73" s="410">
        <f>'New Revenue Summary'!B15-'BUDGET CALCULATION '!D70-F70-I70</f>
        <v>14454764.094448924</v>
      </c>
      <c r="I73" s="383"/>
      <c r="J73" s="410">
        <f>J70-'New Revenue Summary'!B6</f>
        <v>0.49055099487304688</v>
      </c>
    </row>
    <row r="74" spans="1:13">
      <c r="H74" s="383"/>
      <c r="I74" s="383"/>
    </row>
    <row r="75" spans="1:13" ht="14.25" thickBot="1">
      <c r="G75" s="106"/>
      <c r="I75" s="173" t="s">
        <v>184</v>
      </c>
      <c r="J75" s="171">
        <f>11700000</f>
        <v>11700000</v>
      </c>
      <c r="K75" s="106"/>
    </row>
    <row r="76" spans="1:13" ht="14.25" thickBot="1">
      <c r="G76" s="168"/>
      <c r="H76" s="169"/>
      <c r="I76" s="170" t="s">
        <v>194</v>
      </c>
      <c r="J76" s="172">
        <f>J70+J75</f>
        <v>486136049.49055099</v>
      </c>
    </row>
  </sheetData>
  <autoFilter ref="A1:M68" xr:uid="{973030BE-8D55-4A84-AD6C-5A9A93182A2F}"/>
  <mergeCells count="1">
    <mergeCell ref="A70:B70"/>
  </mergeCells>
  <printOptions horizontalCentered="1"/>
  <pageMargins left="0.3" right="0.3" top="0.7" bottom="0.5" header="0.25" footer="0.25"/>
  <pageSetup scale="68" fitToHeight="0" pageOrder="overThenDown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5124-67F5-4498-9791-FC0CFFEB86DF}">
  <dimension ref="A1:E321"/>
  <sheetViews>
    <sheetView zoomScale="110" zoomScaleNormal="110" workbookViewId="0">
      <pane ySplit="1" topLeftCell="A297" activePane="bottomLeft" state="frozen"/>
      <selection pane="bottomLeft" activeCell="F315" sqref="F315"/>
    </sheetView>
  </sheetViews>
  <sheetFormatPr defaultRowHeight="15"/>
  <cols>
    <col min="1" max="1" width="17.42578125" bestFit="1" customWidth="1"/>
    <col min="2" max="2" width="22.5703125" customWidth="1"/>
    <col min="3" max="3" width="23.140625" style="154" customWidth="1"/>
    <col min="4" max="4" width="10.5703125" customWidth="1"/>
    <col min="5" max="5" width="21" customWidth="1"/>
  </cols>
  <sheetData>
    <row r="1" spans="1:5" s="146" customFormat="1" ht="47.25">
      <c r="A1" s="143" t="s">
        <v>0</v>
      </c>
      <c r="B1" s="143" t="s">
        <v>104</v>
      </c>
      <c r="C1" s="144" t="s">
        <v>105</v>
      </c>
      <c r="D1" s="145" t="s">
        <v>106</v>
      </c>
      <c r="E1" s="145" t="s">
        <v>212</v>
      </c>
    </row>
    <row r="2" spans="1:5" ht="15.75">
      <c r="A2" s="147" t="s">
        <v>36</v>
      </c>
      <c r="B2" s="147" t="s">
        <v>107</v>
      </c>
      <c r="C2" s="153">
        <v>3232237.63</v>
      </c>
      <c r="D2" s="149">
        <v>1.66E-2</v>
      </c>
      <c r="E2" s="234">
        <f>C2*D2</f>
        <v>53655.144657999997</v>
      </c>
    </row>
    <row r="3" spans="1:5" ht="15.75">
      <c r="A3" s="147" t="s">
        <v>36</v>
      </c>
      <c r="B3" s="147" t="s">
        <v>108</v>
      </c>
      <c r="C3" s="153">
        <v>450455.62</v>
      </c>
      <c r="D3" s="149">
        <v>2.9499999999999998E-2</v>
      </c>
      <c r="E3" s="234">
        <f>C3*D3</f>
        <v>13288.440789999999</v>
      </c>
    </row>
    <row r="4" spans="1:5" ht="15.75">
      <c r="A4" s="147" t="s">
        <v>36</v>
      </c>
      <c r="B4" s="147" t="s">
        <v>109</v>
      </c>
      <c r="C4" s="153">
        <v>319334.08</v>
      </c>
      <c r="D4" s="149">
        <v>2.53E-2</v>
      </c>
      <c r="E4" s="234">
        <f>C4*D4</f>
        <v>8079.1522240000004</v>
      </c>
    </row>
    <row r="5" spans="1:5" ht="15.75">
      <c r="A5" s="147" t="s">
        <v>36</v>
      </c>
      <c r="B5" s="147" t="s">
        <v>110</v>
      </c>
      <c r="C5" s="153">
        <v>106318.73999999999</v>
      </c>
      <c r="D5" s="149">
        <v>1.6799999999999999E-2</v>
      </c>
      <c r="E5" s="234">
        <f>C5*D5</f>
        <v>1786.1548319999997</v>
      </c>
    </row>
    <row r="6" spans="1:5" s="152" customFormat="1" ht="15.75">
      <c r="A6" s="150" t="s">
        <v>111</v>
      </c>
      <c r="B6" s="150"/>
      <c r="C6" s="231">
        <f>SUM(C2:C5)</f>
        <v>4108346.0700000003</v>
      </c>
      <c r="D6" s="151"/>
      <c r="E6" s="151">
        <f>SUM(E2:E5)</f>
        <v>76808.892504000003</v>
      </c>
    </row>
    <row r="7" spans="1:5" ht="15.75">
      <c r="A7" s="147" t="s">
        <v>5</v>
      </c>
      <c r="B7" s="147" t="s">
        <v>107</v>
      </c>
      <c r="C7" s="153">
        <v>272443</v>
      </c>
      <c r="D7" s="149">
        <v>1.66E-2</v>
      </c>
      <c r="E7" s="234">
        <f>C7*D7</f>
        <v>4522.5537999999997</v>
      </c>
    </row>
    <row r="8" spans="1:5" ht="15.75">
      <c r="A8" s="147" t="s">
        <v>5</v>
      </c>
      <c r="B8" s="147" t="s">
        <v>108</v>
      </c>
      <c r="C8" s="153">
        <v>81557</v>
      </c>
      <c r="D8" s="149">
        <v>2.9499999999999998E-2</v>
      </c>
      <c r="E8" s="234">
        <f>C8*D8</f>
        <v>2405.9314999999997</v>
      </c>
    </row>
    <row r="9" spans="1:5" ht="15.75">
      <c r="A9" s="147" t="s">
        <v>5</v>
      </c>
      <c r="B9" s="147" t="s">
        <v>109</v>
      </c>
      <c r="C9" s="153">
        <v>123880</v>
      </c>
      <c r="D9" s="149">
        <v>2.53E-2</v>
      </c>
      <c r="E9" s="234">
        <f>C9*D9</f>
        <v>3134.1639999999998</v>
      </c>
    </row>
    <row r="10" spans="1:5" ht="15.75">
      <c r="A10" s="147" t="s">
        <v>5</v>
      </c>
      <c r="B10" s="147" t="s">
        <v>110</v>
      </c>
      <c r="C10" s="153">
        <v>108634.5</v>
      </c>
      <c r="D10" s="149">
        <v>1.6799999999999999E-2</v>
      </c>
      <c r="E10" s="234">
        <f>C10*D10</f>
        <v>1825.0595999999998</v>
      </c>
    </row>
    <row r="11" spans="1:5" s="152" customFormat="1" ht="15.75">
      <c r="A11" s="150" t="s">
        <v>112</v>
      </c>
      <c r="B11" s="150"/>
      <c r="C11" s="231">
        <f>SUM(C7:C10)</f>
        <v>586514.5</v>
      </c>
      <c r="D11" s="151"/>
      <c r="E11" s="151">
        <f>SUM(E7:E10)</f>
        <v>11887.7089</v>
      </c>
    </row>
    <row r="12" spans="1:5" ht="15.75">
      <c r="A12" s="147" t="s">
        <v>45</v>
      </c>
      <c r="B12" s="147" t="s">
        <v>107</v>
      </c>
      <c r="C12" s="153">
        <v>1914920.07</v>
      </c>
      <c r="D12" s="149">
        <v>1.66E-2</v>
      </c>
      <c r="E12" s="234">
        <f>C12*D12</f>
        <v>31787.673162000003</v>
      </c>
    </row>
    <row r="13" spans="1:5" ht="15.75">
      <c r="A13" s="147" t="s">
        <v>45</v>
      </c>
      <c r="B13" s="147" t="s">
        <v>108</v>
      </c>
      <c r="C13" s="153">
        <v>218613.59</v>
      </c>
      <c r="D13" s="149">
        <v>2.9499999999999998E-2</v>
      </c>
      <c r="E13" s="234">
        <f>C13*D13</f>
        <v>6449.1009049999993</v>
      </c>
    </row>
    <row r="14" spans="1:5" ht="15.75">
      <c r="A14" s="147" t="s">
        <v>45</v>
      </c>
      <c r="B14" s="147" t="s">
        <v>109</v>
      </c>
      <c r="C14" s="153">
        <v>395193.06</v>
      </c>
      <c r="D14" s="149">
        <v>2.53E-2</v>
      </c>
      <c r="E14" s="234">
        <f>C14*D14</f>
        <v>9998.3844179999996</v>
      </c>
    </row>
    <row r="15" spans="1:5" ht="15.75">
      <c r="A15" s="147" t="s">
        <v>45</v>
      </c>
      <c r="B15" s="147" t="s">
        <v>110</v>
      </c>
      <c r="C15" s="153">
        <v>116686.56919400001</v>
      </c>
      <c r="D15" s="149">
        <v>1.6799999999999999E-2</v>
      </c>
      <c r="E15" s="234">
        <f>C15*D15</f>
        <v>1960.3343624592001</v>
      </c>
    </row>
    <row r="16" spans="1:5" s="152" customFormat="1" ht="15.75">
      <c r="A16" s="150" t="s">
        <v>113</v>
      </c>
      <c r="B16" s="150"/>
      <c r="C16" s="231">
        <f>SUM(C12:C15)</f>
        <v>2645413.2891940004</v>
      </c>
      <c r="D16" s="151"/>
      <c r="E16" s="151">
        <f>SUM(E12:E15)</f>
        <v>50195.492847459209</v>
      </c>
    </row>
    <row r="17" spans="1:5" ht="15.75">
      <c r="A17" s="147" t="s">
        <v>16</v>
      </c>
      <c r="B17" s="147" t="s">
        <v>107</v>
      </c>
      <c r="C17" s="153">
        <v>473412.82</v>
      </c>
      <c r="D17" s="149">
        <v>1.66E-2</v>
      </c>
      <c r="E17" s="234">
        <f>C17*D17</f>
        <v>7858.6528120000003</v>
      </c>
    </row>
    <row r="18" spans="1:5" ht="15.75">
      <c r="A18" s="147" t="s">
        <v>16</v>
      </c>
      <c r="B18" s="147" t="s">
        <v>108</v>
      </c>
      <c r="C18" s="153">
        <v>79573.52</v>
      </c>
      <c r="D18" s="149">
        <v>2.9499999999999998E-2</v>
      </c>
      <c r="E18" s="234">
        <f>C18*D18</f>
        <v>2347.4188399999998</v>
      </c>
    </row>
    <row r="19" spans="1:5" ht="15.75">
      <c r="A19" s="147" t="s">
        <v>16</v>
      </c>
      <c r="B19" s="147" t="s">
        <v>110</v>
      </c>
      <c r="C19" s="153">
        <v>71047.199999999997</v>
      </c>
      <c r="D19" s="149">
        <v>1.6799999999999999E-2</v>
      </c>
      <c r="E19" s="234">
        <f>C19*D19</f>
        <v>1193.5929599999999</v>
      </c>
    </row>
    <row r="20" spans="1:5" s="152" customFormat="1" ht="15.75">
      <c r="A20" s="150" t="s">
        <v>114</v>
      </c>
      <c r="B20" s="150"/>
      <c r="C20" s="231">
        <f>SUM(C17:C19)</f>
        <v>624033.53999999992</v>
      </c>
      <c r="D20" s="151"/>
      <c r="E20" s="151">
        <f>SUM(E17:E19)</f>
        <v>11399.664612</v>
      </c>
    </row>
    <row r="21" spans="1:5" ht="15.75">
      <c r="A21" s="147" t="s">
        <v>46</v>
      </c>
      <c r="B21" s="147" t="s">
        <v>107</v>
      </c>
      <c r="C21" s="153">
        <v>6318533.3700000001</v>
      </c>
      <c r="D21" s="149">
        <v>1.66E-2</v>
      </c>
      <c r="E21" s="234">
        <f>C21*D21</f>
        <v>104887.653942</v>
      </c>
    </row>
    <row r="22" spans="1:5" ht="15.75">
      <c r="A22" s="147" t="s">
        <v>46</v>
      </c>
      <c r="B22" s="147" t="s">
        <v>108</v>
      </c>
      <c r="C22" s="153">
        <v>202982.2</v>
      </c>
      <c r="D22" s="149">
        <v>2.9499999999999998E-2</v>
      </c>
      <c r="E22" s="234">
        <f>C22*D22</f>
        <v>5987.9749000000002</v>
      </c>
    </row>
    <row r="23" spans="1:5" ht="15.75">
      <c r="A23" s="147" t="s">
        <v>46</v>
      </c>
      <c r="B23" s="147" t="s">
        <v>109</v>
      </c>
      <c r="C23" s="153">
        <v>998289.07</v>
      </c>
      <c r="D23" s="149">
        <v>2.53E-2</v>
      </c>
      <c r="E23" s="234">
        <f>C23*D23</f>
        <v>25256.713470999999</v>
      </c>
    </row>
    <row r="24" spans="1:5" ht="15.75">
      <c r="A24" s="147" t="s">
        <v>46</v>
      </c>
      <c r="B24" s="147" t="s">
        <v>110</v>
      </c>
      <c r="C24" s="153">
        <v>118585.5</v>
      </c>
      <c r="D24" s="149">
        <v>1.6799999999999999E-2</v>
      </c>
      <c r="E24" s="234">
        <f>C24*D24</f>
        <v>1992.2363999999998</v>
      </c>
    </row>
    <row r="25" spans="1:5" s="152" customFormat="1" ht="15.75">
      <c r="A25" s="150" t="s">
        <v>115</v>
      </c>
      <c r="B25" s="150"/>
      <c r="C25" s="231">
        <f>SUM(C21:C24)</f>
        <v>7638390.1400000006</v>
      </c>
      <c r="D25" s="151"/>
      <c r="E25" s="151">
        <f>SUM(E21:E24)</f>
        <v>138124.578713</v>
      </c>
    </row>
    <row r="26" spans="1:5" ht="15.75">
      <c r="A26" s="147" t="s">
        <v>63</v>
      </c>
      <c r="B26" s="147" t="s">
        <v>107</v>
      </c>
      <c r="C26" s="153">
        <v>21991901.489999998</v>
      </c>
      <c r="D26" s="149">
        <v>1.66E-2</v>
      </c>
      <c r="E26" s="234">
        <f>C26*D26</f>
        <v>365065.56473399996</v>
      </c>
    </row>
    <row r="27" spans="1:5" ht="15.75">
      <c r="A27" s="147" t="s">
        <v>63</v>
      </c>
      <c r="B27" s="147" t="s">
        <v>108</v>
      </c>
      <c r="C27" s="153">
        <v>1414659.27</v>
      </c>
      <c r="D27" s="149">
        <v>2.9499999999999998E-2</v>
      </c>
      <c r="E27" s="234">
        <f>C27*D27</f>
        <v>41732.448465000001</v>
      </c>
    </row>
    <row r="28" spans="1:5" ht="15.75">
      <c r="A28" s="147" t="s">
        <v>63</v>
      </c>
      <c r="B28" s="147" t="s">
        <v>109</v>
      </c>
      <c r="C28" s="153">
        <v>2179487.37</v>
      </c>
      <c r="D28" s="149">
        <v>2.53E-2</v>
      </c>
      <c r="E28" s="234">
        <f>C28*D28</f>
        <v>55141.030461000002</v>
      </c>
    </row>
    <row r="29" spans="1:5" ht="15.75">
      <c r="A29" s="147" t="s">
        <v>63</v>
      </c>
      <c r="B29" s="147" t="s">
        <v>110</v>
      </c>
      <c r="C29" s="153">
        <v>203466</v>
      </c>
      <c r="D29" s="149">
        <v>1.6799999999999999E-2</v>
      </c>
      <c r="E29" s="234">
        <f>C29*D29</f>
        <v>3418.2287999999999</v>
      </c>
    </row>
    <row r="30" spans="1:5" s="152" customFormat="1" ht="15.75">
      <c r="A30" s="150" t="s">
        <v>116</v>
      </c>
      <c r="B30" s="150"/>
      <c r="C30" s="231">
        <f>SUM(C26:C29)</f>
        <v>25789514.129999999</v>
      </c>
      <c r="D30" s="151"/>
      <c r="E30" s="151">
        <f>SUM(E26:E29)</f>
        <v>465357.27245999995</v>
      </c>
    </row>
    <row r="31" spans="1:5" ht="15.75">
      <c r="A31" s="147" t="s">
        <v>1</v>
      </c>
      <c r="B31" s="147" t="s">
        <v>107</v>
      </c>
      <c r="C31" s="153">
        <v>238854.72</v>
      </c>
      <c r="D31" s="149">
        <v>1.66E-2</v>
      </c>
      <c r="E31" s="234">
        <f>C31*D31</f>
        <v>3964.9883519999998</v>
      </c>
    </row>
    <row r="32" spans="1:5" ht="15.75">
      <c r="A32" s="147" t="s">
        <v>1</v>
      </c>
      <c r="B32" s="147" t="s">
        <v>109</v>
      </c>
      <c r="C32" s="153">
        <v>26375.3</v>
      </c>
      <c r="D32" s="149">
        <v>2.53E-2</v>
      </c>
      <c r="E32" s="234">
        <f>C32*D32</f>
        <v>667.29508999999996</v>
      </c>
    </row>
    <row r="33" spans="1:5" ht="15.75">
      <c r="A33" s="147" t="s">
        <v>1</v>
      </c>
      <c r="B33" s="147" t="s">
        <v>110</v>
      </c>
      <c r="C33" s="153">
        <v>63105.350000000006</v>
      </c>
      <c r="D33" s="149">
        <v>1.6799999999999999E-2</v>
      </c>
      <c r="E33" s="234">
        <f>C33*D33</f>
        <v>1060.1698799999999</v>
      </c>
    </row>
    <row r="34" spans="1:5" s="152" customFormat="1" ht="15.75">
      <c r="A34" s="150" t="s">
        <v>117</v>
      </c>
      <c r="B34" s="150"/>
      <c r="C34" s="231">
        <f>SUM(C31:C33)</f>
        <v>328335.37</v>
      </c>
      <c r="D34" s="151"/>
      <c r="E34" s="151">
        <f>SUM(E31:E33)</f>
        <v>5692.4533219999994</v>
      </c>
    </row>
    <row r="35" spans="1:5" ht="15.75">
      <c r="A35" s="147" t="s">
        <v>37</v>
      </c>
      <c r="B35" s="147" t="s">
        <v>107</v>
      </c>
      <c r="C35" s="153">
        <v>1956173.98</v>
      </c>
      <c r="D35" s="149">
        <v>1.66E-2</v>
      </c>
      <c r="E35" s="234">
        <f>C35*D35</f>
        <v>32472.488067999999</v>
      </c>
    </row>
    <row r="36" spans="1:5" ht="15.75">
      <c r="A36" s="147" t="s">
        <v>37</v>
      </c>
      <c r="B36" s="147" t="s">
        <v>108</v>
      </c>
      <c r="C36" s="153">
        <v>239647.23</v>
      </c>
      <c r="D36" s="149">
        <v>2.9499999999999998E-2</v>
      </c>
      <c r="E36" s="234">
        <f>C36*D36</f>
        <v>7069.5932849999999</v>
      </c>
    </row>
    <row r="37" spans="1:5" ht="15.75">
      <c r="A37" s="147" t="s">
        <v>37</v>
      </c>
      <c r="B37" s="147" t="s">
        <v>109</v>
      </c>
      <c r="C37" s="153">
        <v>44168</v>
      </c>
      <c r="D37" s="149">
        <v>2.53E-2</v>
      </c>
      <c r="E37" s="234">
        <f>C37*D37</f>
        <v>1117.4503999999999</v>
      </c>
    </row>
    <row r="38" spans="1:5" ht="15.75">
      <c r="A38" s="147" t="s">
        <v>37</v>
      </c>
      <c r="B38" s="147" t="s">
        <v>110</v>
      </c>
      <c r="C38" s="153">
        <v>84539.4</v>
      </c>
      <c r="D38" s="149">
        <v>1.6799999999999999E-2</v>
      </c>
      <c r="E38" s="234">
        <f>C38*D38</f>
        <v>1420.2619199999999</v>
      </c>
    </row>
    <row r="39" spans="1:5" s="152" customFormat="1" ht="15.75">
      <c r="A39" s="150" t="s">
        <v>118</v>
      </c>
      <c r="B39" s="150"/>
      <c r="C39" s="231">
        <f>SUM(C35:C38)</f>
        <v>2324528.61</v>
      </c>
      <c r="D39" s="151"/>
      <c r="E39" s="151">
        <f>SUM(E35:E38)</f>
        <v>42079.793673</v>
      </c>
    </row>
    <row r="40" spans="1:5" ht="15.75">
      <c r="A40" s="147" t="s">
        <v>27</v>
      </c>
      <c r="B40" s="147" t="s">
        <v>107</v>
      </c>
      <c r="C40" s="153">
        <v>2331510.44</v>
      </c>
      <c r="D40" s="149">
        <v>1.66E-2</v>
      </c>
      <c r="E40" s="234">
        <f>C40*D40</f>
        <v>38703.073303999998</v>
      </c>
    </row>
    <row r="41" spans="1:5" ht="15.75">
      <c r="A41" s="147" t="s">
        <v>27</v>
      </c>
      <c r="B41" s="147" t="s">
        <v>108</v>
      </c>
      <c r="C41" s="153">
        <v>148973.89000000001</v>
      </c>
      <c r="D41" s="149">
        <v>2.9499999999999998E-2</v>
      </c>
      <c r="E41" s="234">
        <f>C41*D41</f>
        <v>4394.7297550000003</v>
      </c>
    </row>
    <row r="42" spans="1:5" ht="15.75">
      <c r="A42" s="147" t="s">
        <v>27</v>
      </c>
      <c r="B42" s="147" t="s">
        <v>109</v>
      </c>
      <c r="C42" s="153">
        <v>157093.01999999999</v>
      </c>
      <c r="D42" s="149">
        <v>2.53E-2</v>
      </c>
      <c r="E42" s="234">
        <f>C42*D42</f>
        <v>3974.4534059999996</v>
      </c>
    </row>
    <row r="43" spans="1:5" ht="15.75">
      <c r="A43" s="147" t="s">
        <v>27</v>
      </c>
      <c r="B43" s="147" t="s">
        <v>110</v>
      </c>
      <c r="C43" s="153">
        <v>99886.2</v>
      </c>
      <c r="D43" s="149">
        <v>1.6799999999999999E-2</v>
      </c>
      <c r="E43" s="234">
        <f>C43*D43</f>
        <v>1678.0881599999998</v>
      </c>
    </row>
    <row r="44" spans="1:5" s="152" customFormat="1" ht="15.75">
      <c r="A44" s="150" t="s">
        <v>119</v>
      </c>
      <c r="B44" s="150"/>
      <c r="C44" s="231">
        <f>SUM(C40:C43)</f>
        <v>2737463.5500000003</v>
      </c>
      <c r="D44" s="151"/>
      <c r="E44" s="151">
        <f>SUM(E40:E43)</f>
        <v>48750.344624999998</v>
      </c>
    </row>
    <row r="45" spans="1:5" ht="15.75">
      <c r="A45" s="147" t="s">
        <v>38</v>
      </c>
      <c r="B45" s="147" t="s">
        <v>107</v>
      </c>
      <c r="C45" s="153">
        <v>2124519.33</v>
      </c>
      <c r="D45" s="149">
        <v>1.66E-2</v>
      </c>
      <c r="E45" s="234">
        <f>C45*D45</f>
        <v>35267.020878000003</v>
      </c>
    </row>
    <row r="46" spans="1:5" ht="15.75">
      <c r="A46" s="147" t="s">
        <v>38</v>
      </c>
      <c r="B46" s="147" t="s">
        <v>108</v>
      </c>
      <c r="C46" s="153">
        <v>507140.8</v>
      </c>
      <c r="D46" s="149">
        <v>2.9499999999999998E-2</v>
      </c>
      <c r="E46" s="234">
        <f>C46*D46</f>
        <v>14960.6536</v>
      </c>
    </row>
    <row r="47" spans="1:5" ht="15.75">
      <c r="A47" s="147" t="s">
        <v>38</v>
      </c>
      <c r="B47" s="147" t="s">
        <v>109</v>
      </c>
      <c r="C47" s="153">
        <v>107801.17</v>
      </c>
      <c r="D47" s="149">
        <v>2.53E-2</v>
      </c>
      <c r="E47" s="234">
        <f>C47*D47</f>
        <v>2727.3696009999999</v>
      </c>
    </row>
    <row r="48" spans="1:5" ht="15.75">
      <c r="A48" s="147" t="s">
        <v>38</v>
      </c>
      <c r="B48" s="147" t="s">
        <v>110</v>
      </c>
      <c r="C48" s="153">
        <v>100142.25</v>
      </c>
      <c r="D48" s="149">
        <v>1.6799999999999999E-2</v>
      </c>
      <c r="E48" s="234">
        <f>C48*D48</f>
        <v>1682.3897999999999</v>
      </c>
    </row>
    <row r="49" spans="1:5" s="152" customFormat="1" ht="15.75">
      <c r="A49" s="150" t="s">
        <v>120</v>
      </c>
      <c r="B49" s="150"/>
      <c r="C49" s="231">
        <f>SUM(C45:C48)</f>
        <v>2839603.55</v>
      </c>
      <c r="D49" s="151"/>
      <c r="E49" s="151">
        <f>SUM(E45:E48)</f>
        <v>54637.433878999997</v>
      </c>
    </row>
    <row r="50" spans="1:5" ht="15.75">
      <c r="A50" s="147" t="s">
        <v>47</v>
      </c>
      <c r="B50" s="147" t="s">
        <v>107</v>
      </c>
      <c r="C50" s="153">
        <v>4811350.67</v>
      </c>
      <c r="D50" s="149">
        <v>1.66E-2</v>
      </c>
      <c r="E50" s="234">
        <f>C50*D50</f>
        <v>79868.421122</v>
      </c>
    </row>
    <row r="51" spans="1:5" ht="15.75">
      <c r="A51" s="147" t="s">
        <v>47</v>
      </c>
      <c r="B51" s="147" t="s">
        <v>108</v>
      </c>
      <c r="C51" s="153">
        <v>207360.19</v>
      </c>
      <c r="D51" s="149">
        <v>2.9499999999999998E-2</v>
      </c>
      <c r="E51" s="234">
        <f>C51*D51</f>
        <v>6117.1256050000002</v>
      </c>
    </row>
    <row r="52" spans="1:5" ht="15.75">
      <c r="A52" s="147" t="s">
        <v>47</v>
      </c>
      <c r="B52" s="147" t="s">
        <v>109</v>
      </c>
      <c r="C52" s="153">
        <v>205534.57</v>
      </c>
      <c r="D52" s="149">
        <v>2.53E-2</v>
      </c>
      <c r="E52" s="234">
        <f>C52*D52</f>
        <v>5200.0246210000005</v>
      </c>
    </row>
    <row r="53" spans="1:5" ht="15.75">
      <c r="A53" s="147" t="s">
        <v>47</v>
      </c>
      <c r="B53" s="147" t="s">
        <v>110</v>
      </c>
      <c r="C53" s="153">
        <v>76768.479999999996</v>
      </c>
      <c r="D53" s="149">
        <v>1.6799999999999999E-2</v>
      </c>
      <c r="E53" s="234">
        <f>C53*D53</f>
        <v>1289.7104639999998</v>
      </c>
    </row>
    <row r="54" spans="1:5" s="152" customFormat="1" ht="15.75">
      <c r="A54" s="150" t="s">
        <v>121</v>
      </c>
      <c r="B54" s="150"/>
      <c r="C54" s="231">
        <f>SUM(C50:C53)</f>
        <v>5301013.9100000011</v>
      </c>
      <c r="D54" s="151"/>
      <c r="E54" s="151">
        <f>SUM(E50:E53)</f>
        <v>92475.281812000001</v>
      </c>
    </row>
    <row r="55" spans="1:5" ht="15.75">
      <c r="A55" s="147" t="s">
        <v>28</v>
      </c>
      <c r="B55" s="147" t="s">
        <v>107</v>
      </c>
      <c r="C55" s="153">
        <v>871227.81</v>
      </c>
      <c r="D55" s="149">
        <v>1.66E-2</v>
      </c>
      <c r="E55" s="234">
        <f>C55*D55</f>
        <v>14462.381646000002</v>
      </c>
    </row>
    <row r="56" spans="1:5" ht="15.75">
      <c r="A56" s="147" t="s">
        <v>28</v>
      </c>
      <c r="B56" s="147" t="s">
        <v>109</v>
      </c>
      <c r="C56" s="153">
        <v>93162.47</v>
      </c>
      <c r="D56" s="149">
        <v>2.53E-2</v>
      </c>
      <c r="E56" s="234">
        <f>C56*D56</f>
        <v>2357.010491</v>
      </c>
    </row>
    <row r="57" spans="1:5" ht="15.75">
      <c r="A57" s="147" t="s">
        <v>28</v>
      </c>
      <c r="B57" s="147" t="s">
        <v>110</v>
      </c>
      <c r="C57" s="153">
        <v>97311.48</v>
      </c>
      <c r="D57" s="149">
        <v>1.6799999999999999E-2</v>
      </c>
      <c r="E57" s="234">
        <f>C57*D57</f>
        <v>1634.8328639999997</v>
      </c>
    </row>
    <row r="58" spans="1:5" s="152" customFormat="1" ht="15.75">
      <c r="A58" s="150" t="s">
        <v>122</v>
      </c>
      <c r="B58" s="150"/>
      <c r="C58" s="231">
        <f>SUM(C55:C57)</f>
        <v>1061701.76</v>
      </c>
      <c r="D58" s="151"/>
      <c r="E58" s="151">
        <f>SUM(E55:E57)</f>
        <v>18454.225001000003</v>
      </c>
    </row>
    <row r="59" spans="1:5" ht="15.75">
      <c r="A59" s="147" t="s">
        <v>17</v>
      </c>
      <c r="B59" s="147" t="s">
        <v>107</v>
      </c>
      <c r="C59" s="153">
        <v>447475</v>
      </c>
      <c r="D59" s="149">
        <v>1.66E-2</v>
      </c>
      <c r="E59" s="234">
        <f>C59*D59</f>
        <v>7428.085</v>
      </c>
    </row>
    <row r="60" spans="1:5" ht="15.75">
      <c r="A60" s="147" t="s">
        <v>17</v>
      </c>
      <c r="B60" s="147" t="s">
        <v>109</v>
      </c>
      <c r="C60" s="153">
        <v>55385.3</v>
      </c>
      <c r="D60" s="149">
        <v>2.53E-2</v>
      </c>
      <c r="E60" s="234">
        <f>C60*D60</f>
        <v>1401.24809</v>
      </c>
    </row>
    <row r="61" spans="1:5" ht="15.75">
      <c r="A61" s="147" t="s">
        <v>17</v>
      </c>
      <c r="B61" s="147" t="s">
        <v>110</v>
      </c>
      <c r="C61" s="153">
        <v>66455.400000000009</v>
      </c>
      <c r="D61" s="149">
        <v>1.6799999999999999E-2</v>
      </c>
      <c r="E61" s="234">
        <f>C61*D61</f>
        <v>1116.45072</v>
      </c>
    </row>
    <row r="62" spans="1:5" s="152" customFormat="1" ht="15.75">
      <c r="A62" s="150" t="s">
        <v>123</v>
      </c>
      <c r="B62" s="150"/>
      <c r="C62" s="231">
        <f>SUM(C59:C61)</f>
        <v>569315.69999999995</v>
      </c>
      <c r="D62" s="151"/>
      <c r="E62" s="151">
        <f>SUM(E59:E61)</f>
        <v>9945.7838100000008</v>
      </c>
    </row>
    <row r="63" spans="1:5" ht="15.75">
      <c r="A63" s="147" t="s">
        <v>6</v>
      </c>
      <c r="B63" s="147" t="s">
        <v>107</v>
      </c>
      <c r="C63" s="153">
        <v>191547</v>
      </c>
      <c r="D63" s="149">
        <v>1.66E-2</v>
      </c>
      <c r="E63" s="234">
        <f>C63*D63</f>
        <v>3179.6802000000002</v>
      </c>
    </row>
    <row r="64" spans="1:5" ht="15.75">
      <c r="A64" s="147" t="s">
        <v>6</v>
      </c>
      <c r="B64" s="147" t="s">
        <v>108</v>
      </c>
      <c r="C64" s="153">
        <v>62380</v>
      </c>
      <c r="D64" s="149">
        <v>2.9499999999999998E-2</v>
      </c>
      <c r="E64" s="234">
        <f>C64*D64</f>
        <v>1840.2099999999998</v>
      </c>
    </row>
    <row r="65" spans="1:5" ht="15.75">
      <c r="A65" s="147" t="s">
        <v>6</v>
      </c>
      <c r="B65" s="147" t="s">
        <v>109</v>
      </c>
      <c r="C65" s="153">
        <v>38480</v>
      </c>
      <c r="D65" s="149">
        <v>2.53E-2</v>
      </c>
      <c r="E65" s="234">
        <f>C65*D65</f>
        <v>973.54399999999998</v>
      </c>
    </row>
    <row r="66" spans="1:5" ht="15.75">
      <c r="A66" s="147" t="s">
        <v>6</v>
      </c>
      <c r="B66" s="147" t="s">
        <v>110</v>
      </c>
      <c r="C66" s="153">
        <v>69586.8</v>
      </c>
      <c r="D66" s="149">
        <v>1.6799999999999999E-2</v>
      </c>
      <c r="E66" s="234">
        <f>C66*D66</f>
        <v>1169.0582400000001</v>
      </c>
    </row>
    <row r="67" spans="1:5" s="152" customFormat="1" ht="15.75">
      <c r="A67" s="150" t="s">
        <v>124</v>
      </c>
      <c r="B67" s="150"/>
      <c r="C67" s="231">
        <f>SUM(C63:C66)</f>
        <v>361993.8</v>
      </c>
      <c r="D67" s="151"/>
      <c r="E67" s="151">
        <f>SUM(E63:E66)</f>
        <v>7162.49244</v>
      </c>
    </row>
    <row r="68" spans="1:5" ht="15.75">
      <c r="A68" s="147" t="s">
        <v>58</v>
      </c>
      <c r="B68" s="147" t="s">
        <v>209</v>
      </c>
      <c r="C68" s="153">
        <v>964538.99</v>
      </c>
      <c r="D68" s="149">
        <v>2.9499999999999998E-2</v>
      </c>
      <c r="E68" s="234">
        <f>C68*D68</f>
        <v>28453.900204999998</v>
      </c>
    </row>
    <row r="69" spans="1:5" ht="15.75">
      <c r="A69" s="147" t="s">
        <v>58</v>
      </c>
      <c r="B69" s="147" t="s">
        <v>210</v>
      </c>
      <c r="C69" s="153">
        <v>3984240.54</v>
      </c>
      <c r="D69" s="149">
        <v>1.66E-2</v>
      </c>
      <c r="E69" s="234">
        <f>C69*D69</f>
        <v>66138.392963999999</v>
      </c>
    </row>
    <row r="70" spans="1:5" ht="15.75">
      <c r="A70" s="147" t="s">
        <v>58</v>
      </c>
      <c r="B70" s="147" t="s">
        <v>211</v>
      </c>
      <c r="C70" s="153">
        <v>7086723.3099999996</v>
      </c>
      <c r="D70" s="149">
        <v>1.66E-2</v>
      </c>
      <c r="E70" s="234">
        <f>C70*D70</f>
        <v>117639.606946</v>
      </c>
    </row>
    <row r="71" spans="1:5" ht="15.75">
      <c r="A71" s="147" t="s">
        <v>58</v>
      </c>
      <c r="B71" s="147" t="s">
        <v>110</v>
      </c>
      <c r="C71" s="153">
        <v>167858.96</v>
      </c>
      <c r="D71" s="149">
        <v>1.6799999999999999E-2</v>
      </c>
      <c r="E71" s="234">
        <f>C71*D71</f>
        <v>2820.0305279999998</v>
      </c>
    </row>
    <row r="72" spans="1:5" s="152" customFormat="1" ht="15.75">
      <c r="A72" s="150" t="s">
        <v>125</v>
      </c>
      <c r="B72" s="150"/>
      <c r="C72" s="231">
        <f>SUM(C68:C71)</f>
        <v>12203361.800000001</v>
      </c>
      <c r="D72" s="151"/>
      <c r="E72" s="151">
        <f>SUM(E68:E71)</f>
        <v>215051.930643</v>
      </c>
    </row>
    <row r="73" spans="1:5" ht="15.75">
      <c r="A73" s="147" t="s">
        <v>48</v>
      </c>
      <c r="B73" s="147" t="s">
        <v>107</v>
      </c>
      <c r="C73" s="153">
        <v>3849510.7</v>
      </c>
      <c r="D73" s="149">
        <v>1.66E-2</v>
      </c>
      <c r="E73" s="234">
        <f>C73*D73</f>
        <v>63901.877620000007</v>
      </c>
    </row>
    <row r="74" spans="1:5" ht="15.75">
      <c r="A74" s="147" t="s">
        <v>48</v>
      </c>
      <c r="B74" s="147" t="s">
        <v>108</v>
      </c>
      <c r="C74" s="153">
        <v>63211.199999999997</v>
      </c>
      <c r="D74" s="149">
        <v>2.9499999999999998E-2</v>
      </c>
      <c r="E74" s="234">
        <f>C74*D74</f>
        <v>1864.7303999999999</v>
      </c>
    </row>
    <row r="75" spans="1:5" ht="15.75">
      <c r="A75" s="147" t="s">
        <v>48</v>
      </c>
      <c r="B75" s="147" t="s">
        <v>109</v>
      </c>
      <c r="C75" s="153">
        <v>350071.07</v>
      </c>
      <c r="D75" s="149">
        <v>2.53E-2</v>
      </c>
      <c r="E75" s="234">
        <f>C75*D75</f>
        <v>8856.7980709999993</v>
      </c>
    </row>
    <row r="76" spans="1:5" ht="15.75">
      <c r="A76" s="147" t="s">
        <v>48</v>
      </c>
      <c r="B76" s="147" t="s">
        <v>110</v>
      </c>
      <c r="C76" s="153">
        <v>67345.78</v>
      </c>
      <c r="D76" s="149">
        <v>1.6799999999999999E-2</v>
      </c>
      <c r="E76" s="234">
        <f>C76*D76</f>
        <v>1131.4091039999998</v>
      </c>
    </row>
    <row r="77" spans="1:5" s="152" customFormat="1" ht="15.75">
      <c r="A77" s="150" t="s">
        <v>126</v>
      </c>
      <c r="B77" s="150"/>
      <c r="C77" s="231">
        <f>SUM(C73:C76)</f>
        <v>4330138.7500000009</v>
      </c>
      <c r="D77" s="151"/>
      <c r="E77" s="151">
        <f>SUM(E73:E76)</f>
        <v>75754.815195000003</v>
      </c>
    </row>
    <row r="78" spans="1:5" ht="15.75">
      <c r="A78" s="147" t="s">
        <v>29</v>
      </c>
      <c r="B78" s="147" t="s">
        <v>107</v>
      </c>
      <c r="C78" s="153">
        <v>1139674.1100000001</v>
      </c>
      <c r="D78" s="149">
        <v>1.66E-2</v>
      </c>
      <c r="E78" s="234">
        <f>C78*D78</f>
        <v>18918.590226</v>
      </c>
    </row>
    <row r="79" spans="1:5" ht="15.75">
      <c r="A79" s="147" t="s">
        <v>29</v>
      </c>
      <c r="B79" s="147" t="s">
        <v>108</v>
      </c>
      <c r="C79" s="153">
        <v>168343.42</v>
      </c>
      <c r="D79" s="149">
        <v>2.9499999999999998E-2</v>
      </c>
      <c r="E79" s="234">
        <f>C79*D79</f>
        <v>4966.1308900000004</v>
      </c>
    </row>
    <row r="80" spans="1:5" ht="15.75">
      <c r="A80" s="147" t="s">
        <v>29</v>
      </c>
      <c r="B80" s="147" t="s">
        <v>110</v>
      </c>
      <c r="C80" s="153">
        <v>34275.119200000001</v>
      </c>
      <c r="D80" s="149">
        <v>1.6799999999999999E-2</v>
      </c>
      <c r="E80" s="234">
        <f>C80*D80</f>
        <v>575.82200255999999</v>
      </c>
    </row>
    <row r="81" spans="1:5" s="152" customFormat="1" ht="15.75">
      <c r="A81" s="150" t="s">
        <v>127</v>
      </c>
      <c r="B81" s="150"/>
      <c r="C81" s="231">
        <f>SUM(C78:C80)</f>
        <v>1342292.6492000001</v>
      </c>
      <c r="D81" s="151"/>
      <c r="E81" s="151">
        <f>SUM(E78:E80)</f>
        <v>24460.543118559999</v>
      </c>
    </row>
    <row r="82" spans="1:5" ht="15.75">
      <c r="A82" s="147" t="s">
        <v>7</v>
      </c>
      <c r="B82" s="147" t="s">
        <v>107</v>
      </c>
      <c r="C82" s="153">
        <v>329115.63</v>
      </c>
      <c r="D82" s="149">
        <v>1.66E-2</v>
      </c>
      <c r="E82" s="234">
        <f>C82*D82</f>
        <v>5463.3194579999999</v>
      </c>
    </row>
    <row r="83" spans="1:5" ht="15.75">
      <c r="A83" s="147" t="s">
        <v>7</v>
      </c>
      <c r="B83" s="147" t="s">
        <v>108</v>
      </c>
      <c r="C83" s="153">
        <v>50689.31</v>
      </c>
      <c r="D83" s="149">
        <v>2.9499999999999998E-2</v>
      </c>
      <c r="E83" s="234">
        <f>C83*D83</f>
        <v>1495.3346449999999</v>
      </c>
    </row>
    <row r="84" spans="1:5" ht="15.75">
      <c r="A84" s="147" t="s">
        <v>7</v>
      </c>
      <c r="B84" s="147" t="s">
        <v>109</v>
      </c>
      <c r="C84" s="153">
        <v>49471.5</v>
      </c>
      <c r="D84" s="149">
        <v>2.53E-2</v>
      </c>
      <c r="E84" s="234">
        <f>C84*D84</f>
        <v>1251.62895</v>
      </c>
    </row>
    <row r="85" spans="1:5" ht="15.75">
      <c r="A85" s="147" t="s">
        <v>7</v>
      </c>
      <c r="B85" s="147" t="s">
        <v>110</v>
      </c>
      <c r="C85" s="153">
        <v>71154.076000000001</v>
      </c>
      <c r="D85" s="149">
        <v>1.6799999999999999E-2</v>
      </c>
      <c r="E85" s="234">
        <f>C85*D85</f>
        <v>1195.3884768</v>
      </c>
    </row>
    <row r="86" spans="1:5" s="152" customFormat="1" ht="15.75">
      <c r="A86" s="150" t="s">
        <v>128</v>
      </c>
      <c r="B86" s="150"/>
      <c r="C86" s="231">
        <f>SUM(C82:C85)</f>
        <v>500430.516</v>
      </c>
      <c r="D86" s="151"/>
      <c r="E86" s="151">
        <f>SUM(E82:E85)</f>
        <v>9405.6715297999999</v>
      </c>
    </row>
    <row r="87" spans="1:5" ht="15.75">
      <c r="A87" s="147" t="s">
        <v>18</v>
      </c>
      <c r="B87" s="147" t="s">
        <v>107</v>
      </c>
      <c r="C87" s="153">
        <v>614127.68999999994</v>
      </c>
      <c r="D87" s="149">
        <v>1.66E-2</v>
      </c>
      <c r="E87" s="234">
        <f>C87*D87</f>
        <v>10194.519654</v>
      </c>
    </row>
    <row r="88" spans="1:5" ht="15.75">
      <c r="A88" s="147" t="s">
        <v>18</v>
      </c>
      <c r="B88" s="147" t="s">
        <v>108</v>
      </c>
      <c r="C88" s="153">
        <v>180323.92</v>
      </c>
      <c r="D88" s="149">
        <v>2.9499999999999998E-2</v>
      </c>
      <c r="E88" s="234">
        <f>C88*D88</f>
        <v>5319.5556400000005</v>
      </c>
    </row>
    <row r="89" spans="1:5" ht="15.75">
      <c r="A89" s="147" t="s">
        <v>18</v>
      </c>
      <c r="B89" s="147" t="s">
        <v>109</v>
      </c>
      <c r="C89" s="153">
        <v>167778.51</v>
      </c>
      <c r="D89" s="149">
        <v>2.53E-2</v>
      </c>
      <c r="E89" s="234">
        <f>C89*D89</f>
        <v>4244.7963030000001</v>
      </c>
    </row>
    <row r="90" spans="1:5" ht="15.75">
      <c r="A90" s="147" t="s">
        <v>18</v>
      </c>
      <c r="B90" s="147" t="s">
        <v>110</v>
      </c>
      <c r="C90" s="153">
        <v>63358.5</v>
      </c>
      <c r="D90" s="149">
        <v>1.6799999999999999E-2</v>
      </c>
      <c r="E90" s="234">
        <f>C90*D90</f>
        <v>1064.4227999999998</v>
      </c>
    </row>
    <row r="91" spans="1:5" s="152" customFormat="1" ht="15.75">
      <c r="A91" s="150" t="s">
        <v>129</v>
      </c>
      <c r="B91" s="150"/>
      <c r="C91" s="231">
        <f>SUM(C87:C90)</f>
        <v>1025588.62</v>
      </c>
      <c r="D91" s="151"/>
      <c r="E91" s="151">
        <f>SUM(E87:E90)</f>
        <v>20823.294397000001</v>
      </c>
    </row>
    <row r="92" spans="1:5" ht="15.75">
      <c r="A92" s="147" t="s">
        <v>8</v>
      </c>
      <c r="B92" s="147" t="s">
        <v>107</v>
      </c>
      <c r="C92" s="153">
        <v>371964.32</v>
      </c>
      <c r="D92" s="149">
        <v>1.66E-2</v>
      </c>
      <c r="E92" s="234">
        <f>C92*D92</f>
        <v>6174.607712</v>
      </c>
    </row>
    <row r="93" spans="1:5" ht="15.75">
      <c r="A93" s="147" t="s">
        <v>8</v>
      </c>
      <c r="B93" s="147" t="s">
        <v>108</v>
      </c>
      <c r="C93" s="153">
        <v>7386.079999999999</v>
      </c>
      <c r="D93" s="149">
        <v>2.9499999999999998E-2</v>
      </c>
      <c r="E93" s="234">
        <f>C93*D93</f>
        <v>217.88935999999995</v>
      </c>
    </row>
    <row r="94" spans="1:5" ht="15.75">
      <c r="A94" s="147" t="s">
        <v>8</v>
      </c>
      <c r="B94" s="147" t="s">
        <v>110</v>
      </c>
      <c r="C94" s="153">
        <v>48931.26</v>
      </c>
      <c r="D94" s="149">
        <v>1.6799999999999999E-2</v>
      </c>
      <c r="E94" s="234">
        <f>C94*D94</f>
        <v>822.04516799999999</v>
      </c>
    </row>
    <row r="95" spans="1:5" s="152" customFormat="1" ht="15.75">
      <c r="A95" s="150" t="s">
        <v>130</v>
      </c>
      <c r="B95" s="150"/>
      <c r="C95" s="231">
        <f>SUM(C92:C94)</f>
        <v>428281.66000000003</v>
      </c>
      <c r="D95" s="151"/>
      <c r="E95" s="151">
        <f>SUM(E92:E94)</f>
        <v>7214.5422399999998</v>
      </c>
    </row>
    <row r="96" spans="1:5" ht="15.75">
      <c r="A96" s="147" t="s">
        <v>9</v>
      </c>
      <c r="B96" s="147" t="s">
        <v>107</v>
      </c>
      <c r="C96" s="153">
        <v>274261.15000000002</v>
      </c>
      <c r="D96" s="149">
        <v>1.66E-2</v>
      </c>
      <c r="E96" s="234">
        <f>C96*D96</f>
        <v>4552.7350900000001</v>
      </c>
    </row>
    <row r="97" spans="1:5" ht="15.75">
      <c r="A97" s="147" t="s">
        <v>9</v>
      </c>
      <c r="B97" s="147" t="s">
        <v>108</v>
      </c>
      <c r="C97" s="153">
        <v>42133.1</v>
      </c>
      <c r="D97" s="149">
        <v>2.9499999999999998E-2</v>
      </c>
      <c r="E97" s="234">
        <f>C97*D97</f>
        <v>1242.9264499999999</v>
      </c>
    </row>
    <row r="98" spans="1:5" ht="15.75">
      <c r="A98" s="147" t="s">
        <v>9</v>
      </c>
      <c r="B98" s="147" t="s">
        <v>110</v>
      </c>
      <c r="C98" s="153">
        <v>57059.5</v>
      </c>
      <c r="D98" s="149">
        <v>1.6799999999999999E-2</v>
      </c>
      <c r="E98" s="234">
        <f>C98*D98</f>
        <v>958.5995999999999</v>
      </c>
    </row>
    <row r="99" spans="1:5" s="152" customFormat="1" ht="15.75">
      <c r="A99" s="150" t="s">
        <v>131</v>
      </c>
      <c r="B99" s="150"/>
      <c r="C99" s="231">
        <f>SUM(C96:C98)</f>
        <v>373453.75</v>
      </c>
      <c r="D99" s="151"/>
      <c r="E99" s="151">
        <f>SUM(E96:E98)</f>
        <v>6754.2611399999996</v>
      </c>
    </row>
    <row r="100" spans="1:5" ht="15.75">
      <c r="A100" s="147" t="s">
        <v>10</v>
      </c>
      <c r="B100" s="147" t="s">
        <v>107</v>
      </c>
      <c r="C100" s="153">
        <v>294195.55</v>
      </c>
      <c r="D100" s="149">
        <v>1.66E-2</v>
      </c>
      <c r="E100" s="234">
        <f>C100*D100</f>
        <v>4883.6461300000001</v>
      </c>
    </row>
    <row r="101" spans="1:5" ht="15.75">
      <c r="A101" s="147" t="s">
        <v>10</v>
      </c>
      <c r="B101" s="147" t="s">
        <v>108</v>
      </c>
      <c r="C101" s="153">
        <v>25440.012000000002</v>
      </c>
      <c r="D101" s="149">
        <v>2.9499999999999998E-2</v>
      </c>
      <c r="E101" s="234">
        <f>C101*D101</f>
        <v>750.48035400000003</v>
      </c>
    </row>
    <row r="102" spans="1:5" ht="15.75">
      <c r="A102" s="147" t="s">
        <v>10</v>
      </c>
      <c r="B102" s="147" t="s">
        <v>110</v>
      </c>
      <c r="C102" s="153">
        <v>57950</v>
      </c>
      <c r="D102" s="149">
        <v>1.6799999999999999E-2</v>
      </c>
      <c r="E102" s="234">
        <f>C102*D102</f>
        <v>973.56</v>
      </c>
    </row>
    <row r="103" spans="1:5" s="152" customFormat="1" ht="15.75">
      <c r="A103" s="150" t="s">
        <v>132</v>
      </c>
      <c r="B103" s="150"/>
      <c r="C103" s="231">
        <f>SUM(C100:C102)</f>
        <v>377585.56199999998</v>
      </c>
      <c r="D103" s="151"/>
      <c r="E103" s="151">
        <f>SUM(E100:E102)</f>
        <v>6607.6864839999998</v>
      </c>
    </row>
    <row r="104" spans="1:5" ht="15.75">
      <c r="A104" s="147" t="s">
        <v>11</v>
      </c>
      <c r="B104" s="147" t="s">
        <v>107</v>
      </c>
      <c r="C104" s="153">
        <v>264187.56</v>
      </c>
      <c r="D104" s="149">
        <v>1.66E-2</v>
      </c>
      <c r="E104" s="234">
        <f>C104*D104</f>
        <v>4385.5134959999996</v>
      </c>
    </row>
    <row r="105" spans="1:5" ht="15.75">
      <c r="A105" s="147" t="s">
        <v>11</v>
      </c>
      <c r="B105" s="147" t="s">
        <v>108</v>
      </c>
      <c r="C105" s="153">
        <v>45136</v>
      </c>
      <c r="D105" s="149">
        <v>2.9499999999999998E-2</v>
      </c>
      <c r="E105" s="234">
        <f>C105*D105</f>
        <v>1331.5119999999999</v>
      </c>
    </row>
    <row r="106" spans="1:5" ht="15.75">
      <c r="A106" s="147" t="s">
        <v>11</v>
      </c>
      <c r="B106" s="147" t="s">
        <v>110</v>
      </c>
      <c r="C106" s="153">
        <v>57277.48</v>
      </c>
      <c r="D106" s="149">
        <v>1.6799999999999999E-2</v>
      </c>
      <c r="E106" s="234">
        <f>C106*D106</f>
        <v>962.261664</v>
      </c>
    </row>
    <row r="107" spans="1:5" s="152" customFormat="1" ht="15.75">
      <c r="A107" s="150" t="s">
        <v>133</v>
      </c>
      <c r="B107" s="150"/>
      <c r="C107" s="231">
        <f>SUM(C104:C106)</f>
        <v>366601.04</v>
      </c>
      <c r="D107" s="151"/>
      <c r="E107" s="151">
        <f>SUM(E104:E106)</f>
        <v>6679.2871599999989</v>
      </c>
    </row>
    <row r="108" spans="1:5" ht="15.75">
      <c r="A108" s="147" t="s">
        <v>19</v>
      </c>
      <c r="B108" s="147" t="s">
        <v>107</v>
      </c>
      <c r="C108" s="153">
        <v>402636.94</v>
      </c>
      <c r="D108" s="149">
        <v>1.66E-2</v>
      </c>
      <c r="E108" s="234">
        <f>C108*D108</f>
        <v>6683.7732040000001</v>
      </c>
    </row>
    <row r="109" spans="1:5" ht="15.75">
      <c r="A109" s="147" t="s">
        <v>19</v>
      </c>
      <c r="B109" s="147" t="s">
        <v>109</v>
      </c>
      <c r="C109" s="153">
        <v>82891.95</v>
      </c>
      <c r="D109" s="149">
        <v>2.53E-2</v>
      </c>
      <c r="E109" s="234">
        <f>C109*D109</f>
        <v>2097.1663349999999</v>
      </c>
    </row>
    <row r="110" spans="1:5" ht="15.75">
      <c r="A110" s="147" t="s">
        <v>19</v>
      </c>
      <c r="B110" s="147" t="s">
        <v>110</v>
      </c>
      <c r="C110" s="153">
        <v>71606.399999999994</v>
      </c>
      <c r="D110" s="149">
        <v>1.6799999999999999E-2</v>
      </c>
      <c r="E110" s="234">
        <f>C110*D110</f>
        <v>1202.9875199999999</v>
      </c>
    </row>
    <row r="111" spans="1:5" s="152" customFormat="1" ht="15.75">
      <c r="A111" s="150" t="s">
        <v>134</v>
      </c>
      <c r="B111" s="150"/>
      <c r="C111" s="231">
        <f>SUM(C108:C110)</f>
        <v>557135.29</v>
      </c>
      <c r="D111" s="151"/>
      <c r="E111" s="151">
        <f>SUM(E108:E110)</f>
        <v>9983.9270589999996</v>
      </c>
    </row>
    <row r="112" spans="1:5" ht="15.75">
      <c r="A112" s="147" t="s">
        <v>20</v>
      </c>
      <c r="B112" s="147" t="s">
        <v>107</v>
      </c>
      <c r="C112" s="153">
        <v>656663.9</v>
      </c>
      <c r="D112" s="149">
        <v>1.66E-2</v>
      </c>
      <c r="E112" s="234">
        <f>C112*D112</f>
        <v>10900.62074</v>
      </c>
    </row>
    <row r="113" spans="1:5" ht="15.75">
      <c r="A113" s="147" t="s">
        <v>20</v>
      </c>
      <c r="B113" s="147" t="s">
        <v>108</v>
      </c>
      <c r="C113" s="148">
        <v>39508</v>
      </c>
      <c r="D113" s="149">
        <v>2.9499999999999998E-2</v>
      </c>
      <c r="E113" s="234">
        <f>C113*D113</f>
        <v>1165.4859999999999</v>
      </c>
    </row>
    <row r="114" spans="1:5" ht="15.75">
      <c r="A114" s="147" t="s">
        <v>20</v>
      </c>
      <c r="B114" s="147" t="s">
        <v>110</v>
      </c>
      <c r="C114" s="153">
        <v>75249.599999999991</v>
      </c>
      <c r="D114" s="149">
        <v>1.6799999999999999E-2</v>
      </c>
      <c r="E114" s="234">
        <f>C114*D114</f>
        <v>1264.1932799999997</v>
      </c>
    </row>
    <row r="115" spans="1:5" s="152" customFormat="1" ht="15.75">
      <c r="A115" s="150" t="s">
        <v>135</v>
      </c>
      <c r="B115" s="150"/>
      <c r="C115" s="231">
        <f>SUM(C112:C114)</f>
        <v>771421.5</v>
      </c>
      <c r="D115" s="151"/>
      <c r="E115" s="151">
        <f>SUM(E112:E114)</f>
        <v>13330.300019999999</v>
      </c>
    </row>
    <row r="116" spans="1:5" ht="15.75">
      <c r="A116" s="147" t="s">
        <v>39</v>
      </c>
      <c r="B116" s="147" t="s">
        <v>107</v>
      </c>
      <c r="C116" s="153">
        <v>2234484.2000000002</v>
      </c>
      <c r="D116" s="149">
        <v>1.66E-2</v>
      </c>
      <c r="E116" s="234">
        <f>C116*D116</f>
        <v>37092.437720000002</v>
      </c>
    </row>
    <row r="117" spans="1:5" ht="15.75">
      <c r="A117" s="147" t="s">
        <v>39</v>
      </c>
      <c r="B117" s="147" t="s">
        <v>108</v>
      </c>
      <c r="C117" s="153">
        <v>185829.4</v>
      </c>
      <c r="D117" s="149">
        <v>2.9499999999999998E-2</v>
      </c>
      <c r="E117" s="234">
        <f>C117*D117</f>
        <v>5481.9672999999993</v>
      </c>
    </row>
    <row r="118" spans="1:5" ht="15.75">
      <c r="A118" s="147" t="s">
        <v>39</v>
      </c>
      <c r="B118" s="147" t="s">
        <v>109</v>
      </c>
      <c r="C118" s="153">
        <v>44782.400000000001</v>
      </c>
      <c r="D118" s="149">
        <v>2.53E-2</v>
      </c>
      <c r="E118" s="234">
        <f>C118*D118</f>
        <v>1132.9947199999999</v>
      </c>
    </row>
    <row r="119" spans="1:5" ht="15.75">
      <c r="A119" s="147" t="s">
        <v>39</v>
      </c>
      <c r="B119" s="147" t="s">
        <v>110</v>
      </c>
      <c r="C119" s="153">
        <v>75951</v>
      </c>
      <c r="D119" s="149">
        <v>1.6799999999999999E-2</v>
      </c>
      <c r="E119" s="234">
        <f>C119*D119</f>
        <v>1275.9767999999999</v>
      </c>
    </row>
    <row r="120" spans="1:5" s="152" customFormat="1" ht="15.75">
      <c r="A120" s="150" t="s">
        <v>136</v>
      </c>
      <c r="B120" s="150"/>
      <c r="C120" s="231">
        <f>SUM(C116:C119)</f>
        <v>2541047</v>
      </c>
      <c r="D120" s="151"/>
      <c r="E120" s="151">
        <f>SUM(E116:E119)</f>
        <v>44983.376539999997</v>
      </c>
    </row>
    <row r="121" spans="1:5" ht="15.75">
      <c r="A121" s="147" t="s">
        <v>30</v>
      </c>
      <c r="B121" s="147" t="s">
        <v>107</v>
      </c>
      <c r="C121" s="153">
        <v>1231106.68</v>
      </c>
      <c r="D121" s="149">
        <v>1.66E-2</v>
      </c>
      <c r="E121" s="234">
        <f>C121*D121</f>
        <v>20436.370887999998</v>
      </c>
    </row>
    <row r="122" spans="1:5" ht="15.75">
      <c r="A122" s="147" t="s">
        <v>30</v>
      </c>
      <c r="B122" s="147" t="s">
        <v>108</v>
      </c>
      <c r="C122" s="153">
        <v>313205.90000000002</v>
      </c>
      <c r="D122" s="149">
        <v>2.9499999999999998E-2</v>
      </c>
      <c r="E122" s="234">
        <f>C122*D122</f>
        <v>9239.5740500000011</v>
      </c>
    </row>
    <row r="123" spans="1:5" ht="15.75">
      <c r="A123" s="147" t="s">
        <v>30</v>
      </c>
      <c r="B123" s="147" t="s">
        <v>109</v>
      </c>
      <c r="C123" s="153">
        <v>14209.5</v>
      </c>
      <c r="D123" s="149">
        <v>2.53E-2</v>
      </c>
      <c r="E123" s="234">
        <f>C123*D123</f>
        <v>359.50034999999997</v>
      </c>
    </row>
    <row r="124" spans="1:5" ht="15.75">
      <c r="A124" s="147" t="s">
        <v>30</v>
      </c>
      <c r="B124" s="147" t="s">
        <v>110</v>
      </c>
      <c r="C124" s="153">
        <v>56791.98</v>
      </c>
      <c r="D124" s="149">
        <v>1.6799999999999999E-2</v>
      </c>
      <c r="E124" s="234">
        <f>C124*D124</f>
        <v>954.10526400000003</v>
      </c>
    </row>
    <row r="125" spans="1:5" s="152" customFormat="1" ht="15.75">
      <c r="A125" s="150" t="s">
        <v>137</v>
      </c>
      <c r="B125" s="150"/>
      <c r="C125" s="231">
        <f>SUM(C121:C124)</f>
        <v>1615314.06</v>
      </c>
      <c r="D125" s="151"/>
      <c r="E125" s="151">
        <f>SUM(E121:E124)</f>
        <v>30989.550552000001</v>
      </c>
    </row>
    <row r="126" spans="1:5" ht="15.75">
      <c r="A126" s="147" t="s">
        <v>64</v>
      </c>
      <c r="B126" s="147" t="s">
        <v>107</v>
      </c>
      <c r="C126" s="153">
        <v>18084379.789999999</v>
      </c>
      <c r="D126" s="149">
        <v>1.66E-2</v>
      </c>
      <c r="E126" s="234">
        <f>C126*D126</f>
        <v>300200.70451399998</v>
      </c>
    </row>
    <row r="127" spans="1:5" ht="15.75">
      <c r="A127" s="147" t="s">
        <v>64</v>
      </c>
      <c r="B127" s="147" t="s">
        <v>108</v>
      </c>
      <c r="C127" s="153">
        <v>136751.29</v>
      </c>
      <c r="D127" s="149">
        <v>2.9499999999999998E-2</v>
      </c>
      <c r="E127" s="234">
        <f>C127*D127</f>
        <v>4034.163055</v>
      </c>
    </row>
    <row r="128" spans="1:5" ht="15.75">
      <c r="A128" s="147" t="s">
        <v>64</v>
      </c>
      <c r="B128" s="147" t="s">
        <v>109</v>
      </c>
      <c r="C128" s="153">
        <v>1359272.59</v>
      </c>
      <c r="D128" s="149">
        <v>2.53E-2</v>
      </c>
      <c r="E128" s="234">
        <f>C128*D128</f>
        <v>34389.596527000002</v>
      </c>
    </row>
    <row r="129" spans="1:5" ht="15.75">
      <c r="A129" s="147" t="s">
        <v>64</v>
      </c>
      <c r="B129" s="147" t="s">
        <v>110</v>
      </c>
      <c r="C129" s="153">
        <v>117644.4</v>
      </c>
      <c r="D129" s="149">
        <v>1.6799999999999999E-2</v>
      </c>
      <c r="E129" s="234">
        <f>C129*D129</f>
        <v>1976.4259199999997</v>
      </c>
    </row>
    <row r="130" spans="1:5" s="152" customFormat="1" ht="15.75">
      <c r="A130" s="150" t="s">
        <v>138</v>
      </c>
      <c r="B130" s="150"/>
      <c r="C130" s="231">
        <f>SUM(C126:C129)</f>
        <v>19698048.069999997</v>
      </c>
      <c r="D130" s="151"/>
      <c r="E130" s="151">
        <f>SUM(E126:E129)</f>
        <v>340600.89001600002</v>
      </c>
    </row>
    <row r="131" spans="1:5" ht="15.75">
      <c r="A131" s="147" t="s">
        <v>12</v>
      </c>
      <c r="B131" s="147" t="s">
        <v>107</v>
      </c>
      <c r="C131" s="153">
        <v>216216.28</v>
      </c>
      <c r="D131" s="149">
        <v>1.66E-2</v>
      </c>
      <c r="E131" s="234">
        <f>C131*D131</f>
        <v>3589.1902479999999</v>
      </c>
    </row>
    <row r="132" spans="1:5" ht="15.75">
      <c r="A132" s="147" t="s">
        <v>12</v>
      </c>
      <c r="B132" s="147" t="s">
        <v>108</v>
      </c>
      <c r="C132" s="153">
        <v>112860.34</v>
      </c>
      <c r="D132" s="149">
        <v>2.9499999999999998E-2</v>
      </c>
      <c r="E132" s="234">
        <f>C132*D132</f>
        <v>3329.3800299999998</v>
      </c>
    </row>
    <row r="133" spans="1:5" ht="15.75">
      <c r="A133" s="147" t="s">
        <v>12</v>
      </c>
      <c r="B133" s="147" t="s">
        <v>110</v>
      </c>
      <c r="C133" s="153">
        <v>70269</v>
      </c>
      <c r="D133" s="149">
        <v>1.6799999999999999E-2</v>
      </c>
      <c r="E133" s="234">
        <f>C133*D133</f>
        <v>1180.5192</v>
      </c>
    </row>
    <row r="134" spans="1:5" s="152" customFormat="1" ht="15.75">
      <c r="A134" s="150" t="s">
        <v>139</v>
      </c>
      <c r="B134" s="150"/>
      <c r="C134" s="231">
        <f>SUM(C131:C133)</f>
        <v>399345.62</v>
      </c>
      <c r="D134" s="151"/>
      <c r="E134" s="151">
        <f>SUM(E131:E133)</f>
        <v>8099.089477999999</v>
      </c>
    </row>
    <row r="135" spans="1:5" ht="15.75">
      <c r="A135" s="147" t="s">
        <v>31</v>
      </c>
      <c r="B135" s="147" t="s">
        <v>107</v>
      </c>
      <c r="C135" s="153">
        <v>2031189.03</v>
      </c>
      <c r="D135" s="149">
        <v>1.66E-2</v>
      </c>
      <c r="E135" s="234">
        <f>C135*D135</f>
        <v>33717.737897999999</v>
      </c>
    </row>
    <row r="136" spans="1:5" ht="15.75">
      <c r="A136" s="147" t="s">
        <v>31</v>
      </c>
      <c r="B136" s="147" t="s">
        <v>108</v>
      </c>
      <c r="C136" s="153">
        <v>103564.54</v>
      </c>
      <c r="D136" s="149">
        <v>2.9499999999999998E-2</v>
      </c>
      <c r="E136" s="234">
        <f>C136*D136</f>
        <v>3055.1539299999995</v>
      </c>
    </row>
    <row r="137" spans="1:5" ht="15.75">
      <c r="A137" s="147" t="s">
        <v>31</v>
      </c>
      <c r="B137" s="147" t="s">
        <v>109</v>
      </c>
      <c r="C137" s="153">
        <v>123587.88400000001</v>
      </c>
      <c r="D137" s="149">
        <v>2.53E-2</v>
      </c>
      <c r="E137" s="234">
        <f>C137*D137</f>
        <v>3126.7734651999999</v>
      </c>
    </row>
    <row r="138" spans="1:5" ht="15.75">
      <c r="A138" s="147" t="s">
        <v>31</v>
      </c>
      <c r="B138" s="147" t="s">
        <v>110</v>
      </c>
      <c r="C138" s="153">
        <v>91660.376000000004</v>
      </c>
      <c r="D138" s="149">
        <v>1.6799999999999999E-2</v>
      </c>
      <c r="E138" s="234">
        <f>C138*D138</f>
        <v>1539.8943168000001</v>
      </c>
    </row>
    <row r="139" spans="1:5" s="152" customFormat="1" ht="15.75">
      <c r="A139" s="150" t="s">
        <v>140</v>
      </c>
      <c r="B139" s="150"/>
      <c r="C139" s="231">
        <f>SUM(C135:C138)</f>
        <v>2350001.83</v>
      </c>
      <c r="D139" s="151"/>
      <c r="E139" s="151">
        <f>SUM(E135:E138)</f>
        <v>41439.559609999997</v>
      </c>
    </row>
    <row r="140" spans="1:5" ht="15.75">
      <c r="A140" s="147" t="s">
        <v>21</v>
      </c>
      <c r="B140" s="147" t="s">
        <v>107</v>
      </c>
      <c r="C140" s="153">
        <v>698671.2</v>
      </c>
      <c r="D140" s="149">
        <v>1.66E-2</v>
      </c>
      <c r="E140" s="234">
        <f>C140*D140</f>
        <v>11597.941919999999</v>
      </c>
    </row>
    <row r="141" spans="1:5" ht="15.75">
      <c r="A141" s="147" t="s">
        <v>21</v>
      </c>
      <c r="B141" s="147" t="s">
        <v>108</v>
      </c>
      <c r="C141" s="153">
        <v>49835.015999999996</v>
      </c>
      <c r="D141" s="149">
        <v>2.9499999999999998E-2</v>
      </c>
      <c r="E141" s="234">
        <f>C141*D141</f>
        <v>1470.1329719999999</v>
      </c>
    </row>
    <row r="142" spans="1:5" ht="15.75">
      <c r="A142" s="147" t="s">
        <v>21</v>
      </c>
      <c r="B142" s="147" t="s">
        <v>110</v>
      </c>
      <c r="C142" s="153">
        <v>76837.8</v>
      </c>
      <c r="D142" s="149">
        <v>1.6799999999999999E-2</v>
      </c>
      <c r="E142" s="234">
        <f>C142*D142</f>
        <v>1290.8750399999999</v>
      </c>
    </row>
    <row r="143" spans="1:5" s="152" customFormat="1" ht="15.75">
      <c r="A143" s="150" t="s">
        <v>141</v>
      </c>
      <c r="B143" s="150"/>
      <c r="C143" s="231">
        <f>SUM(C140:C142)</f>
        <v>825344.01599999995</v>
      </c>
      <c r="D143" s="151"/>
      <c r="E143" s="151">
        <f>SUM(E140:E142)</f>
        <v>14358.949932</v>
      </c>
    </row>
    <row r="144" spans="1:5" ht="15.75">
      <c r="A144" s="147" t="s">
        <v>13</v>
      </c>
      <c r="B144" s="147" t="s">
        <v>107</v>
      </c>
      <c r="C144" s="153">
        <v>260844.48</v>
      </c>
      <c r="D144" s="149">
        <v>1.66E-2</v>
      </c>
      <c r="E144" s="234">
        <f>C144*D144</f>
        <v>4330.018368</v>
      </c>
    </row>
    <row r="145" spans="1:5" ht="15.75">
      <c r="A145" s="147" t="s">
        <v>13</v>
      </c>
      <c r="B145" s="147" t="s">
        <v>110</v>
      </c>
      <c r="C145" s="153">
        <v>57548.52</v>
      </c>
      <c r="D145" s="149">
        <v>1.6799999999999999E-2</v>
      </c>
      <c r="E145" s="234">
        <f>C145*D145</f>
        <v>966.81513599999994</v>
      </c>
    </row>
    <row r="146" spans="1:5" s="152" customFormat="1" ht="15.75">
      <c r="A146" s="150" t="s">
        <v>142</v>
      </c>
      <c r="B146" s="150"/>
      <c r="C146" s="231">
        <f>SUM(C144:C145)</f>
        <v>318393</v>
      </c>
      <c r="D146" s="151"/>
      <c r="E146" s="151">
        <f>SUM(E144:E145)</f>
        <v>5296.8335040000002</v>
      </c>
    </row>
    <row r="147" spans="1:5" ht="15.75">
      <c r="A147" s="147" t="s">
        <v>2</v>
      </c>
      <c r="B147" s="147" t="s">
        <v>107</v>
      </c>
      <c r="C147" s="153">
        <v>119572.91</v>
      </c>
      <c r="D147" s="149">
        <v>1.66E-2</v>
      </c>
      <c r="E147" s="234">
        <f>C147*D147</f>
        <v>1984.910306</v>
      </c>
    </row>
    <row r="148" spans="1:5" ht="15.75">
      <c r="A148" s="147" t="s">
        <v>2</v>
      </c>
      <c r="B148" s="147" t="s">
        <v>110</v>
      </c>
      <c r="C148" s="153">
        <v>66908.94</v>
      </c>
      <c r="D148" s="149">
        <v>1.6799999999999999E-2</v>
      </c>
      <c r="E148" s="234">
        <f>C148*D148</f>
        <v>1124.0701919999999</v>
      </c>
    </row>
    <row r="149" spans="1:5" s="152" customFormat="1" ht="15.75">
      <c r="A149" s="150" t="s">
        <v>143</v>
      </c>
      <c r="B149" s="150"/>
      <c r="C149" s="231">
        <f>SUM(C147:C148)</f>
        <v>186481.85</v>
      </c>
      <c r="D149" s="151"/>
      <c r="E149" s="151">
        <f>SUM(E147:E148)</f>
        <v>3108.9804979999999</v>
      </c>
    </row>
    <row r="150" spans="1:5" ht="15.75">
      <c r="A150" s="147" t="s">
        <v>49</v>
      </c>
      <c r="B150" s="147" t="s">
        <v>107</v>
      </c>
      <c r="C150" s="153">
        <v>4031947.98</v>
      </c>
      <c r="D150" s="149">
        <v>1.66E-2</v>
      </c>
      <c r="E150" s="234">
        <f>C150*D150</f>
        <v>66930.336467999994</v>
      </c>
    </row>
    <row r="151" spans="1:5" ht="15.75">
      <c r="A151" s="147" t="s">
        <v>49</v>
      </c>
      <c r="B151" s="147" t="s">
        <v>108</v>
      </c>
      <c r="C151" s="153">
        <v>180659.56</v>
      </c>
      <c r="D151" s="149">
        <v>2.9499999999999998E-2</v>
      </c>
      <c r="E151" s="234">
        <f>C151*D151</f>
        <v>5329.4570199999998</v>
      </c>
    </row>
    <row r="152" spans="1:5" ht="15.75">
      <c r="A152" s="147" t="s">
        <v>49</v>
      </c>
      <c r="B152" s="147" t="s">
        <v>109</v>
      </c>
      <c r="C152" s="153">
        <v>286879.21999999997</v>
      </c>
      <c r="D152" s="149">
        <v>2.53E-2</v>
      </c>
      <c r="E152" s="234">
        <f>C152*D152</f>
        <v>7258.044265999999</v>
      </c>
    </row>
    <row r="153" spans="1:5" ht="15.75">
      <c r="A153" s="147" t="s">
        <v>49</v>
      </c>
      <c r="B153" s="147" t="s">
        <v>110</v>
      </c>
      <c r="C153" s="153">
        <v>98756.020000000019</v>
      </c>
      <c r="D153" s="149">
        <v>1.6799999999999999E-2</v>
      </c>
      <c r="E153" s="234">
        <f>C153*D153</f>
        <v>1659.1011360000002</v>
      </c>
    </row>
    <row r="154" spans="1:5" s="152" customFormat="1" ht="15.75">
      <c r="A154" s="150" t="s">
        <v>144</v>
      </c>
      <c r="B154" s="150"/>
      <c r="C154" s="231">
        <f>SUM(C150:C153)</f>
        <v>4598242.7799999993</v>
      </c>
      <c r="D154" s="151"/>
      <c r="E154" s="151">
        <f>SUM(E150:E153)</f>
        <v>81176.93888999999</v>
      </c>
    </row>
    <row r="155" spans="1:5" ht="15.75">
      <c r="A155" s="147" t="s">
        <v>59</v>
      </c>
      <c r="B155" s="147" t="s">
        <v>107</v>
      </c>
      <c r="C155" s="153">
        <v>8344051.0999999996</v>
      </c>
      <c r="D155" s="149">
        <v>1.66E-2</v>
      </c>
      <c r="E155" s="234">
        <f>C155*D155</f>
        <v>138511.24825999999</v>
      </c>
    </row>
    <row r="156" spans="1:5" ht="15.75">
      <c r="A156" s="147" t="s">
        <v>59</v>
      </c>
      <c r="B156" s="147" t="s">
        <v>108</v>
      </c>
      <c r="C156" s="153">
        <v>292261.8</v>
      </c>
      <c r="D156" s="149">
        <v>2.9499999999999998E-2</v>
      </c>
      <c r="E156" s="234">
        <f>C156*D156</f>
        <v>8621.7230999999992</v>
      </c>
    </row>
    <row r="157" spans="1:5" ht="15.75">
      <c r="A157" s="147" t="s">
        <v>59</v>
      </c>
      <c r="B157" s="147" t="s">
        <v>109</v>
      </c>
      <c r="C157" s="153">
        <v>283101.55</v>
      </c>
      <c r="D157" s="149">
        <v>2.53E-2</v>
      </c>
      <c r="E157" s="234">
        <f>C157*D157</f>
        <v>7162.4692149999992</v>
      </c>
    </row>
    <row r="158" spans="1:5" ht="15.75">
      <c r="A158" s="147" t="s">
        <v>59</v>
      </c>
      <c r="B158" s="147" t="s">
        <v>110</v>
      </c>
      <c r="C158" s="153">
        <v>86190.5</v>
      </c>
      <c r="D158" s="149">
        <v>1.6799999999999999E-2</v>
      </c>
      <c r="E158" s="234">
        <f>C158*D158</f>
        <v>1448.0003999999999</v>
      </c>
    </row>
    <row r="159" spans="1:5" s="152" customFormat="1" ht="15.75">
      <c r="A159" s="150" t="s">
        <v>145</v>
      </c>
      <c r="B159" s="150"/>
      <c r="C159" s="231">
        <f>SUM(C155:C158)</f>
        <v>9005604.9500000011</v>
      </c>
      <c r="D159" s="151"/>
      <c r="E159" s="151">
        <f>SUM(E155:E158)</f>
        <v>155743.44097499998</v>
      </c>
    </row>
    <row r="160" spans="1:5" ht="15.75">
      <c r="A160" s="147" t="s">
        <v>50</v>
      </c>
      <c r="B160" s="147" t="s">
        <v>107</v>
      </c>
      <c r="C160" s="153">
        <v>3330573.72</v>
      </c>
      <c r="D160" s="149">
        <v>1.66E-2</v>
      </c>
      <c r="E160" s="234">
        <f>C160*D160</f>
        <v>55287.523752000001</v>
      </c>
    </row>
    <row r="161" spans="1:5" ht="15.75">
      <c r="A161" s="147" t="s">
        <v>50</v>
      </c>
      <c r="B161" s="147" t="s">
        <v>108</v>
      </c>
      <c r="C161" s="153">
        <v>384573.46</v>
      </c>
      <c r="D161" s="149">
        <v>2.9499999999999998E-2</v>
      </c>
      <c r="E161" s="234">
        <f>C161*D161</f>
        <v>11344.91707</v>
      </c>
    </row>
    <row r="162" spans="1:5" ht="15.75">
      <c r="A162" s="147" t="s">
        <v>50</v>
      </c>
      <c r="B162" s="147" t="s">
        <v>109</v>
      </c>
      <c r="C162" s="153">
        <v>147694.10999999999</v>
      </c>
      <c r="D162" s="149">
        <v>2.53E-2</v>
      </c>
      <c r="E162" s="234">
        <f>C162*D162</f>
        <v>3736.6609829999998</v>
      </c>
    </row>
    <row r="163" spans="1:5" ht="15.75">
      <c r="A163" s="147" t="s">
        <v>50</v>
      </c>
      <c r="B163" s="147" t="s">
        <v>110</v>
      </c>
      <c r="C163" s="153">
        <v>121590.88</v>
      </c>
      <c r="D163" s="149">
        <v>1.6799999999999999E-2</v>
      </c>
      <c r="E163" s="234">
        <f>C163*D163</f>
        <v>2042.726784</v>
      </c>
    </row>
    <row r="164" spans="1:5" s="152" customFormat="1" ht="15.75">
      <c r="A164" s="150" t="s">
        <v>146</v>
      </c>
      <c r="B164" s="150"/>
      <c r="C164" s="231">
        <f>SUM(C160:C163)</f>
        <v>3984432.17</v>
      </c>
      <c r="D164" s="151"/>
      <c r="E164" s="151">
        <f>SUM(E160:E163)</f>
        <v>72411.828588999997</v>
      </c>
    </row>
    <row r="165" spans="1:5" ht="15.75">
      <c r="A165" s="147" t="s">
        <v>22</v>
      </c>
      <c r="B165" s="147" t="s">
        <v>107</v>
      </c>
      <c r="C165" s="153">
        <v>628950.80000000005</v>
      </c>
      <c r="D165" s="149">
        <v>1.66E-2</v>
      </c>
      <c r="E165" s="234">
        <f>C165*D165</f>
        <v>10440.583280000001</v>
      </c>
    </row>
    <row r="166" spans="1:5" ht="15.75">
      <c r="A166" s="147" t="s">
        <v>22</v>
      </c>
      <c r="B166" s="147" t="s">
        <v>108</v>
      </c>
      <c r="C166" s="153">
        <v>110486.75</v>
      </c>
      <c r="D166" s="149">
        <v>2.9499999999999998E-2</v>
      </c>
      <c r="E166" s="234">
        <f>C166*D166</f>
        <v>3259.3591249999999</v>
      </c>
    </row>
    <row r="167" spans="1:5" ht="15.75">
      <c r="A167" s="147" t="s">
        <v>22</v>
      </c>
      <c r="B167" s="147" t="s">
        <v>110</v>
      </c>
      <c r="C167" s="153">
        <v>59512.81</v>
      </c>
      <c r="D167" s="149">
        <v>1.6799999999999999E-2</v>
      </c>
      <c r="E167" s="234">
        <f>C167*D167</f>
        <v>999.81520799999987</v>
      </c>
    </row>
    <row r="168" spans="1:5" s="152" customFormat="1" ht="15.75">
      <c r="A168" s="150" t="s">
        <v>147</v>
      </c>
      <c r="B168" s="150"/>
      <c r="C168" s="231">
        <f>SUM(C165:C167)</f>
        <v>798950.3600000001</v>
      </c>
      <c r="D168" s="151"/>
      <c r="E168" s="151">
        <f>SUM(E165:E167)</f>
        <v>14699.757613000002</v>
      </c>
    </row>
    <row r="169" spans="1:5" ht="15.75">
      <c r="A169" s="147" t="s">
        <v>3</v>
      </c>
      <c r="B169" s="147" t="s">
        <v>107</v>
      </c>
      <c r="C169" s="153">
        <v>101545.60000000001</v>
      </c>
      <c r="D169" s="149">
        <v>1.66E-2</v>
      </c>
      <c r="E169" s="234">
        <f>C169*D169</f>
        <v>1685.65696</v>
      </c>
    </row>
    <row r="170" spans="1:5" ht="15.75">
      <c r="A170" s="147" t="s">
        <v>3</v>
      </c>
      <c r="B170" s="147" t="s">
        <v>108</v>
      </c>
      <c r="C170" s="153">
        <v>96668</v>
      </c>
      <c r="D170" s="149">
        <v>2.9499999999999998E-2</v>
      </c>
      <c r="E170" s="234">
        <f>C170*D170</f>
        <v>2851.7059999999997</v>
      </c>
    </row>
    <row r="171" spans="1:5" ht="15.75">
      <c r="A171" s="147" t="s">
        <v>3</v>
      </c>
      <c r="B171" s="147" t="s">
        <v>110</v>
      </c>
      <c r="C171" s="153">
        <v>56132</v>
      </c>
      <c r="D171" s="149">
        <v>1.6799999999999999E-2</v>
      </c>
      <c r="E171" s="234">
        <f>C171*D171</f>
        <v>943.0175999999999</v>
      </c>
    </row>
    <row r="172" spans="1:5" s="152" customFormat="1" ht="15.75">
      <c r="A172" s="150" t="s">
        <v>148</v>
      </c>
      <c r="B172" s="150"/>
      <c r="C172" s="231">
        <f>SUM(C169:C171)</f>
        <v>254345.60000000001</v>
      </c>
      <c r="D172" s="151"/>
      <c r="E172" s="151">
        <f>SUM(E169:E171)</f>
        <v>5480.3805599999996</v>
      </c>
    </row>
    <row r="173" spans="1:5" ht="15.75">
      <c r="A173" s="147" t="s">
        <v>23</v>
      </c>
      <c r="B173" s="147" t="s">
        <v>107</v>
      </c>
      <c r="C173" s="153">
        <v>318442.15000000002</v>
      </c>
      <c r="D173" s="149">
        <v>1.66E-2</v>
      </c>
      <c r="E173" s="234">
        <f>C173*D173</f>
        <v>5286.1396900000009</v>
      </c>
    </row>
    <row r="174" spans="1:5" ht="15.75">
      <c r="A174" s="147" t="s">
        <v>23</v>
      </c>
      <c r="B174" s="147" t="s">
        <v>110</v>
      </c>
      <c r="C174" s="153">
        <v>51600</v>
      </c>
      <c r="D174" s="149">
        <v>1.6799999999999999E-2</v>
      </c>
      <c r="E174" s="234">
        <f>C174*D174</f>
        <v>866.88</v>
      </c>
    </row>
    <row r="175" spans="1:5" s="152" customFormat="1" ht="15.75">
      <c r="A175" s="150" t="s">
        <v>149</v>
      </c>
      <c r="B175" s="150"/>
      <c r="C175" s="231">
        <f>SUM(C173:C174)</f>
        <v>370042.15</v>
      </c>
      <c r="D175" s="151"/>
      <c r="E175" s="151">
        <f>SUM(E173:E174)</f>
        <v>6153.019690000001</v>
      </c>
    </row>
    <row r="176" spans="1:5" ht="15.75">
      <c r="A176" s="147" t="s">
        <v>51</v>
      </c>
      <c r="B176" s="147" t="s">
        <v>107</v>
      </c>
      <c r="C176" s="153">
        <v>3335995.92</v>
      </c>
      <c r="D176" s="149">
        <v>1.66E-2</v>
      </c>
      <c r="E176" s="234">
        <f>C176*D176</f>
        <v>55377.532271999997</v>
      </c>
    </row>
    <row r="177" spans="1:5" ht="15.75">
      <c r="A177" s="147" t="s">
        <v>51</v>
      </c>
      <c r="B177" s="147" t="s">
        <v>108</v>
      </c>
      <c r="C177" s="153">
        <v>314902.39</v>
      </c>
      <c r="D177" s="149">
        <v>2.9499999999999998E-2</v>
      </c>
      <c r="E177" s="234">
        <f>C177*D177</f>
        <v>9289.6205050000008</v>
      </c>
    </row>
    <row r="178" spans="1:5" ht="15.75">
      <c r="A178" s="147" t="s">
        <v>51</v>
      </c>
      <c r="B178" s="147" t="s">
        <v>109</v>
      </c>
      <c r="C178" s="153">
        <v>226797.12</v>
      </c>
      <c r="D178" s="149">
        <v>2.53E-2</v>
      </c>
      <c r="E178" s="234">
        <f>C178*D178</f>
        <v>5737.9671360000002</v>
      </c>
    </row>
    <row r="179" spans="1:5" ht="15.75">
      <c r="A179" s="147" t="s">
        <v>51</v>
      </c>
      <c r="B179" s="147" t="s">
        <v>110</v>
      </c>
      <c r="C179" s="153">
        <v>88327.012000000002</v>
      </c>
      <c r="D179" s="149">
        <v>1.6799999999999999E-2</v>
      </c>
      <c r="E179" s="234">
        <f>C179*D179</f>
        <v>1483.8938016</v>
      </c>
    </row>
    <row r="180" spans="1:5" s="152" customFormat="1" ht="15.75">
      <c r="A180" s="150" t="s">
        <v>150</v>
      </c>
      <c r="B180" s="150"/>
      <c r="C180" s="231">
        <f>SUM(C176:C179)</f>
        <v>3966022.4420000003</v>
      </c>
      <c r="D180" s="151"/>
      <c r="E180" s="151">
        <f>SUM(E176:E179)</f>
        <v>71889.013714600005</v>
      </c>
    </row>
    <row r="181" spans="1:5" ht="15.75">
      <c r="A181" s="147" t="s">
        <v>52</v>
      </c>
      <c r="B181" s="147" t="s">
        <v>107</v>
      </c>
      <c r="C181" s="153">
        <v>4252783.88</v>
      </c>
      <c r="D181" s="149">
        <v>1.66E-2</v>
      </c>
      <c r="E181" s="234">
        <f>C181*D181</f>
        <v>70596.212407999992</v>
      </c>
    </row>
    <row r="182" spans="1:5" ht="15.75">
      <c r="A182" s="147" t="s">
        <v>52</v>
      </c>
      <c r="B182" s="147" t="s">
        <v>108</v>
      </c>
      <c r="C182" s="153">
        <v>153421</v>
      </c>
      <c r="D182" s="149">
        <v>2.9499999999999998E-2</v>
      </c>
      <c r="E182" s="234">
        <f>C182*D182</f>
        <v>4525.9195</v>
      </c>
    </row>
    <row r="183" spans="1:5" ht="15.75">
      <c r="A183" s="147" t="s">
        <v>52</v>
      </c>
      <c r="B183" s="147" t="s">
        <v>109</v>
      </c>
      <c r="C183" s="153">
        <v>71677</v>
      </c>
      <c r="D183" s="149">
        <v>2.53E-2</v>
      </c>
      <c r="E183" s="234">
        <f>C183*D183</f>
        <v>1813.4280999999999</v>
      </c>
    </row>
    <row r="184" spans="1:5" ht="15.75">
      <c r="A184" s="147" t="s">
        <v>52</v>
      </c>
      <c r="B184" s="147" t="s">
        <v>110</v>
      </c>
      <c r="C184" s="153">
        <v>95353.919999999998</v>
      </c>
      <c r="D184" s="149">
        <v>1.6799999999999999E-2</v>
      </c>
      <c r="E184" s="234">
        <f>C184*D184</f>
        <v>1601.9458559999998</v>
      </c>
    </row>
    <row r="185" spans="1:5" s="152" customFormat="1" ht="15.75">
      <c r="A185" s="150" t="s">
        <v>151</v>
      </c>
      <c r="B185" s="150"/>
      <c r="C185" s="231">
        <f>SUM(C181:C184)</f>
        <v>4573235.8</v>
      </c>
      <c r="D185" s="151"/>
      <c r="E185" s="151">
        <f>SUM(E181:E184)</f>
        <v>78537.505864000006</v>
      </c>
    </row>
    <row r="186" spans="1:5" ht="15.75">
      <c r="A186" s="147" t="s">
        <v>40</v>
      </c>
      <c r="B186" s="147" t="s">
        <v>107</v>
      </c>
      <c r="C186" s="153">
        <v>1731085.33</v>
      </c>
      <c r="D186" s="149">
        <v>1.66E-2</v>
      </c>
      <c r="E186" s="234">
        <f>C186*D186</f>
        <v>28736.016478000001</v>
      </c>
    </row>
    <row r="187" spans="1:5" ht="15.75">
      <c r="A187" s="147" t="s">
        <v>40</v>
      </c>
      <c r="B187" s="147" t="s">
        <v>108</v>
      </c>
      <c r="C187" s="153">
        <v>145156.73000000001</v>
      </c>
      <c r="D187" s="149">
        <v>2.9499999999999998E-2</v>
      </c>
      <c r="E187" s="234">
        <f>C187*D187</f>
        <v>4282.1235349999997</v>
      </c>
    </row>
    <row r="188" spans="1:5" ht="15.75">
      <c r="A188" s="147" t="s">
        <v>40</v>
      </c>
      <c r="B188" s="147" t="s">
        <v>109</v>
      </c>
      <c r="C188" s="153">
        <v>223845.77</v>
      </c>
      <c r="D188" s="149">
        <v>2.53E-2</v>
      </c>
      <c r="E188" s="234">
        <f>C188*D188</f>
        <v>5663.2979809999997</v>
      </c>
    </row>
    <row r="189" spans="1:5" ht="15.75">
      <c r="A189" s="147" t="s">
        <v>40</v>
      </c>
      <c r="B189" s="147" t="s">
        <v>110</v>
      </c>
      <c r="C189" s="153">
        <v>82832.399999999994</v>
      </c>
      <c r="D189" s="149">
        <v>1.6799999999999999E-2</v>
      </c>
      <c r="E189" s="234">
        <f>C189*D189</f>
        <v>1391.5843199999997</v>
      </c>
    </row>
    <row r="190" spans="1:5" s="152" customFormat="1" ht="15.75">
      <c r="A190" s="150" t="s">
        <v>152</v>
      </c>
      <c r="B190" s="150"/>
      <c r="C190" s="231">
        <f>SUM(C186:C189)</f>
        <v>2182920.23</v>
      </c>
      <c r="D190" s="151"/>
      <c r="E190" s="151">
        <f>SUM(E186:E189)</f>
        <v>40073.022314000009</v>
      </c>
    </row>
    <row r="191" spans="1:5" ht="15.75">
      <c r="A191" s="147" t="s">
        <v>65</v>
      </c>
      <c r="B191" s="147" t="s">
        <v>107</v>
      </c>
      <c r="C191" s="153">
        <v>42322742.799999997</v>
      </c>
      <c r="D191" s="149">
        <v>1.66E-2</v>
      </c>
      <c r="E191" s="234">
        <f>C191*D191</f>
        <v>702557.53047999996</v>
      </c>
    </row>
    <row r="192" spans="1:5" ht="15.75">
      <c r="A192" s="147" t="s">
        <v>65</v>
      </c>
      <c r="B192" s="147" t="s">
        <v>108</v>
      </c>
      <c r="C192" s="153">
        <v>537134.04</v>
      </c>
      <c r="D192" s="149">
        <v>2.9499999999999998E-2</v>
      </c>
      <c r="E192" s="234">
        <f>C192*D192</f>
        <v>15845.454180000001</v>
      </c>
    </row>
    <row r="193" spans="1:5" ht="15.75">
      <c r="A193" s="147" t="s">
        <v>65</v>
      </c>
      <c r="B193" s="147" t="s">
        <v>109</v>
      </c>
      <c r="C193" s="153">
        <v>4454705.3</v>
      </c>
      <c r="D193" s="149">
        <v>2.53E-2</v>
      </c>
      <c r="E193" s="234">
        <f>C193*D193</f>
        <v>112704.04409</v>
      </c>
    </row>
    <row r="194" spans="1:5" ht="15.75">
      <c r="A194" s="147" t="s">
        <v>65</v>
      </c>
      <c r="B194" s="147" t="s">
        <v>110</v>
      </c>
      <c r="C194" s="153">
        <v>178732.08900000001</v>
      </c>
      <c r="D194" s="149">
        <v>1.6799999999999999E-2</v>
      </c>
      <c r="E194" s="234">
        <f>C194*D194</f>
        <v>3002.6990952000001</v>
      </c>
    </row>
    <row r="195" spans="1:5" s="152" customFormat="1" ht="15.75">
      <c r="A195" s="150" t="s">
        <v>153</v>
      </c>
      <c r="B195" s="150"/>
      <c r="C195" s="231">
        <f>SUM(C191:C194)</f>
        <v>47493314.228999995</v>
      </c>
      <c r="D195" s="151"/>
      <c r="E195" s="151">
        <f>SUM(E191:E194)</f>
        <v>834109.72784519999</v>
      </c>
    </row>
    <row r="196" spans="1:5" ht="15.75">
      <c r="A196" s="147" t="s">
        <v>41</v>
      </c>
      <c r="B196" s="147" t="s">
        <v>107</v>
      </c>
      <c r="C196" s="153">
        <v>2603603.4</v>
      </c>
      <c r="D196" s="149">
        <v>1.66E-2</v>
      </c>
      <c r="E196" s="234">
        <f>C196*D196</f>
        <v>43219.816440000002</v>
      </c>
    </row>
    <row r="197" spans="1:5" ht="15.75">
      <c r="A197" s="147" t="s">
        <v>41</v>
      </c>
      <c r="B197" s="147" t="s">
        <v>108</v>
      </c>
      <c r="C197" s="153">
        <v>239900</v>
      </c>
      <c r="D197" s="149">
        <v>2.9499999999999998E-2</v>
      </c>
      <c r="E197" s="234">
        <f>C197*D197</f>
        <v>7077.0499999999993</v>
      </c>
    </row>
    <row r="198" spans="1:5" ht="15.75">
      <c r="A198" s="147" t="s">
        <v>41</v>
      </c>
      <c r="B198" s="147" t="s">
        <v>109</v>
      </c>
      <c r="C198" s="153">
        <v>57122</v>
      </c>
      <c r="D198" s="149">
        <v>2.53E-2</v>
      </c>
      <c r="E198" s="234">
        <f>C198*D198</f>
        <v>1445.1866</v>
      </c>
    </row>
    <row r="199" spans="1:5" ht="15.75">
      <c r="A199" s="147" t="s">
        <v>41</v>
      </c>
      <c r="B199" s="147" t="s">
        <v>110</v>
      </c>
      <c r="C199" s="153">
        <v>66914.5</v>
      </c>
      <c r="D199" s="149">
        <v>1.6799999999999999E-2</v>
      </c>
      <c r="E199" s="234">
        <f>C199*D199</f>
        <v>1124.1635999999999</v>
      </c>
    </row>
    <row r="200" spans="1:5" s="152" customFormat="1" ht="15.75">
      <c r="A200" s="150" t="s">
        <v>154</v>
      </c>
      <c r="B200" s="150"/>
      <c r="C200" s="231">
        <f>SUM(C196:C199)</f>
        <v>2967539.9</v>
      </c>
      <c r="D200" s="151"/>
      <c r="E200" s="151">
        <f>SUM(E196:E199)</f>
        <v>52866.216639999999</v>
      </c>
    </row>
    <row r="201" spans="1:5" ht="15.75">
      <c r="A201" s="147" t="s">
        <v>32</v>
      </c>
      <c r="B201" s="147" t="s">
        <v>107</v>
      </c>
      <c r="C201" s="153">
        <v>1079089.3</v>
      </c>
      <c r="D201" s="149">
        <v>1.66E-2</v>
      </c>
      <c r="E201" s="234">
        <f>C201*D201</f>
        <v>17912.882380000003</v>
      </c>
    </row>
    <row r="202" spans="1:5" ht="15.75">
      <c r="A202" s="147" t="s">
        <v>32</v>
      </c>
      <c r="B202" s="147" t="s">
        <v>108</v>
      </c>
      <c r="C202" s="153">
        <v>42833.82</v>
      </c>
      <c r="D202" s="149">
        <v>2.9499999999999998E-2</v>
      </c>
      <c r="E202" s="234">
        <f>C202*D202</f>
        <v>1263.5976899999998</v>
      </c>
    </row>
    <row r="203" spans="1:5" ht="15.75">
      <c r="A203" s="147" t="s">
        <v>32</v>
      </c>
      <c r="B203" s="147" t="s">
        <v>109</v>
      </c>
      <c r="C203" s="153">
        <v>64106.967124199989</v>
      </c>
      <c r="D203" s="149">
        <v>2.53E-2</v>
      </c>
      <c r="E203" s="234">
        <f>C203*D203</f>
        <v>1621.9062682422598</v>
      </c>
    </row>
    <row r="204" spans="1:5" ht="15.75">
      <c r="A204" s="147" t="s">
        <v>32</v>
      </c>
      <c r="B204" s="147" t="s">
        <v>110</v>
      </c>
      <c r="C204" s="153">
        <v>13120.978150403287</v>
      </c>
      <c r="D204" s="149">
        <v>1.6799999999999999E-2</v>
      </c>
      <c r="E204" s="234">
        <f>C204*D204</f>
        <v>220.43243292677522</v>
      </c>
    </row>
    <row r="205" spans="1:5" s="152" customFormat="1" ht="15.75">
      <c r="A205" s="150" t="s">
        <v>155</v>
      </c>
      <c r="B205" s="150"/>
      <c r="C205" s="231">
        <f>SUM(C201:C204)</f>
        <v>1199151.0652746034</v>
      </c>
      <c r="D205" s="151"/>
      <c r="E205" s="151">
        <f>SUM(E201:E204)</f>
        <v>21018.818771169037</v>
      </c>
    </row>
    <row r="206" spans="1:5" ht="15.75">
      <c r="A206" s="147" t="s">
        <v>42</v>
      </c>
      <c r="B206" s="147" t="s">
        <v>107</v>
      </c>
      <c r="C206" s="153">
        <v>2233847.13</v>
      </c>
      <c r="D206" s="149">
        <v>1.66E-2</v>
      </c>
      <c r="E206" s="234">
        <f>C206*D206</f>
        <v>37081.862357999998</v>
      </c>
    </row>
    <row r="207" spans="1:5" ht="15.75">
      <c r="A207" s="147" t="s">
        <v>42</v>
      </c>
      <c r="B207" s="147" t="s">
        <v>108</v>
      </c>
      <c r="C207" s="153">
        <v>372686.14</v>
      </c>
      <c r="D207" s="149">
        <v>2.9499999999999998E-2</v>
      </c>
      <c r="E207" s="234">
        <f>C207*D207</f>
        <v>10994.24113</v>
      </c>
    </row>
    <row r="208" spans="1:5" ht="15.75">
      <c r="A208" s="147" t="s">
        <v>42</v>
      </c>
      <c r="B208" s="147" t="s">
        <v>109</v>
      </c>
      <c r="C208" s="153">
        <v>98499.667932813274</v>
      </c>
      <c r="D208" s="149">
        <v>2.53E-2</v>
      </c>
      <c r="E208" s="234">
        <f>C208*D208</f>
        <v>2492.0415987001757</v>
      </c>
    </row>
    <row r="209" spans="1:5" ht="15.75">
      <c r="A209" s="150" t="s">
        <v>156</v>
      </c>
      <c r="B209" s="150"/>
      <c r="C209" s="231">
        <f>SUM(C206:C208)</f>
        <v>2705032.9379328131</v>
      </c>
      <c r="D209" s="151"/>
      <c r="E209" s="151">
        <f>SUM(E206:E208)</f>
        <v>50568.145086700177</v>
      </c>
    </row>
    <row r="210" spans="1:5" s="152" customFormat="1" ht="15.75">
      <c r="A210" s="147" t="s">
        <v>24</v>
      </c>
      <c r="B210" s="147" t="s">
        <v>107</v>
      </c>
      <c r="C210" s="153">
        <v>903473</v>
      </c>
      <c r="D210" s="149">
        <v>1.66E-2</v>
      </c>
      <c r="E210" s="234">
        <f>C210*D210</f>
        <v>14997.6518</v>
      </c>
    </row>
    <row r="211" spans="1:5" ht="15.75">
      <c r="A211" s="147" t="s">
        <v>24</v>
      </c>
      <c r="B211" s="147" t="s">
        <v>110</v>
      </c>
      <c r="C211" s="153">
        <v>40544.459999999992</v>
      </c>
      <c r="D211" s="149">
        <v>1.6799999999999999E-2</v>
      </c>
      <c r="E211" s="234">
        <f>C211*D211</f>
        <v>681.14692799999978</v>
      </c>
    </row>
    <row r="212" spans="1:5" ht="15.75">
      <c r="A212" s="150" t="s">
        <v>157</v>
      </c>
      <c r="B212" s="150"/>
      <c r="C212" s="231">
        <f>SUM(C210:C211)</f>
        <v>944017.46</v>
      </c>
      <c r="D212" s="151"/>
      <c r="E212" s="151">
        <f>SUM(E210:E211)</f>
        <v>15678.798728</v>
      </c>
    </row>
    <row r="213" spans="1:5" s="152" customFormat="1" ht="15.75">
      <c r="A213" s="147" t="s">
        <v>66</v>
      </c>
      <c r="B213" s="147" t="s">
        <v>107</v>
      </c>
      <c r="C213" s="153">
        <v>15870732.800000001</v>
      </c>
      <c r="D213" s="149">
        <v>1.66E-2</v>
      </c>
      <c r="E213" s="234">
        <f>C213*D213</f>
        <v>263454.16448000004</v>
      </c>
    </row>
    <row r="214" spans="1:5" ht="15.75">
      <c r="A214" s="147" t="s">
        <v>66</v>
      </c>
      <c r="B214" s="147" t="s">
        <v>108</v>
      </c>
      <c r="C214" s="153">
        <v>992536.65</v>
      </c>
      <c r="D214" s="149">
        <v>2.9499999999999998E-2</v>
      </c>
      <c r="E214" s="234">
        <f>C214*D214</f>
        <v>29279.831174999999</v>
      </c>
    </row>
    <row r="215" spans="1:5" ht="15.75">
      <c r="A215" s="147" t="s">
        <v>66</v>
      </c>
      <c r="B215" s="147" t="s">
        <v>109</v>
      </c>
      <c r="C215" s="153">
        <v>1800801.6</v>
      </c>
      <c r="D215" s="149">
        <v>2.53E-2</v>
      </c>
      <c r="E215" s="234">
        <f>C215*D215</f>
        <v>45560.280480000001</v>
      </c>
    </row>
    <row r="216" spans="1:5" ht="15.75">
      <c r="A216" s="147" t="s">
        <v>66</v>
      </c>
      <c r="B216" s="147" t="s">
        <v>110</v>
      </c>
      <c r="C216" s="153">
        <v>193419.19999999998</v>
      </c>
      <c r="D216" s="149">
        <v>1.6799999999999999E-2</v>
      </c>
      <c r="E216" s="234">
        <f>C216*D216</f>
        <v>3249.4425599999995</v>
      </c>
    </row>
    <row r="217" spans="1:5" ht="15.75">
      <c r="A217" s="150" t="s">
        <v>158</v>
      </c>
      <c r="B217" s="150"/>
      <c r="C217" s="231">
        <f>SUM(C213:C216)</f>
        <v>18857490.25</v>
      </c>
      <c r="D217" s="151"/>
      <c r="E217" s="151">
        <f>SUM(E213:E216)</f>
        <v>341543.71869500005</v>
      </c>
    </row>
    <row r="218" spans="1:5" s="152" customFormat="1" ht="15.75">
      <c r="A218" s="147" t="s">
        <v>53</v>
      </c>
      <c r="B218" s="147" t="s">
        <v>107</v>
      </c>
      <c r="C218" s="153">
        <v>4120907.53</v>
      </c>
      <c r="D218" s="149">
        <v>1.66E-2</v>
      </c>
      <c r="E218" s="234">
        <f>C218*D218</f>
        <v>68407.064998000002</v>
      </c>
    </row>
    <row r="219" spans="1:5" ht="15.75">
      <c r="A219" s="147" t="s">
        <v>53</v>
      </c>
      <c r="B219" s="147" t="s">
        <v>108</v>
      </c>
      <c r="C219" s="153">
        <v>385326.97</v>
      </c>
      <c r="D219" s="149">
        <v>2.9499999999999998E-2</v>
      </c>
      <c r="E219" s="234">
        <f>C219*D219</f>
        <v>11367.145614999999</v>
      </c>
    </row>
    <row r="220" spans="1:5" ht="15.75">
      <c r="A220" s="147" t="s">
        <v>53</v>
      </c>
      <c r="B220" s="147" t="s">
        <v>109</v>
      </c>
      <c r="C220" s="153">
        <v>205668.84</v>
      </c>
      <c r="D220" s="149">
        <v>2.53E-2</v>
      </c>
      <c r="E220" s="234">
        <f>C220*D220</f>
        <v>5203.421652</v>
      </c>
    </row>
    <row r="221" spans="1:5" ht="15.75">
      <c r="A221" s="147" t="s">
        <v>53</v>
      </c>
      <c r="B221" s="147" t="s">
        <v>110</v>
      </c>
      <c r="C221" s="153">
        <v>102262.2</v>
      </c>
      <c r="D221" s="149">
        <v>1.6799999999999999E-2</v>
      </c>
      <c r="E221" s="234">
        <f>C221*D221</f>
        <v>1718.0049599999998</v>
      </c>
    </row>
    <row r="222" spans="1:5" ht="15.75">
      <c r="A222" s="150" t="s">
        <v>159</v>
      </c>
      <c r="B222" s="150"/>
      <c r="C222" s="231">
        <f>SUM(C218:C221)</f>
        <v>4814165.54</v>
      </c>
      <c r="D222" s="151"/>
      <c r="E222" s="151">
        <f>SUM(E218:E221)</f>
        <v>86695.637225000013</v>
      </c>
    </row>
    <row r="223" spans="1:5" s="152" customFormat="1" ht="15.75">
      <c r="A223" s="147" t="s">
        <v>67</v>
      </c>
      <c r="B223" s="147" t="s">
        <v>107</v>
      </c>
      <c r="C223" s="153">
        <v>17031348.899999999</v>
      </c>
      <c r="D223" s="149">
        <v>1.66E-2</v>
      </c>
      <c r="E223" s="234">
        <f>C223*D223</f>
        <v>282720.39173999999</v>
      </c>
    </row>
    <row r="224" spans="1:5" ht="15.75">
      <c r="A224" s="147" t="s">
        <v>67</v>
      </c>
      <c r="B224" s="147" t="s">
        <v>108</v>
      </c>
      <c r="C224" s="153">
        <v>602687.02</v>
      </c>
      <c r="D224" s="149">
        <v>2.9499999999999998E-2</v>
      </c>
      <c r="E224" s="234">
        <f>C224*D224</f>
        <v>17779.267090000001</v>
      </c>
    </row>
    <row r="225" spans="1:5" ht="15.75">
      <c r="A225" s="147" t="s">
        <v>67</v>
      </c>
      <c r="B225" s="147" t="s">
        <v>109</v>
      </c>
      <c r="C225" s="153">
        <v>1617797.31</v>
      </c>
      <c r="D225" s="149">
        <v>2.53E-2</v>
      </c>
      <c r="E225" s="234">
        <f>C225*D225</f>
        <v>40930.271943</v>
      </c>
    </row>
    <row r="226" spans="1:5" ht="15.75">
      <c r="A226" s="147" t="s">
        <v>67</v>
      </c>
      <c r="B226" s="147" t="s">
        <v>110</v>
      </c>
      <c r="C226" s="153">
        <v>117622.704</v>
      </c>
      <c r="D226" s="149">
        <v>1.6799999999999999E-2</v>
      </c>
      <c r="E226" s="234">
        <f>C226*D226</f>
        <v>1976.0614271999998</v>
      </c>
    </row>
    <row r="227" spans="1:5" ht="15.75">
      <c r="A227" s="150" t="s">
        <v>160</v>
      </c>
      <c r="B227" s="150"/>
      <c r="C227" s="231">
        <f>SUM(C223:C226)</f>
        <v>19369455.933999997</v>
      </c>
      <c r="D227" s="151"/>
      <c r="E227" s="151">
        <f>SUM(E223:E226)</f>
        <v>343405.99220019998</v>
      </c>
    </row>
    <row r="228" spans="1:5" s="152" customFormat="1" ht="15.75">
      <c r="A228" s="147" t="s">
        <v>54</v>
      </c>
      <c r="B228" s="147" t="s">
        <v>107</v>
      </c>
      <c r="C228" s="153">
        <v>8679962.2100000009</v>
      </c>
      <c r="D228" s="149">
        <v>1.66E-2</v>
      </c>
      <c r="E228" s="234">
        <f>C228*D228</f>
        <v>144087.37268600002</v>
      </c>
    </row>
    <row r="229" spans="1:5" ht="15.75">
      <c r="A229" s="147" t="s">
        <v>54</v>
      </c>
      <c r="B229" s="147" t="s">
        <v>108</v>
      </c>
      <c r="C229" s="153">
        <v>308310.53999999998</v>
      </c>
      <c r="D229" s="149">
        <v>2.9499999999999998E-2</v>
      </c>
      <c r="E229" s="234">
        <f>C229*D229</f>
        <v>9095.1609299999982</v>
      </c>
    </row>
    <row r="230" spans="1:5" ht="15.75">
      <c r="A230" s="147" t="s">
        <v>54</v>
      </c>
      <c r="B230" s="147" t="s">
        <v>109</v>
      </c>
      <c r="C230" s="153">
        <v>138984.54999999999</v>
      </c>
      <c r="D230" s="149">
        <v>2.53E-2</v>
      </c>
      <c r="E230" s="234">
        <f>C230*D230</f>
        <v>3516.3091149999996</v>
      </c>
    </row>
    <row r="231" spans="1:5" ht="15.75">
      <c r="A231" s="147" t="s">
        <v>54</v>
      </c>
      <c r="B231" s="147" t="s">
        <v>110</v>
      </c>
      <c r="C231" s="153">
        <v>75879.759999999995</v>
      </c>
      <c r="D231" s="149">
        <v>1.6799999999999999E-2</v>
      </c>
      <c r="E231" s="234">
        <f>C231*D231</f>
        <v>1274.7799679999998</v>
      </c>
    </row>
    <row r="232" spans="1:5" ht="15.75">
      <c r="A232" s="150" t="s">
        <v>161</v>
      </c>
      <c r="B232" s="150"/>
      <c r="C232" s="239">
        <f>SUM(C228:C231)</f>
        <v>9203137.0600000005</v>
      </c>
      <c r="D232" s="151"/>
      <c r="E232" s="151">
        <f>SUM(E228:E231)</f>
        <v>157973.62269900003</v>
      </c>
    </row>
    <row r="233" spans="1:5" s="152" customFormat="1" ht="15.75">
      <c r="A233" s="147" t="s">
        <v>60</v>
      </c>
      <c r="B233" s="147" t="s">
        <v>107</v>
      </c>
      <c r="C233" s="153">
        <v>13338644.109999999</v>
      </c>
      <c r="D233" s="149">
        <v>1.66E-2</v>
      </c>
      <c r="E233" s="234">
        <f>C233*D233</f>
        <v>221421.492226</v>
      </c>
    </row>
    <row r="234" spans="1:5" ht="15.75">
      <c r="A234" s="147" t="s">
        <v>60</v>
      </c>
      <c r="B234" s="147" t="s">
        <v>108</v>
      </c>
      <c r="C234" s="153">
        <v>182294.32</v>
      </c>
      <c r="D234" s="149">
        <v>2.9499999999999998E-2</v>
      </c>
      <c r="E234" s="234">
        <f>C234*D234</f>
        <v>5377.6824399999996</v>
      </c>
    </row>
    <row r="235" spans="1:5" ht="15.75">
      <c r="A235" s="147" t="s">
        <v>60</v>
      </c>
      <c r="B235" s="147" t="s">
        <v>109</v>
      </c>
      <c r="C235" s="153">
        <v>1477405.7</v>
      </c>
      <c r="D235" s="149">
        <v>2.53E-2</v>
      </c>
      <c r="E235" s="234">
        <f>C235*D235</f>
        <v>37378.36421</v>
      </c>
    </row>
    <row r="236" spans="1:5" ht="15.75">
      <c r="A236" s="150" t="s">
        <v>162</v>
      </c>
      <c r="B236" s="150"/>
      <c r="C236" s="231">
        <f>SUM(C233:C235)</f>
        <v>14998344.129999999</v>
      </c>
      <c r="D236" s="151"/>
      <c r="E236" s="151">
        <f>SUM(E233:E235)</f>
        <v>264177.53887599998</v>
      </c>
    </row>
    <row r="237" spans="1:5" ht="15.75">
      <c r="A237" s="147" t="s">
        <v>61</v>
      </c>
      <c r="B237" s="147" t="s">
        <v>107</v>
      </c>
      <c r="C237" s="153">
        <v>7471544.3200000003</v>
      </c>
      <c r="D237" s="149">
        <v>1.66E-2</v>
      </c>
      <c r="E237" s="234">
        <f>C237*D237</f>
        <v>124027.635712</v>
      </c>
    </row>
    <row r="238" spans="1:5" s="152" customFormat="1" ht="15.75">
      <c r="A238" s="147" t="s">
        <v>61</v>
      </c>
      <c r="B238" s="147" t="s">
        <v>108</v>
      </c>
      <c r="C238" s="153">
        <v>256631.86</v>
      </c>
      <c r="D238" s="149">
        <v>2.9499999999999998E-2</v>
      </c>
      <c r="E238" s="234">
        <f>C238*D238</f>
        <v>7570.6398699999991</v>
      </c>
    </row>
    <row r="239" spans="1:5" ht="15.75">
      <c r="A239" s="147" t="s">
        <v>61</v>
      </c>
      <c r="B239" s="147" t="s">
        <v>109</v>
      </c>
      <c r="C239" s="153">
        <v>689925.85</v>
      </c>
      <c r="D239" s="149">
        <v>2.53E-2</v>
      </c>
      <c r="E239" s="234">
        <f>C239*D239</f>
        <v>17455.124004999998</v>
      </c>
    </row>
    <row r="240" spans="1:5" ht="15.75">
      <c r="A240" s="150" t="s">
        <v>163</v>
      </c>
      <c r="B240" s="150"/>
      <c r="C240" s="231">
        <f>SUM(C237:C239)</f>
        <v>8418102.0300000012</v>
      </c>
      <c r="D240" s="151"/>
      <c r="E240" s="151">
        <f>SUM(E237:E239)</f>
        <v>149053.39958699999</v>
      </c>
    </row>
    <row r="241" spans="1:5" ht="15.75">
      <c r="A241" s="147" t="s">
        <v>33</v>
      </c>
      <c r="B241" s="147" t="s">
        <v>107</v>
      </c>
      <c r="C241" s="153">
        <v>1204414.03</v>
      </c>
      <c r="D241" s="149">
        <v>1.66E-2</v>
      </c>
      <c r="E241" s="234">
        <f>C241*D241</f>
        <v>19993.272897999999</v>
      </c>
    </row>
    <row r="242" spans="1:5" ht="15.75">
      <c r="A242" s="147" t="s">
        <v>33</v>
      </c>
      <c r="B242" s="147" t="s">
        <v>108</v>
      </c>
      <c r="C242" s="153">
        <v>180819.85</v>
      </c>
      <c r="D242" s="149">
        <v>2.9499999999999998E-2</v>
      </c>
      <c r="E242" s="234">
        <f>C242*D242</f>
        <v>5334.1855749999995</v>
      </c>
    </row>
    <row r="243" spans="1:5" s="152" customFormat="1" ht="15.75">
      <c r="A243" s="147" t="s">
        <v>33</v>
      </c>
      <c r="B243" s="147" t="s">
        <v>109</v>
      </c>
      <c r="C243" s="153">
        <v>223603.11</v>
      </c>
      <c r="D243" s="149">
        <v>2.53E-2</v>
      </c>
      <c r="E243" s="234">
        <f>C243*D243</f>
        <v>5657.1586829999997</v>
      </c>
    </row>
    <row r="244" spans="1:5" ht="15.75">
      <c r="A244" s="147" t="s">
        <v>33</v>
      </c>
      <c r="B244" s="147" t="s">
        <v>110</v>
      </c>
      <c r="C244" s="153">
        <v>71902.05</v>
      </c>
      <c r="D244" s="149">
        <v>1.6799999999999999E-2</v>
      </c>
      <c r="E244" s="234">
        <f>C244*D244</f>
        <v>1207.95444</v>
      </c>
    </row>
    <row r="245" spans="1:5" ht="15.75">
      <c r="A245" s="150" t="s">
        <v>164</v>
      </c>
      <c r="B245" s="150"/>
      <c r="C245" s="231">
        <f>SUM(C241:C244)</f>
        <v>1680739.0400000003</v>
      </c>
      <c r="D245" s="151"/>
      <c r="E245" s="151">
        <f>SUM(E241:E244)</f>
        <v>32192.571596000002</v>
      </c>
    </row>
    <row r="246" spans="1:5" ht="15.75">
      <c r="A246" s="147" t="s">
        <v>43</v>
      </c>
      <c r="B246" s="147" t="s">
        <v>107</v>
      </c>
      <c r="C246" s="153">
        <v>2413460.61</v>
      </c>
      <c r="D246" s="149">
        <v>1.66E-2</v>
      </c>
      <c r="E246" s="234">
        <f>C246*D246</f>
        <v>40063.446125999995</v>
      </c>
    </row>
    <row r="247" spans="1:5" ht="15.75">
      <c r="A247" s="147" t="s">
        <v>43</v>
      </c>
      <c r="B247" s="147" t="s">
        <v>108</v>
      </c>
      <c r="C247" s="153">
        <v>147314.54</v>
      </c>
      <c r="D247" s="149">
        <v>2.9499999999999998E-2</v>
      </c>
      <c r="E247" s="234">
        <f>C247*D247</f>
        <v>4345.7789300000004</v>
      </c>
    </row>
    <row r="248" spans="1:5" s="152" customFormat="1" ht="15.75">
      <c r="A248" s="147" t="s">
        <v>43</v>
      </c>
      <c r="B248" s="147" t="s">
        <v>109</v>
      </c>
      <c r="C248" s="153">
        <v>245676.6</v>
      </c>
      <c r="D248" s="149">
        <v>2.53E-2</v>
      </c>
      <c r="E248" s="234">
        <f>C248*D248</f>
        <v>6215.61798</v>
      </c>
    </row>
    <row r="249" spans="1:5" ht="15.75">
      <c r="A249" s="147" t="s">
        <v>43</v>
      </c>
      <c r="B249" s="147" t="s">
        <v>110</v>
      </c>
      <c r="C249" s="153">
        <v>16116.193999999996</v>
      </c>
      <c r="D249" s="149">
        <v>1.6799999999999999E-2</v>
      </c>
      <c r="E249" s="234">
        <f>C249*D249</f>
        <v>270.75205919999991</v>
      </c>
    </row>
    <row r="250" spans="1:5" ht="15.75">
      <c r="A250" s="150" t="s">
        <v>165</v>
      </c>
      <c r="B250" s="150"/>
      <c r="C250" s="231">
        <f>SUM(C246:C249)</f>
        <v>2822567.9440000001</v>
      </c>
      <c r="D250" s="151"/>
      <c r="E250" s="151">
        <f>SUM(E246:E249)</f>
        <v>50895.595095199998</v>
      </c>
    </row>
    <row r="251" spans="1:5" ht="15.75">
      <c r="A251" s="147" t="s">
        <v>55</v>
      </c>
      <c r="B251" s="147" t="s">
        <v>107</v>
      </c>
      <c r="C251" s="153">
        <v>3885508.27</v>
      </c>
      <c r="D251" s="149">
        <v>1.66E-2</v>
      </c>
      <c r="E251" s="234">
        <f>C251*D251</f>
        <v>64499.437281999999</v>
      </c>
    </row>
    <row r="252" spans="1:5" ht="15.75">
      <c r="A252" s="147" t="s">
        <v>55</v>
      </c>
      <c r="B252" s="147" t="s">
        <v>108</v>
      </c>
      <c r="C252" s="153">
        <v>78616.595399999991</v>
      </c>
      <c r="D252" s="149">
        <v>2.9499999999999998E-2</v>
      </c>
      <c r="E252" s="234">
        <f>C252*D252</f>
        <v>2319.1895642999998</v>
      </c>
    </row>
    <row r="253" spans="1:5" s="152" customFormat="1" ht="15.75">
      <c r="A253" s="147" t="s">
        <v>55</v>
      </c>
      <c r="B253" s="147" t="s">
        <v>110</v>
      </c>
      <c r="C253" s="153">
        <v>102059.46149999999</v>
      </c>
      <c r="D253" s="149">
        <v>1.6799999999999999E-2</v>
      </c>
      <c r="E253" s="234">
        <f>C253*D253</f>
        <v>1714.5989531999996</v>
      </c>
    </row>
    <row r="254" spans="1:5" ht="15.75">
      <c r="A254" s="150" t="s">
        <v>166</v>
      </c>
      <c r="B254" s="150"/>
      <c r="C254" s="231">
        <f>SUM(C251:C253)</f>
        <v>4066184.3269000002</v>
      </c>
      <c r="D254" s="151"/>
      <c r="E254" s="151">
        <f>SUM(E251:E253)</f>
        <v>68533.225799499996</v>
      </c>
    </row>
    <row r="255" spans="1:5" ht="15.75">
      <c r="A255" s="147" t="s">
        <v>44</v>
      </c>
      <c r="B255" s="147" t="s">
        <v>107</v>
      </c>
      <c r="C255" s="153">
        <v>2205882.79</v>
      </c>
      <c r="D255" s="149">
        <v>1.66E-2</v>
      </c>
      <c r="E255" s="234">
        <f>C255*D255</f>
        <v>36617.654313999999</v>
      </c>
    </row>
    <row r="256" spans="1:5" ht="15.75">
      <c r="A256" s="147" t="s">
        <v>44</v>
      </c>
      <c r="B256" s="147" t="s">
        <v>108</v>
      </c>
      <c r="C256" s="153">
        <v>87000.304999999993</v>
      </c>
      <c r="D256" s="149">
        <v>2.9499999999999998E-2</v>
      </c>
      <c r="E256" s="234">
        <f>C256*D256</f>
        <v>2566.5089974999996</v>
      </c>
    </row>
    <row r="257" spans="1:5" s="152" customFormat="1" ht="15.75">
      <c r="A257" s="147" t="s">
        <v>44</v>
      </c>
      <c r="B257" s="147" t="s">
        <v>109</v>
      </c>
      <c r="C257" s="148">
        <v>214364.79999999999</v>
      </c>
      <c r="D257" s="149">
        <v>2.53E-2</v>
      </c>
      <c r="E257" s="251">
        <f>C257*D257</f>
        <v>5423.4294399999999</v>
      </c>
    </row>
    <row r="258" spans="1:5" ht="15.75">
      <c r="A258" s="147" t="s">
        <v>44</v>
      </c>
      <c r="B258" s="147" t="s">
        <v>110</v>
      </c>
      <c r="C258" s="153">
        <v>91972.797696000009</v>
      </c>
      <c r="D258" s="149">
        <v>1.6799999999999999E-2</v>
      </c>
      <c r="E258" s="234">
        <f>C258*D258</f>
        <v>1545.1430012928001</v>
      </c>
    </row>
    <row r="259" spans="1:5" ht="15.75">
      <c r="A259" s="150" t="s">
        <v>167</v>
      </c>
      <c r="B259" s="150"/>
      <c r="C259" s="231">
        <f>SUM(C255:C258)</f>
        <v>2599220.692696</v>
      </c>
      <c r="D259" s="151"/>
      <c r="E259" s="151">
        <f>SUM(E255:E258)</f>
        <v>46152.735752792803</v>
      </c>
    </row>
    <row r="260" spans="1:5" ht="15.75">
      <c r="A260" s="147" t="s">
        <v>56</v>
      </c>
      <c r="B260" s="147" t="s">
        <v>107</v>
      </c>
      <c r="C260" s="153">
        <v>4694651.3499999996</v>
      </c>
      <c r="D260" s="149">
        <v>1.66E-2</v>
      </c>
      <c r="E260" s="234">
        <f>C260*D260</f>
        <v>77931.212409999993</v>
      </c>
    </row>
    <row r="261" spans="1:5" ht="15.75">
      <c r="A261" s="147" t="s">
        <v>56</v>
      </c>
      <c r="B261" s="147" t="s">
        <v>108</v>
      </c>
      <c r="C261" s="153">
        <v>300975.94</v>
      </c>
      <c r="D261" s="149">
        <v>2.9499999999999998E-2</v>
      </c>
      <c r="E261" s="234">
        <f>C261*D261</f>
        <v>8878.7902299999987</v>
      </c>
    </row>
    <row r="262" spans="1:5" s="152" customFormat="1" ht="15.75">
      <c r="A262" s="147" t="s">
        <v>56</v>
      </c>
      <c r="B262" s="147" t="s">
        <v>109</v>
      </c>
      <c r="C262" s="153">
        <v>437251.56</v>
      </c>
      <c r="D262" s="149">
        <v>2.53E-2</v>
      </c>
      <c r="E262" s="234">
        <f>C262*D262</f>
        <v>11062.464468</v>
      </c>
    </row>
    <row r="263" spans="1:5" ht="15.75">
      <c r="A263" s="147" t="s">
        <v>56</v>
      </c>
      <c r="B263" s="147" t="s">
        <v>110</v>
      </c>
      <c r="C263" s="153">
        <v>54310.079999999994</v>
      </c>
      <c r="D263" s="149">
        <v>1.6799999999999999E-2</v>
      </c>
      <c r="E263" s="234">
        <f>C263*D263</f>
        <v>912.40934399999981</v>
      </c>
    </row>
    <row r="264" spans="1:5" ht="15.75">
      <c r="A264" s="150" t="s">
        <v>168</v>
      </c>
      <c r="B264" s="150"/>
      <c r="C264" s="231">
        <f>SUM(C260:C263)</f>
        <v>5487188.9299999997</v>
      </c>
      <c r="D264" s="151"/>
      <c r="E264" s="151">
        <f>SUM(E260:E263)</f>
        <v>98784.876451999997</v>
      </c>
    </row>
    <row r="265" spans="1:5" ht="15.75">
      <c r="A265" s="147" t="s">
        <v>57</v>
      </c>
      <c r="B265" s="147" t="s">
        <v>107</v>
      </c>
      <c r="C265" s="153">
        <v>5320852.88</v>
      </c>
      <c r="D265" s="149">
        <v>1.66E-2</v>
      </c>
      <c r="E265" s="234">
        <f>C265*D265</f>
        <v>88326.157808000004</v>
      </c>
    </row>
    <row r="266" spans="1:5" ht="15.75">
      <c r="A266" s="147" t="s">
        <v>57</v>
      </c>
      <c r="B266" s="147" t="s">
        <v>108</v>
      </c>
      <c r="C266" s="153">
        <v>291656.59999999998</v>
      </c>
      <c r="D266" s="149">
        <v>2.9499999999999998E-2</v>
      </c>
      <c r="E266" s="234">
        <f>C266*D266</f>
        <v>8603.8696999999993</v>
      </c>
    </row>
    <row r="267" spans="1:5" s="152" customFormat="1" ht="15.75">
      <c r="A267" s="147" t="s">
        <v>57</v>
      </c>
      <c r="B267" s="147" t="s">
        <v>109</v>
      </c>
      <c r="C267" s="153">
        <v>268518.57</v>
      </c>
      <c r="D267" s="149">
        <v>2.53E-2</v>
      </c>
      <c r="E267" s="234">
        <f>C267*D267</f>
        <v>6793.5198209999999</v>
      </c>
    </row>
    <row r="268" spans="1:5" ht="15.75">
      <c r="A268" s="147" t="s">
        <v>57</v>
      </c>
      <c r="B268" s="147" t="s">
        <v>110</v>
      </c>
      <c r="C268" s="153">
        <v>126516.60979999999</v>
      </c>
      <c r="D268" s="149">
        <v>1.6799999999999999E-2</v>
      </c>
      <c r="E268" s="234">
        <f>C268*D268</f>
        <v>2125.4790446399998</v>
      </c>
    </row>
    <row r="269" spans="1:5" ht="15.75">
      <c r="A269" s="150" t="s">
        <v>169</v>
      </c>
      <c r="B269" s="150"/>
      <c r="C269" s="231">
        <f>SUM(C265:C268)</f>
        <v>6007544.6597999996</v>
      </c>
      <c r="D269" s="151"/>
      <c r="E269" s="151">
        <f>SUM(E265:E268)</f>
        <v>105849.02637363999</v>
      </c>
    </row>
    <row r="270" spans="1:5" ht="15.75">
      <c r="A270" s="147" t="s">
        <v>34</v>
      </c>
      <c r="B270" s="147" t="s">
        <v>107</v>
      </c>
      <c r="C270" s="153">
        <v>1497600</v>
      </c>
      <c r="D270" s="149">
        <v>1.66E-2</v>
      </c>
      <c r="E270" s="234">
        <f>C270*D270</f>
        <v>24860.16</v>
      </c>
    </row>
    <row r="271" spans="1:5" ht="15.75">
      <c r="A271" s="147" t="s">
        <v>34</v>
      </c>
      <c r="B271" s="147" t="s">
        <v>108</v>
      </c>
      <c r="C271" s="153">
        <v>120500</v>
      </c>
      <c r="D271" s="149">
        <v>2.9499999999999998E-2</v>
      </c>
      <c r="E271" s="234">
        <f>C271*D271</f>
        <v>3554.75</v>
      </c>
    </row>
    <row r="272" spans="1:5" s="152" customFormat="1" ht="15.75">
      <c r="A272" s="147" t="s">
        <v>34</v>
      </c>
      <c r="B272" s="147" t="s">
        <v>110</v>
      </c>
      <c r="C272" s="153">
        <v>72845.5</v>
      </c>
      <c r="D272" s="149">
        <v>1.6799999999999999E-2</v>
      </c>
      <c r="E272" s="234">
        <f>C272*D272</f>
        <v>1223.8044</v>
      </c>
    </row>
    <row r="273" spans="1:5" ht="15.75">
      <c r="A273" s="150" t="s">
        <v>170</v>
      </c>
      <c r="B273" s="150"/>
      <c r="C273" s="239">
        <f>SUM(C270:C272)</f>
        <v>1690945.5</v>
      </c>
      <c r="D273" s="151"/>
      <c r="E273" s="151">
        <f>SUM(E270:E272)</f>
        <v>29638.714400000001</v>
      </c>
    </row>
    <row r="274" spans="1:5" ht="15.75">
      <c r="A274" s="147" t="s">
        <v>25</v>
      </c>
      <c r="B274" s="147" t="s">
        <v>107</v>
      </c>
      <c r="C274" s="153">
        <v>739176.18</v>
      </c>
      <c r="D274" s="149">
        <v>1.66E-2</v>
      </c>
      <c r="E274" s="234">
        <f>C274*D274</f>
        <v>12270.324588000001</v>
      </c>
    </row>
    <row r="275" spans="1:5" ht="15.75">
      <c r="A275" s="147" t="s">
        <v>25</v>
      </c>
      <c r="B275" s="147" t="s">
        <v>108</v>
      </c>
      <c r="C275" s="153">
        <v>192421.69</v>
      </c>
      <c r="D275" s="149">
        <v>2.9499999999999998E-2</v>
      </c>
      <c r="E275" s="234">
        <f>C275*D275</f>
        <v>5676.4398549999996</v>
      </c>
    </row>
    <row r="276" spans="1:5" s="152" customFormat="1" ht="15.75">
      <c r="A276" s="147" t="s">
        <v>25</v>
      </c>
      <c r="B276" s="147" t="s">
        <v>110</v>
      </c>
      <c r="C276" s="153">
        <v>41794.829999999994</v>
      </c>
      <c r="D276" s="149">
        <v>1.6799999999999999E-2</v>
      </c>
      <c r="E276" s="234">
        <f>C276*D276</f>
        <v>702.15314399999988</v>
      </c>
    </row>
    <row r="277" spans="1:5" ht="15.75">
      <c r="A277" s="150" t="s">
        <v>171</v>
      </c>
      <c r="B277" s="150"/>
      <c r="C277" s="239">
        <f>SUM(C274:C276)</f>
        <v>973392.70000000007</v>
      </c>
      <c r="D277" s="151"/>
      <c r="E277" s="151">
        <f>SUM(E274:E276)</f>
        <v>18648.917587</v>
      </c>
    </row>
    <row r="278" spans="1:5" ht="15.75">
      <c r="A278" s="147" t="s">
        <v>14</v>
      </c>
      <c r="B278" s="147" t="s">
        <v>107</v>
      </c>
      <c r="C278" s="153">
        <v>290457.59000000003</v>
      </c>
      <c r="D278" s="149">
        <v>1.66E-2</v>
      </c>
      <c r="E278" s="234">
        <f>C278*D278</f>
        <v>4821.5959940000002</v>
      </c>
    </row>
    <row r="279" spans="1:5" ht="15.75">
      <c r="A279" s="147" t="s">
        <v>14</v>
      </c>
      <c r="B279" s="147" t="s">
        <v>109</v>
      </c>
      <c r="C279" s="153">
        <v>44927.44</v>
      </c>
      <c r="D279" s="149">
        <v>2.53E-2</v>
      </c>
      <c r="E279" s="234">
        <f>C279*D279</f>
        <v>1136.6642320000001</v>
      </c>
    </row>
    <row r="280" spans="1:5" s="152" customFormat="1" ht="15.75">
      <c r="A280" s="147" t="s">
        <v>14</v>
      </c>
      <c r="B280" s="147" t="s">
        <v>110</v>
      </c>
      <c r="C280" s="153">
        <v>38157.569999999992</v>
      </c>
      <c r="D280" s="149">
        <v>1.6799999999999999E-2</v>
      </c>
      <c r="E280" s="234">
        <f>C280*D280</f>
        <v>641.04717599999981</v>
      </c>
    </row>
    <row r="281" spans="1:5" ht="15.75">
      <c r="A281" s="150" t="s">
        <v>172</v>
      </c>
      <c r="B281" s="150"/>
      <c r="C281" s="239">
        <f>SUM(C278:C280)</f>
        <v>373542.60000000003</v>
      </c>
      <c r="D281" s="151"/>
      <c r="E281" s="151">
        <f>SUM(E278:E280)</f>
        <v>6599.3074020000004</v>
      </c>
    </row>
    <row r="282" spans="1:5" ht="15.75">
      <c r="A282" s="147" t="s">
        <v>4</v>
      </c>
      <c r="B282" s="147" t="s">
        <v>107</v>
      </c>
      <c r="C282" s="153">
        <v>263222.38</v>
      </c>
      <c r="D282" s="149">
        <v>1.66E-2</v>
      </c>
      <c r="E282" s="234">
        <f>C282*D282</f>
        <v>4369.4915080000001</v>
      </c>
    </row>
    <row r="283" spans="1:5" ht="15.75">
      <c r="A283" s="147" t="s">
        <v>4</v>
      </c>
      <c r="B283" s="147" t="s">
        <v>109</v>
      </c>
      <c r="C283" s="153">
        <v>54500.419908000003</v>
      </c>
      <c r="D283" s="149">
        <v>2.53E-2</v>
      </c>
      <c r="E283" s="234">
        <f>C283*D283</f>
        <v>1378.8606236724002</v>
      </c>
    </row>
    <row r="284" spans="1:5" s="152" customFormat="1" ht="15.75">
      <c r="A284" s="147" t="s">
        <v>4</v>
      </c>
      <c r="B284" s="147" t="s">
        <v>110</v>
      </c>
      <c r="C284" s="153">
        <v>82787.004199999996</v>
      </c>
      <c r="D284" s="149">
        <v>1.6799999999999999E-2</v>
      </c>
      <c r="E284" s="234">
        <f>C284*D284</f>
        <v>1390.8216705599998</v>
      </c>
    </row>
    <row r="285" spans="1:5" ht="15.75">
      <c r="A285" s="150" t="s">
        <v>173</v>
      </c>
      <c r="B285" s="150"/>
      <c r="C285" s="239">
        <f>SUM(C282:C284)</f>
        <v>400509.80410800001</v>
      </c>
      <c r="D285" s="151"/>
      <c r="E285" s="151">
        <f>SUM(E282:E284)</f>
        <v>7139.1738022323998</v>
      </c>
    </row>
    <row r="286" spans="1:5" ht="15.75">
      <c r="A286" s="147" t="s">
        <v>62</v>
      </c>
      <c r="B286" s="147" t="s">
        <v>107</v>
      </c>
      <c r="C286" s="153">
        <v>6489817.8099999996</v>
      </c>
      <c r="D286" s="149">
        <v>1.66E-2</v>
      </c>
      <c r="E286" s="234">
        <f>C286*D286</f>
        <v>107730.97564599999</v>
      </c>
    </row>
    <row r="287" spans="1:5" ht="15.75">
      <c r="A287" s="147" t="s">
        <v>62</v>
      </c>
      <c r="B287" s="147" t="s">
        <v>108</v>
      </c>
      <c r="C287" s="153">
        <v>539814.66</v>
      </c>
      <c r="D287" s="149">
        <v>2.9499999999999998E-2</v>
      </c>
      <c r="E287" s="234">
        <f>C287*D287</f>
        <v>15924.53247</v>
      </c>
    </row>
    <row r="288" spans="1:5" s="152" customFormat="1" ht="15.75">
      <c r="A288" s="147" t="s">
        <v>62</v>
      </c>
      <c r="B288" s="147" t="s">
        <v>109</v>
      </c>
      <c r="C288" s="153">
        <v>374181.41</v>
      </c>
      <c r="D288" s="149">
        <v>2.53E-2</v>
      </c>
      <c r="E288" s="234">
        <f>C288*D288</f>
        <v>9466.7896729999993</v>
      </c>
    </row>
    <row r="289" spans="1:5" ht="15.75">
      <c r="A289" s="147" t="s">
        <v>62</v>
      </c>
      <c r="B289" s="147" t="s">
        <v>110</v>
      </c>
      <c r="C289" s="153">
        <v>169534.53</v>
      </c>
      <c r="D289" s="149">
        <v>1.6799999999999999E-2</v>
      </c>
      <c r="E289" s="234">
        <f>C289*D289</f>
        <v>2848.180104</v>
      </c>
    </row>
    <row r="290" spans="1:5" ht="15.75">
      <c r="A290" s="150" t="s">
        <v>174</v>
      </c>
      <c r="B290" s="150"/>
      <c r="C290" s="239">
        <f>SUM(C286:C289)</f>
        <v>7573348.4100000001</v>
      </c>
      <c r="D290" s="151"/>
      <c r="E290" s="151">
        <f>SUM(E286:E289)</f>
        <v>135970.477893</v>
      </c>
    </row>
    <row r="291" spans="1:5" ht="15.75">
      <c r="A291" s="147" t="s">
        <v>26</v>
      </c>
      <c r="B291" s="147" t="s">
        <v>107</v>
      </c>
      <c r="C291" s="153">
        <v>375490.59</v>
      </c>
      <c r="D291" s="149">
        <v>1.66E-2</v>
      </c>
      <c r="E291" s="234">
        <f>C291*D291</f>
        <v>6233.1437940000005</v>
      </c>
    </row>
    <row r="292" spans="1:5" ht="15.75">
      <c r="A292" s="147" t="s">
        <v>26</v>
      </c>
      <c r="B292" s="147" t="s">
        <v>108</v>
      </c>
      <c r="C292" s="153">
        <v>53128.68</v>
      </c>
      <c r="D292" s="149">
        <v>2.9499999999999998E-2</v>
      </c>
      <c r="E292" s="234">
        <f>C292*D292</f>
        <v>1567.2960599999999</v>
      </c>
    </row>
    <row r="293" spans="1:5" s="152" customFormat="1" ht="15.75">
      <c r="A293" s="147" t="s">
        <v>26</v>
      </c>
      <c r="B293" s="147" t="s">
        <v>110</v>
      </c>
      <c r="C293" s="153">
        <v>61674.81</v>
      </c>
      <c r="D293" s="149">
        <v>1.6799999999999999E-2</v>
      </c>
      <c r="E293" s="234">
        <f>C293*D293</f>
        <v>1036.136808</v>
      </c>
    </row>
    <row r="294" spans="1:5" ht="15.75">
      <c r="A294" s="150" t="s">
        <v>175</v>
      </c>
      <c r="B294" s="150"/>
      <c r="C294" s="239">
        <f>SUM(C291:C293)</f>
        <v>490294.08</v>
      </c>
      <c r="D294" s="151"/>
      <c r="E294" s="151">
        <f>SUM(E291:E293)</f>
        <v>8836.5766619999995</v>
      </c>
    </row>
    <row r="295" spans="1:5" ht="15.75">
      <c r="A295" s="147" t="s">
        <v>35</v>
      </c>
      <c r="B295" s="147" t="s">
        <v>107</v>
      </c>
      <c r="C295" s="153">
        <v>1024438.3</v>
      </c>
      <c r="D295" s="149">
        <v>1.66E-2</v>
      </c>
      <c r="E295" s="234">
        <f>C295*D295</f>
        <v>17005.675780000001</v>
      </c>
    </row>
    <row r="296" spans="1:5" ht="15.75">
      <c r="A296" s="147" t="s">
        <v>35</v>
      </c>
      <c r="B296" s="147" t="s">
        <v>108</v>
      </c>
      <c r="C296" s="153">
        <v>167789.6</v>
      </c>
      <c r="D296" s="149">
        <v>2.9499999999999998E-2</v>
      </c>
      <c r="E296" s="234">
        <f>C296*D296</f>
        <v>4949.7932000000001</v>
      </c>
    </row>
    <row r="297" spans="1:5" s="152" customFormat="1" ht="15.75">
      <c r="A297" s="147" t="s">
        <v>35</v>
      </c>
      <c r="B297" s="147" t="s">
        <v>110</v>
      </c>
      <c r="C297" s="153">
        <v>50466.8</v>
      </c>
      <c r="D297" s="149">
        <v>1.6799999999999999E-2</v>
      </c>
      <c r="E297" s="234">
        <f>C297*D297</f>
        <v>847.84223999999995</v>
      </c>
    </row>
    <row r="298" spans="1:5" ht="15.75">
      <c r="A298" s="150" t="s">
        <v>176</v>
      </c>
      <c r="B298" s="150"/>
      <c r="C298" s="239">
        <f>SUM(C295:C297)</f>
        <v>1242694.7000000002</v>
      </c>
      <c r="D298" s="151"/>
      <c r="E298" s="151">
        <f>SUM(E295:E297)</f>
        <v>22803.311220000003</v>
      </c>
    </row>
    <row r="299" spans="1:5" ht="15.75">
      <c r="A299" s="147" t="s">
        <v>15</v>
      </c>
      <c r="B299" s="147" t="s">
        <v>107</v>
      </c>
      <c r="C299" s="153">
        <v>352960</v>
      </c>
      <c r="D299" s="149">
        <v>1.66E-2</v>
      </c>
      <c r="E299" s="234">
        <f>C299*D299</f>
        <v>5859.1360000000004</v>
      </c>
    </row>
    <row r="300" spans="1:5" ht="15.75">
      <c r="A300" s="147" t="s">
        <v>15</v>
      </c>
      <c r="B300" s="147" t="s">
        <v>108</v>
      </c>
      <c r="C300" s="153">
        <v>88920</v>
      </c>
      <c r="D300" s="149">
        <v>2.9499999999999998E-2</v>
      </c>
      <c r="E300" s="234">
        <f>C300*D300</f>
        <v>2623.14</v>
      </c>
    </row>
    <row r="301" spans="1:5" s="152" customFormat="1" ht="15.75">
      <c r="A301" s="147" t="s">
        <v>15</v>
      </c>
      <c r="B301" s="147" t="s">
        <v>109</v>
      </c>
      <c r="C301" s="153">
        <v>47406.46</v>
      </c>
      <c r="D301" s="149">
        <v>2.53E-2</v>
      </c>
      <c r="E301" s="234">
        <f>C301*D301</f>
        <v>1199.3834380000001</v>
      </c>
    </row>
    <row r="302" spans="1:5" ht="15.75">
      <c r="A302" s="147" t="s">
        <v>15</v>
      </c>
      <c r="B302" s="147" t="s">
        <v>110</v>
      </c>
      <c r="C302" s="153">
        <v>71541</v>
      </c>
      <c r="D302" s="149">
        <v>1.6799999999999999E-2</v>
      </c>
      <c r="E302" s="234">
        <f>C302*D302</f>
        <v>1201.8887999999999</v>
      </c>
    </row>
    <row r="303" spans="1:5" ht="15.75">
      <c r="A303" s="150" t="s">
        <v>177</v>
      </c>
      <c r="B303" s="150"/>
      <c r="C303" s="239">
        <f>SUM(C299:C302)</f>
        <v>560827.46</v>
      </c>
      <c r="D303" s="151"/>
      <c r="E303" s="151">
        <f>SUM(E299:E302)</f>
        <v>10883.548238000001</v>
      </c>
    </row>
    <row r="304" spans="1:5" ht="15.75">
      <c r="A304" s="150"/>
      <c r="B304" s="150"/>
      <c r="C304" s="250"/>
      <c r="D304" s="152"/>
      <c r="E304" s="151"/>
    </row>
    <row r="305" spans="1:5" ht="15.75">
      <c r="A305" s="150" t="s">
        <v>178</v>
      </c>
      <c r="B305" s="150"/>
      <c r="C305" s="151">
        <f>C6+C11+C16+C20+C25+C30+C34+C39+C44+C49+C54+C58+C62+C67+C72+C77+C81+C86+C91+C95+C99+C103+C107+C111+C115+C120+C125+C130+C134+C139+C143+C146+C149+C154+C159+C164+C168+C172+C175+C180+C185+C190+C195+C200+C205+C209+C212+C217+C222+C227+C232+C236+C240+C245+C250+C254+C259+C264+C269+C273+C277+C281+C285+C290+C294+C298+C303</f>
        <v>303798982.36810541</v>
      </c>
      <c r="D305" s="151"/>
      <c r="E305" s="151">
        <f>E6+E11+E16+E20+E25+E30+E34+E39+E44+E49+E54+E58+E62+E67+E72+E77+E81+E86+E91+E95+E99+E103+E107+E111+E115+E120+E125+E130+E134+E139+E143+E146+E149+E154+E159+E164+E168+E172+E175+E180+E185+E190+E195+E200+E205+E209+E212+E217+E222+E227+E232+E236+E240+E245+E250+E254+E259+E264+E269+E273+E277+E281+E285+E290+E294+E298+E303</f>
        <v>5404099.4905510526</v>
      </c>
    </row>
    <row r="306" spans="1:5" s="152" customFormat="1" ht="15.75">
      <c r="A306" s="147"/>
      <c r="B306" s="147"/>
      <c r="C306" s="153"/>
      <c r="D306" s="147"/>
      <c r="E306" s="147"/>
    </row>
    <row r="307" spans="1:5" s="152" customFormat="1" ht="16.5" thickBot="1">
      <c r="A307" s="147"/>
      <c r="B307" s="147"/>
      <c r="C307" s="153"/>
      <c r="D307" s="147"/>
      <c r="E307" s="151"/>
    </row>
    <row r="308" spans="1:5" s="152" customFormat="1" ht="15.75">
      <c r="A308" s="147"/>
      <c r="B308" s="232" t="s">
        <v>107</v>
      </c>
      <c r="C308" s="227">
        <f>C2+C7+C12+C17+C21+C26+C31+C35+C40+C45+C50+C55+C59+C63+C69+C70+C73+C78+C82+C87+C92+C96+C100+C104+C108+C112+C116+C121+C126+C131+C135+C140+C144+C147+C150+C155+C160+C165+C169+C173+C176+C181+C186+C191+C196+C201+C206+C210+C213+C218+C223+C228+C233+C237+C241+C246+C251+C255+C260+C265+C270+C274+C278+C282+C286+C291+C295+C299</f>
        <v>263809078.06000006</v>
      </c>
      <c r="D308" s="227"/>
      <c r="E308" s="235">
        <f>E2+E7+E12+E17+E21+E26+E31+E35+E40+E45+E50+E55+E59+E63+E69+E70+E73+E78+E82+E87+E92+E96+E100+E104+E108+E112+E116+E121+E126+E131+E135+E140+E144+E147+E150+E155+E160+E165+E169+E173+E176+E181+E186+E191+E196+E201+E206+E210+E213+E218+E223+E228+E233+E237+E241+E246+E251+E255+E260+E265+E270+E274+E278+E282+E286+E291+E295+E299</f>
        <v>4379230.6957960008</v>
      </c>
    </row>
    <row r="309" spans="1:5" ht="15.75">
      <c r="A309" s="147"/>
      <c r="B309" s="233" t="s">
        <v>108</v>
      </c>
      <c r="C309" s="228">
        <f>C3+C8+C13+C18+C22+C27+C36+C41+C46+C51+C64+C68+C74+C79+C83+C88+C93+C97+C101+C105+C113+C117+C122+C127+C132+C136+C141+C151+C156+C161+C166+C170+C177+C182+C187+C192+C197+C202+C207+C214+C219+C224+C229+C234+C238+C242+C247+C252+C256+C261+C266+C271+C275+C287+C292+C296+C300</f>
        <v>13949529.338399995</v>
      </c>
      <c r="D309" s="228"/>
      <c r="E309" s="236">
        <f>E3+E8+E13+E18+E22+E27+E36+E41+E46+E51+E64+E68+E74+E79+E83+E88+E93+E97+E101+E105+E113+E117+E122+E127+E132+E136+E141+E151+E156+E161+E166+E170+E177+E182+E187+E192+E197+E202+E207+E214+E219+E224+E229+E234+E238+E242+E247+E252+E256+E261+E266+E271+E275+E287+E292+E296+E300</f>
        <v>411511.11548279988</v>
      </c>
    </row>
    <row r="310" spans="1:5" ht="15.75">
      <c r="A310" s="147"/>
      <c r="B310" s="233" t="s">
        <v>109</v>
      </c>
      <c r="C310" s="228">
        <f>C4+C9+C14+C23+C28+C32+C37+C42+C47+C52+C56+C60+C65+C75+C84+C89+C109+C118+C123+C128+C137+C152+C157+C162+C178+C183+C188+C193+C198+C203+C208+C215+C220+C225+C230+C235+C239+C243+C248+C257+C262+C267+C279+C283+C288+C301</f>
        <v>20691691.738965016</v>
      </c>
      <c r="D310" s="228"/>
      <c r="E310" s="236">
        <f>E4+E9+E14+E23+E28+E32+E37+E42+E47+E52+E56+E60+E65+E75+E84+E89+E109+E118+E123+E128+E137+E152+E157+E162+E178+E183+E188+E193+E198+E203+E208+E215+E220+E225+E230+E235+E239+E243+E248+E257+E262+E267+E279+E283+E288+E301</f>
        <v>523499.80099581467</v>
      </c>
    </row>
    <row r="311" spans="1:5" ht="15.75">
      <c r="A311" s="147"/>
      <c r="B311" s="233" t="s">
        <v>110</v>
      </c>
      <c r="C311" s="249">
        <f>C5+C10+C15+C19+C24+C29+C33+C38+C43+C48+C53+C57+C61+C66+C71+C76+C80+C85+C90+C94+C98+C102+C106+C110+C114+C119+C124+C129+C133+C138+C142+C145+C148+C153+C158+C163+C167+C171+C174+C179+C184+C189+C194+C199+C204+C211+C216+C221+C226+C231+C244+C249+C253+C258+C263+C268+C272+C276+C280+C284+C289+C293+C297+C302</f>
        <v>5348683.2307404028</v>
      </c>
      <c r="D311" s="228"/>
      <c r="E311" s="237">
        <f>E5+E10+E15+E19+E24+E29+E33+E38+E43+E48+E53+E57+E61+E66+E71+E76+E80+E85+E90+E94+E98+E102+E106+E110+E114+E119+E124+E129+E133+E138+E142+E145+E148+E153+E158+E163+E167+E171+E174+E179+E184+E189+E194+E199+E204+E211+E216+E221+E226+E231+E244+E249+E253+E258+E263+E268+E272+E276+E280+E284+E289+E293+E297+E302</f>
        <v>89857.878276438729</v>
      </c>
    </row>
    <row r="312" spans="1:5" ht="16.5" thickBot="1">
      <c r="A312" s="147"/>
      <c r="B312" s="230"/>
      <c r="C312" s="229">
        <f>SUM(C308:C311)</f>
        <v>303798982.36810553</v>
      </c>
      <c r="D312" s="229"/>
      <c r="E312" s="238">
        <f>SUM(E308:E311)</f>
        <v>5404099.4905510535</v>
      </c>
    </row>
    <row r="313" spans="1:5" s="245" customFormat="1" ht="15.75">
      <c r="A313" s="248"/>
      <c r="B313" s="248"/>
      <c r="C313" s="246">
        <f>C305-C312</f>
        <v>0</v>
      </c>
      <c r="D313" s="247"/>
      <c r="E313" s="246">
        <f>E305-E312</f>
        <v>0</v>
      </c>
    </row>
    <row r="314" spans="1:5" s="245" customFormat="1" ht="15.75">
      <c r="A314" s="248"/>
      <c r="B314" s="248"/>
      <c r="C314" s="246"/>
      <c r="D314" s="247"/>
      <c r="E314" s="246"/>
    </row>
    <row r="315" spans="1:5" s="245" customFormat="1" ht="15.75">
      <c r="A315" s="248"/>
      <c r="B315" s="248"/>
      <c r="C315" s="246"/>
      <c r="D315" s="247"/>
      <c r="E315" s="246"/>
    </row>
    <row r="316" spans="1:5" ht="15.75">
      <c r="A316" s="147"/>
      <c r="B316" s="244">
        <v>2022</v>
      </c>
      <c r="C316" s="148"/>
      <c r="D316" s="147"/>
      <c r="E316" s="147"/>
    </row>
    <row r="317" spans="1:5" ht="15.75">
      <c r="A317" s="147"/>
      <c r="B317" s="243" t="s">
        <v>107</v>
      </c>
      <c r="C317" s="241">
        <v>258875056.77488399</v>
      </c>
      <c r="D317" s="241"/>
      <c r="E317" s="241">
        <v>2821738.1188462391</v>
      </c>
    </row>
    <row r="318" spans="1:5" ht="15.75">
      <c r="A318" s="147"/>
      <c r="B318" s="243" t="s">
        <v>108</v>
      </c>
      <c r="C318" s="241">
        <v>13443278.880906656</v>
      </c>
      <c r="D318" s="241"/>
      <c r="E318" s="241">
        <v>344147.93935120985</v>
      </c>
    </row>
    <row r="319" spans="1:5" ht="15.75">
      <c r="A319" s="147"/>
      <c r="B319" s="243" t="s">
        <v>109</v>
      </c>
      <c r="C319" s="241">
        <v>18600599.255164016</v>
      </c>
      <c r="D319" s="241"/>
      <c r="E319" s="241">
        <v>48361.558063426273</v>
      </c>
    </row>
    <row r="320" spans="1:5" ht="15.75">
      <c r="B320" s="242" t="s">
        <v>110</v>
      </c>
      <c r="C320" s="241">
        <v>5445979.0518180002</v>
      </c>
      <c r="D320" s="241"/>
      <c r="E320" s="241">
        <v>303885.63109144411</v>
      </c>
    </row>
    <row r="321" spans="3:5" ht="15.75">
      <c r="C321" s="240">
        <v>296364913.96277314</v>
      </c>
      <c r="D321" s="148"/>
      <c r="E321" s="240">
        <v>3518133.2473523193</v>
      </c>
    </row>
  </sheetData>
  <autoFilter ref="A1:E303" xr:uid="{A917B256-BF83-4E80-8C4C-D0F1F79B638F}"/>
  <dataValidations count="1">
    <dataValidation type="decimal" operator="greaterThanOrEqual" allowBlank="1" showInputMessage="1" showErrorMessage="1" sqref="B257:C257 E257 B113:C113 E113:XFD113 F260:XFD260" xr:uid="{DFFE89B5-51DE-4021-BE67-7197B776B106}">
      <formula1>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3F1C-1495-49AA-971F-9B2212FEE880}">
  <sheetPr>
    <pageSetUpPr fitToPage="1"/>
  </sheetPr>
  <dimension ref="A1:T362"/>
  <sheetViews>
    <sheetView topLeftCell="A324" workbookViewId="0">
      <selection activeCell="J360" sqref="J360"/>
    </sheetView>
  </sheetViews>
  <sheetFormatPr defaultRowHeight="15"/>
  <cols>
    <col min="1" max="1" width="17.85546875" customWidth="1"/>
    <col min="2" max="2" width="16.7109375" customWidth="1"/>
    <col min="3" max="3" width="17.42578125" customWidth="1"/>
    <col min="4" max="4" width="17" customWidth="1"/>
    <col min="5" max="5" width="15.140625" customWidth="1"/>
    <col min="6" max="6" width="15.7109375" customWidth="1"/>
    <col min="7" max="7" width="15.140625" customWidth="1"/>
    <col min="8" max="8" width="15.5703125" style="152" customWidth="1"/>
    <col min="9" max="9" width="16.5703125" style="152" customWidth="1"/>
    <col min="10" max="10" width="13.42578125" customWidth="1"/>
  </cols>
  <sheetData>
    <row r="1" spans="1:20" ht="45">
      <c r="K1" s="398" t="s">
        <v>274</v>
      </c>
      <c r="L1" s="398" t="s">
        <v>258</v>
      </c>
      <c r="M1" s="395" t="s">
        <v>257</v>
      </c>
      <c r="N1" s="398" t="s">
        <v>273</v>
      </c>
      <c r="O1" s="395" t="s">
        <v>256</v>
      </c>
      <c r="P1" s="398" t="s">
        <v>273</v>
      </c>
      <c r="Q1" s="395" t="s">
        <v>255</v>
      </c>
      <c r="R1" s="398" t="s">
        <v>273</v>
      </c>
      <c r="S1" s="398" t="s">
        <v>254</v>
      </c>
      <c r="T1" s="398" t="s">
        <v>273</v>
      </c>
    </row>
    <row r="2" spans="1:20">
      <c r="A2" s="392" t="s">
        <v>272</v>
      </c>
      <c r="B2" s="392">
        <v>0</v>
      </c>
      <c r="C2" s="392">
        <f t="shared" ref="C2:C10" si="0">B2/B3</f>
        <v>0</v>
      </c>
      <c r="D2" s="392">
        <v>0</v>
      </c>
      <c r="E2" s="392">
        <f t="shared" ref="E2:E10" si="1">D2/D3</f>
        <v>0</v>
      </c>
      <c r="F2" s="392">
        <v>0</v>
      </c>
      <c r="G2" s="392">
        <f t="shared" ref="G2:G10" si="2">F2/F3</f>
        <v>0</v>
      </c>
      <c r="H2" s="392">
        <v>0</v>
      </c>
      <c r="I2" s="392">
        <f t="shared" ref="I2:I10" si="3">H2/H3</f>
        <v>0</v>
      </c>
      <c r="K2" s="392"/>
      <c r="L2" s="392" t="s">
        <v>245</v>
      </c>
      <c r="M2" s="392">
        <v>0.13569999999999999</v>
      </c>
      <c r="N2" s="392">
        <f t="shared" ref="N2:N9" si="4">M2/M3</f>
        <v>1.139378673383711</v>
      </c>
      <c r="O2" s="392">
        <v>0.34520000000000001</v>
      </c>
      <c r="P2" s="392">
        <f t="shared" ref="P2:P9" si="5">O2/O3</f>
        <v>1.0934431422236301</v>
      </c>
      <c r="Q2" s="392">
        <v>0.21129999999999999</v>
      </c>
      <c r="R2" s="392">
        <f t="shared" ref="R2:R9" si="6">Q2/Q3</f>
        <v>1.1360215053763441</v>
      </c>
      <c r="S2" s="392">
        <v>0.58679999999999999</v>
      </c>
      <c r="T2" s="392">
        <f t="shared" ref="T2:T9" si="7">S2/S3</f>
        <v>1.0294736842105263</v>
      </c>
    </row>
    <row r="3" spans="1:20">
      <c r="A3" s="392" t="s">
        <v>245</v>
      </c>
      <c r="B3" s="392">
        <v>0.13569999999999999</v>
      </c>
      <c r="C3" s="392">
        <f t="shared" si="0"/>
        <v>1.139378673383711</v>
      </c>
      <c r="D3" s="392">
        <v>0.34520000000000001</v>
      </c>
      <c r="E3" s="392">
        <f t="shared" si="1"/>
        <v>1.0934431422236301</v>
      </c>
      <c r="F3" s="392">
        <v>0.21129999999999999</v>
      </c>
      <c r="G3" s="392">
        <f t="shared" si="2"/>
        <v>1.1360215053763441</v>
      </c>
      <c r="H3" s="392">
        <v>0.58679999999999999</v>
      </c>
      <c r="I3" s="392">
        <f t="shared" si="3"/>
        <v>1.0294736842105263</v>
      </c>
      <c r="K3" s="392"/>
      <c r="L3" s="392" t="s">
        <v>246</v>
      </c>
      <c r="M3" s="392">
        <v>0.1191</v>
      </c>
      <c r="N3" s="392">
        <f t="shared" si="4"/>
        <v>1.1007393715341958</v>
      </c>
      <c r="O3" s="392">
        <v>0.31569999999999998</v>
      </c>
      <c r="P3" s="392">
        <f t="shared" si="5"/>
        <v>1.0882454326094448</v>
      </c>
      <c r="Q3" s="397">
        <v>0.186</v>
      </c>
      <c r="R3" s="392">
        <f t="shared" si="6"/>
        <v>1.0141766630316249</v>
      </c>
      <c r="S3" s="397">
        <v>0.56999999999999995</v>
      </c>
      <c r="T3" s="392">
        <f t="shared" si="7"/>
        <v>1.1085180863477246</v>
      </c>
    </row>
    <row r="4" spans="1:20">
      <c r="A4" s="392" t="s">
        <v>246</v>
      </c>
      <c r="B4" s="392">
        <v>0.1191</v>
      </c>
      <c r="C4" s="392">
        <f t="shared" si="0"/>
        <v>1.1007393715341958</v>
      </c>
      <c r="D4" s="392">
        <v>0.31569999999999998</v>
      </c>
      <c r="E4" s="392">
        <f t="shared" si="1"/>
        <v>1.0882454326094448</v>
      </c>
      <c r="F4" s="397">
        <v>0.186</v>
      </c>
      <c r="G4" s="392">
        <f t="shared" si="2"/>
        <v>1.0141766630316249</v>
      </c>
      <c r="H4" s="397">
        <v>0.56999999999999995</v>
      </c>
      <c r="I4" s="392">
        <f t="shared" si="3"/>
        <v>1.1085180863477246</v>
      </c>
      <c r="K4" s="392"/>
      <c r="L4" s="392" t="s">
        <v>247</v>
      </c>
      <c r="M4" s="392">
        <v>0.1082</v>
      </c>
      <c r="N4" s="396">
        <f t="shared" si="4"/>
        <v>1.0820000000000001</v>
      </c>
      <c r="O4" s="392">
        <v>0.29010000000000002</v>
      </c>
      <c r="P4" s="392">
        <f t="shared" si="5"/>
        <v>1.0630267497251742</v>
      </c>
      <c r="Q4" s="392">
        <v>0.18340000000000001</v>
      </c>
      <c r="R4" s="392">
        <f t="shared" si="6"/>
        <v>1.0800942285041224</v>
      </c>
      <c r="S4" s="392">
        <v>0.51419999999999999</v>
      </c>
      <c r="T4" s="392">
        <f t="shared" si="7"/>
        <v>1.0455469703131353</v>
      </c>
    </row>
    <row r="5" spans="1:20">
      <c r="A5" s="392" t="s">
        <v>247</v>
      </c>
      <c r="B5" s="392">
        <v>0.1082</v>
      </c>
      <c r="C5" s="396">
        <f t="shared" si="0"/>
        <v>1.0820000000000001</v>
      </c>
      <c r="D5" s="392">
        <v>0.29010000000000002</v>
      </c>
      <c r="E5" s="392">
        <f t="shared" si="1"/>
        <v>1.0630267497251742</v>
      </c>
      <c r="F5" s="392">
        <v>0.18340000000000001</v>
      </c>
      <c r="G5" s="392">
        <f t="shared" si="2"/>
        <v>1.0800942285041224</v>
      </c>
      <c r="H5" s="392">
        <v>0.51419999999999999</v>
      </c>
      <c r="I5" s="392">
        <f t="shared" si="3"/>
        <v>1.0455469703131353</v>
      </c>
      <c r="K5" s="392"/>
      <c r="L5" s="392" t="s">
        <v>248</v>
      </c>
      <c r="M5" s="397">
        <v>0.1</v>
      </c>
      <c r="N5" s="392">
        <f t="shared" si="4"/>
        <v>1.1806375442739081</v>
      </c>
      <c r="O5" s="392">
        <v>0.27289999999999998</v>
      </c>
      <c r="P5" s="392">
        <f t="shared" si="5"/>
        <v>1.0739866194411649</v>
      </c>
      <c r="Q5" s="392">
        <v>0.16980000000000001</v>
      </c>
      <c r="R5" s="392">
        <f t="shared" si="6"/>
        <v>1.1630136986301371</v>
      </c>
      <c r="S5" s="392">
        <v>0.49180000000000001</v>
      </c>
      <c r="T5" s="392">
        <f t="shared" si="7"/>
        <v>1.0073740270380991</v>
      </c>
    </row>
    <row r="6" spans="1:20">
      <c r="A6" s="392" t="s">
        <v>248</v>
      </c>
      <c r="B6" s="397">
        <v>0.1</v>
      </c>
      <c r="C6" s="392">
        <f t="shared" si="0"/>
        <v>1.1806375442739081</v>
      </c>
      <c r="D6" s="392">
        <v>0.27289999999999998</v>
      </c>
      <c r="E6" s="392">
        <f t="shared" si="1"/>
        <v>1.0739866194411649</v>
      </c>
      <c r="F6" s="392">
        <v>0.16980000000000001</v>
      </c>
      <c r="G6" s="392">
        <f t="shared" si="2"/>
        <v>1.1630136986301371</v>
      </c>
      <c r="H6" s="392">
        <v>0.49180000000000001</v>
      </c>
      <c r="I6" s="392">
        <f t="shared" si="3"/>
        <v>1.0073740270380991</v>
      </c>
      <c r="K6" s="392"/>
      <c r="L6" s="392" t="s">
        <v>249</v>
      </c>
      <c r="M6" s="392">
        <v>8.4699999999999998E-2</v>
      </c>
      <c r="N6" s="392">
        <f t="shared" si="4"/>
        <v>1.0254237288135593</v>
      </c>
      <c r="O6" s="392">
        <v>0.25409999999999999</v>
      </c>
      <c r="P6" s="396">
        <f t="shared" si="5"/>
        <v>1.0561097256857854</v>
      </c>
      <c r="Q6" s="397">
        <v>0.14599999999999999</v>
      </c>
      <c r="R6" s="392">
        <f t="shared" si="6"/>
        <v>1.0406272273699215</v>
      </c>
      <c r="S6" s="392">
        <v>0.48820000000000002</v>
      </c>
      <c r="T6" s="392">
        <f t="shared" si="7"/>
        <v>1.0024640657084189</v>
      </c>
    </row>
    <row r="7" spans="1:20">
      <c r="A7" s="392" t="s">
        <v>249</v>
      </c>
      <c r="B7" s="392">
        <v>8.4699999999999998E-2</v>
      </c>
      <c r="C7" s="392">
        <f t="shared" si="0"/>
        <v>1.0254237288135593</v>
      </c>
      <c r="D7" s="392">
        <v>0.25409999999999999</v>
      </c>
      <c r="E7" s="396">
        <f t="shared" si="1"/>
        <v>1.0561097256857854</v>
      </c>
      <c r="F7" s="397">
        <v>0.14599999999999999</v>
      </c>
      <c r="G7" s="392">
        <f t="shared" si="2"/>
        <v>1.0406272273699215</v>
      </c>
      <c r="H7" s="392">
        <v>0.48820000000000002</v>
      </c>
      <c r="I7" s="392">
        <f t="shared" si="3"/>
        <v>1.0024640657084189</v>
      </c>
      <c r="K7" s="392"/>
      <c r="L7" s="392" t="s">
        <v>250</v>
      </c>
      <c r="M7" s="392">
        <v>8.2600000000000007E-2</v>
      </c>
      <c r="N7" s="392">
        <f t="shared" si="4"/>
        <v>1.042929292929293</v>
      </c>
      <c r="O7" s="392">
        <v>0.24060000000000001</v>
      </c>
      <c r="P7" s="392">
        <f t="shared" si="5"/>
        <v>1.059445178335535</v>
      </c>
      <c r="Q7" s="392">
        <v>0.14030000000000001</v>
      </c>
      <c r="R7" s="392">
        <f t="shared" si="6"/>
        <v>1.0580693815987934</v>
      </c>
      <c r="S7" s="397">
        <v>0.48699999999999999</v>
      </c>
      <c r="T7" s="396">
        <f t="shared" si="7"/>
        <v>1.0703296703296703</v>
      </c>
    </row>
    <row r="8" spans="1:20">
      <c r="A8" s="392" t="s">
        <v>250</v>
      </c>
      <c r="B8" s="392">
        <v>8.2600000000000007E-2</v>
      </c>
      <c r="C8" s="392">
        <f t="shared" si="0"/>
        <v>1.042929292929293</v>
      </c>
      <c r="D8" s="392">
        <v>0.24060000000000001</v>
      </c>
      <c r="E8" s="392">
        <f t="shared" si="1"/>
        <v>1.059445178335535</v>
      </c>
      <c r="F8" s="392">
        <v>0.14030000000000001</v>
      </c>
      <c r="G8" s="392">
        <f t="shared" si="2"/>
        <v>1.0580693815987934</v>
      </c>
      <c r="H8" s="397">
        <v>0.48699999999999999</v>
      </c>
      <c r="I8" s="396">
        <f t="shared" si="3"/>
        <v>1.0703296703296703</v>
      </c>
      <c r="K8" s="392"/>
      <c r="L8" s="392" t="s">
        <v>251</v>
      </c>
      <c r="M8" s="392">
        <v>7.9200000000000007E-2</v>
      </c>
      <c r="N8" s="392">
        <f t="shared" si="4"/>
        <v>1.0531914893617023</v>
      </c>
      <c r="O8" s="392">
        <v>0.2271</v>
      </c>
      <c r="P8" s="392">
        <f t="shared" si="5"/>
        <v>1.043178686265503</v>
      </c>
      <c r="Q8" s="392">
        <v>0.1326</v>
      </c>
      <c r="R8" s="392">
        <f t="shared" si="6"/>
        <v>1.0207852193995381</v>
      </c>
      <c r="S8" s="397">
        <v>0.45500000000000002</v>
      </c>
      <c r="T8" s="392">
        <f t="shared" si="7"/>
        <v>1.0713444784553803</v>
      </c>
    </row>
    <row r="9" spans="1:20">
      <c r="A9" s="392" t="s">
        <v>251</v>
      </c>
      <c r="B9" s="392">
        <v>7.9200000000000007E-2</v>
      </c>
      <c r="C9" s="392">
        <f t="shared" si="0"/>
        <v>1.0531914893617023</v>
      </c>
      <c r="D9" s="392">
        <v>0.2271</v>
      </c>
      <c r="E9" s="392">
        <f t="shared" si="1"/>
        <v>1.043178686265503</v>
      </c>
      <c r="F9" s="392">
        <v>0.1326</v>
      </c>
      <c r="G9" s="392">
        <f t="shared" si="2"/>
        <v>1.0207852193995381</v>
      </c>
      <c r="H9" s="397">
        <v>0.45500000000000002</v>
      </c>
      <c r="I9" s="392">
        <f t="shared" si="3"/>
        <v>1.0713444784553803</v>
      </c>
      <c r="K9" s="392"/>
      <c r="L9" s="392" t="s">
        <v>252</v>
      </c>
      <c r="M9" s="392">
        <v>7.5200000000000003E-2</v>
      </c>
      <c r="N9" s="392">
        <f t="shared" si="4"/>
        <v>1.0358126721763086</v>
      </c>
      <c r="O9" s="392">
        <v>0.2177</v>
      </c>
      <c r="P9" s="392">
        <f t="shared" si="5"/>
        <v>1.0158656089594027</v>
      </c>
      <c r="Q9" s="392">
        <v>0.12989999999999999</v>
      </c>
      <c r="R9" s="396">
        <f t="shared" si="6"/>
        <v>1.0085403726708073</v>
      </c>
      <c r="S9" s="392">
        <v>0.42470000000000002</v>
      </c>
      <c r="T9" s="392">
        <f t="shared" si="7"/>
        <v>1.0047314880529927</v>
      </c>
    </row>
    <row r="10" spans="1:20">
      <c r="A10" s="392" t="s">
        <v>252</v>
      </c>
      <c r="B10" s="392">
        <v>7.5200000000000003E-2</v>
      </c>
      <c r="C10" s="392">
        <f t="shared" si="0"/>
        <v>1.0358126721763086</v>
      </c>
      <c r="D10" s="392">
        <v>0.2177</v>
      </c>
      <c r="E10" s="392">
        <f t="shared" si="1"/>
        <v>1.0158656089594027</v>
      </c>
      <c r="F10" s="392">
        <v>0.12989999999999999</v>
      </c>
      <c r="G10" s="396">
        <f t="shared" si="2"/>
        <v>1.0085403726708073</v>
      </c>
      <c r="H10" s="392">
        <v>0.42470000000000002</v>
      </c>
      <c r="I10" s="392">
        <f t="shared" si="3"/>
        <v>1.0047314880529927</v>
      </c>
      <c r="K10" s="392"/>
      <c r="L10" s="392" t="s">
        <v>253</v>
      </c>
      <c r="M10" s="392">
        <v>7.2599999999999998E-2</v>
      </c>
      <c r="N10" s="392"/>
      <c r="O10" s="392">
        <v>0.21429999999999999</v>
      </c>
      <c r="P10" s="392"/>
      <c r="Q10" s="392">
        <v>0.1288</v>
      </c>
      <c r="R10" s="392"/>
      <c r="S10" s="392">
        <v>0.42270000000000002</v>
      </c>
      <c r="T10" s="392"/>
    </row>
    <row r="11" spans="1:20">
      <c r="A11" s="392" t="s">
        <v>253</v>
      </c>
      <c r="B11" s="392">
        <v>7.2599999999999998E-2</v>
      </c>
      <c r="C11" s="392"/>
      <c r="D11" s="392">
        <v>0.21429999999999999</v>
      </c>
      <c r="E11" s="392"/>
      <c r="F11" s="392">
        <v>0.1288</v>
      </c>
      <c r="G11" s="392"/>
      <c r="H11" s="392">
        <v>0.42270000000000002</v>
      </c>
      <c r="I11" s="392"/>
    </row>
    <row r="12" spans="1:20">
      <c r="G12" s="380"/>
    </row>
    <row r="13" spans="1:20">
      <c r="K13" s="392" t="s">
        <v>244</v>
      </c>
      <c r="N13" s="392">
        <f>SUM(N2:N3)/2</f>
        <v>1.1200590224589533</v>
      </c>
      <c r="P13" s="392">
        <f>SUM(P2:P3)/2</f>
        <v>1.0908442874165374</v>
      </c>
      <c r="R13" s="392">
        <f>SUM(R2:R3)/2</f>
        <v>1.0750990842039845</v>
      </c>
      <c r="T13" s="392">
        <f>SUM(T2:T3)/2</f>
        <v>1.0689958852791255</v>
      </c>
    </row>
    <row r="14" spans="1:20">
      <c r="A14" s="152"/>
      <c r="B14" s="152"/>
      <c r="C14" s="152"/>
      <c r="D14" s="152"/>
      <c r="E14" s="152"/>
      <c r="F14" s="152"/>
      <c r="G14" s="152"/>
      <c r="K14" s="392" t="s">
        <v>243</v>
      </c>
      <c r="N14" s="392">
        <f>SUM(N2:N4)/3</f>
        <v>1.1073726816393021</v>
      </c>
      <c r="P14" s="392">
        <f>SUM(P2:P4)/3</f>
        <v>1.0815717748527496</v>
      </c>
      <c r="R14" s="392">
        <f>SUM(R2:R4)/3</f>
        <v>1.0767641323040305</v>
      </c>
      <c r="T14" s="396">
        <f>SUM(T2:T4)/3</f>
        <v>1.061179580290462</v>
      </c>
    </row>
    <row r="15" spans="1:20">
      <c r="H15" s="379"/>
      <c r="K15" s="392" t="s">
        <v>242</v>
      </c>
      <c r="N15" s="392">
        <f>SUM(N2:N5)/4</f>
        <v>1.1256888972979535</v>
      </c>
      <c r="P15" s="392">
        <f>SUM(P2:P5)/4</f>
        <v>1.0796754859998534</v>
      </c>
      <c r="R15" s="392">
        <f>SUM(R2:R5)/4</f>
        <v>1.0983265238855571</v>
      </c>
      <c r="T15" s="392">
        <f>SUM(T2:T5)/4</f>
        <v>1.0477281919773713</v>
      </c>
    </row>
    <row r="16" spans="1:20">
      <c r="K16" s="392" t="s">
        <v>241</v>
      </c>
      <c r="N16" s="392">
        <f>SUM(N2:N6)/5</f>
        <v>1.1056358636010746</v>
      </c>
      <c r="P16" s="392">
        <f>SUM(P2:P6)/5</f>
        <v>1.0749623339370398</v>
      </c>
      <c r="R16" s="392">
        <f>SUM(R2:R6)/5</f>
        <v>1.08678666458243</v>
      </c>
      <c r="T16" s="392">
        <f>SUM(T2:T6)/5</f>
        <v>1.0386753667235809</v>
      </c>
    </row>
    <row r="17" spans="1:20">
      <c r="K17" s="389" t="s">
        <v>240</v>
      </c>
      <c r="N17" s="392">
        <f>SUM(N2:N7)/6</f>
        <v>1.0951847684891109</v>
      </c>
      <c r="P17" s="392">
        <f>SUM(P2:P7)/6</f>
        <v>1.0723761413367889</v>
      </c>
      <c r="R17" s="396">
        <f>SUM(R2:R7)/6</f>
        <v>1.0820004507518239</v>
      </c>
      <c r="T17" s="392">
        <f>SUM(T2:T7)/6</f>
        <v>1.0439510839912625</v>
      </c>
    </row>
    <row r="18" spans="1:20">
      <c r="A18" s="152"/>
      <c r="B18" s="152"/>
      <c r="C18" s="152"/>
      <c r="D18" s="152"/>
      <c r="E18" s="152"/>
      <c r="F18" s="152"/>
      <c r="G18" s="152"/>
      <c r="K18" s="392" t="s">
        <v>239</v>
      </c>
      <c r="N18" s="392">
        <f>SUM(N2:N8)/7</f>
        <v>1.0891857286137669</v>
      </c>
      <c r="P18" s="392">
        <f>SUM(P2:P8)/7</f>
        <v>1.0682050763266053</v>
      </c>
      <c r="R18" s="392">
        <f>SUM(R2:R8)/7</f>
        <v>1.0732554177014975</v>
      </c>
      <c r="T18" s="392">
        <f>SUM(T2:T8)/7</f>
        <v>1.0478644260575649</v>
      </c>
    </row>
    <row r="19" spans="1:20">
      <c r="K19" s="392" t="s">
        <v>238</v>
      </c>
      <c r="N19" s="392">
        <f>SUM(N2:N9)/8</f>
        <v>1.0825140965590847</v>
      </c>
      <c r="P19" s="392">
        <f>SUM(P2:P9)/8</f>
        <v>1.061662642905705</v>
      </c>
      <c r="R19" s="392">
        <f>SUM(R2:R9)/8</f>
        <v>1.0651660370726612</v>
      </c>
      <c r="T19" s="392">
        <f>SUM(T2:T9)/8</f>
        <v>1.0424728088069934</v>
      </c>
    </row>
    <row r="21" spans="1:20">
      <c r="A21" s="152"/>
      <c r="B21" s="152"/>
      <c r="C21" s="152"/>
      <c r="D21" s="152"/>
      <c r="E21" s="152"/>
      <c r="F21" s="152"/>
      <c r="G21" s="152"/>
      <c r="M21" s="392">
        <f>M3*N2</f>
        <v>0.13569999999999999</v>
      </c>
    </row>
    <row r="22" spans="1:20" ht="105">
      <c r="A22" s="395" t="s">
        <v>0</v>
      </c>
      <c r="B22" s="395" t="s">
        <v>104</v>
      </c>
      <c r="C22" s="394" t="s">
        <v>105</v>
      </c>
      <c r="D22" s="394" t="s">
        <v>271</v>
      </c>
      <c r="E22" s="399" t="s">
        <v>270</v>
      </c>
      <c r="F22" s="399" t="s">
        <v>269</v>
      </c>
      <c r="G22" s="399" t="s">
        <v>268</v>
      </c>
      <c r="H22" s="399" t="s">
        <v>268</v>
      </c>
      <c r="I22" s="399" t="s">
        <v>267</v>
      </c>
    </row>
    <row r="23" spans="1:20">
      <c r="A23" s="392" t="s">
        <v>36</v>
      </c>
      <c r="B23" s="392" t="s">
        <v>107</v>
      </c>
      <c r="C23" s="391">
        <v>3232237.63</v>
      </c>
      <c r="D23" s="391">
        <f>C23*$M$3</f>
        <v>384959.50173299998</v>
      </c>
      <c r="E23" s="400">
        <f>C23*$M$2*0.75</f>
        <v>328960.98479324998</v>
      </c>
      <c r="F23" s="400">
        <f>C23*($M$2*$N$15)*0.25</f>
        <v>123435.90940865413</v>
      </c>
      <c r="G23" s="400">
        <f t="shared" ref="G23:G39" si="8">E23+F23</f>
        <v>452396.89420190413</v>
      </c>
      <c r="H23" s="401"/>
      <c r="I23" s="402"/>
      <c r="J23" s="378"/>
    </row>
    <row r="24" spans="1:20">
      <c r="A24" s="392" t="s">
        <v>36</v>
      </c>
      <c r="B24" s="392" t="s">
        <v>108</v>
      </c>
      <c r="C24" s="391">
        <v>450455.62</v>
      </c>
      <c r="D24" s="391">
        <f>C24*$O$3</f>
        <v>142208.83923399998</v>
      </c>
      <c r="E24" s="400">
        <f>C24*$O$2*0.75</f>
        <v>116622.96001800001</v>
      </c>
      <c r="F24" s="400">
        <f>C24*($O$2*$P$15)*0.25</f>
        <v>41971.650345391878</v>
      </c>
      <c r="G24" s="400">
        <f t="shared" si="8"/>
        <v>158594.6103633919</v>
      </c>
      <c r="H24" s="401"/>
      <c r="I24" s="402"/>
    </row>
    <row r="25" spans="1:20">
      <c r="A25" s="392" t="s">
        <v>36</v>
      </c>
      <c r="B25" s="392" t="s">
        <v>109</v>
      </c>
      <c r="C25" s="391">
        <v>319334.08</v>
      </c>
      <c r="D25" s="391">
        <f>C25*$Q$3</f>
        <v>59396.138880000006</v>
      </c>
      <c r="E25" s="400">
        <f>C25*$Q$2*0.75</f>
        <v>50606.468328000003</v>
      </c>
      <c r="F25" s="400">
        <f>C25*($Q$2*$R$15)*0.25</f>
        <v>18527.475481605594</v>
      </c>
      <c r="G25" s="400">
        <f t="shared" si="8"/>
        <v>69133.943809605596</v>
      </c>
      <c r="H25" s="401"/>
      <c r="I25" s="402"/>
    </row>
    <row r="26" spans="1:20">
      <c r="A26" s="392" t="s">
        <v>36</v>
      </c>
      <c r="B26" s="392" t="s">
        <v>110</v>
      </c>
      <c r="C26" s="391">
        <v>106318.73999999999</v>
      </c>
      <c r="D26" s="391">
        <f>C26*$S$3</f>
        <v>60601.681799999991</v>
      </c>
      <c r="E26" s="400">
        <f>C26*$S$2*0.75</f>
        <v>46790.877473999994</v>
      </c>
      <c r="F26" s="400">
        <f>C26*($S$2*$T$15)*0.25</f>
        <v>16341.373818956241</v>
      </c>
      <c r="G26" s="400">
        <f t="shared" si="8"/>
        <v>63132.251292956236</v>
      </c>
      <c r="H26" s="401"/>
      <c r="I26" s="402"/>
    </row>
    <row r="27" spans="1:20">
      <c r="A27" s="389" t="s">
        <v>111</v>
      </c>
      <c r="B27" s="389"/>
      <c r="C27" s="387">
        <f>SUM(C23:C26)</f>
        <v>4108346.0700000003</v>
      </c>
      <c r="D27" s="387">
        <f>SUM(D23:D26)</f>
        <v>647166.161647</v>
      </c>
      <c r="E27" s="403">
        <f>SUM(E23:E26)</f>
        <v>542981.29061324999</v>
      </c>
      <c r="F27" s="403">
        <f>SUM(F23:F26)</f>
        <v>200276.40905460782</v>
      </c>
      <c r="G27" s="403">
        <f t="shared" si="8"/>
        <v>743257.69966785784</v>
      </c>
      <c r="H27" s="402">
        <f>G27</f>
        <v>743257.69966785784</v>
      </c>
      <c r="I27" s="402">
        <f>H27-D27</f>
        <v>96091.538020857843</v>
      </c>
      <c r="J27" s="390"/>
    </row>
    <row r="28" spans="1:20">
      <c r="A28" s="392" t="s">
        <v>5</v>
      </c>
      <c r="B28" s="392" t="s">
        <v>107</v>
      </c>
      <c r="C28" s="391">
        <v>272443</v>
      </c>
      <c r="D28" s="391">
        <f>C28*$M$3</f>
        <v>32447.961299999999</v>
      </c>
      <c r="E28" s="400">
        <f>C28*$M$2*0.75</f>
        <v>27727.886324999999</v>
      </c>
      <c r="F28" s="400">
        <f>C28*($M$2*$N$15)*0.25</f>
        <v>10404.324593864083</v>
      </c>
      <c r="G28" s="400">
        <f t="shared" si="8"/>
        <v>38132.210918864082</v>
      </c>
      <c r="H28" s="401"/>
      <c r="I28" s="401"/>
      <c r="J28" s="390"/>
    </row>
    <row r="29" spans="1:20">
      <c r="A29" s="392" t="s">
        <v>5</v>
      </c>
      <c r="B29" s="392" t="s">
        <v>108</v>
      </c>
      <c r="C29" s="391">
        <v>81557</v>
      </c>
      <c r="D29" s="391">
        <f>C29*$O$3</f>
        <v>25747.544899999997</v>
      </c>
      <c r="E29" s="400">
        <f>C29*$O$2*0.75</f>
        <v>21115.1073</v>
      </c>
      <c r="F29" s="400">
        <f>C29*($O$2*$P$15)*0.25</f>
        <v>7599.154578688851</v>
      </c>
      <c r="G29" s="400">
        <f t="shared" si="8"/>
        <v>28714.261878688849</v>
      </c>
      <c r="H29" s="401"/>
      <c r="I29" s="401"/>
      <c r="J29" s="390"/>
    </row>
    <row r="30" spans="1:20">
      <c r="A30" s="392" t="s">
        <v>5</v>
      </c>
      <c r="B30" s="392" t="s">
        <v>109</v>
      </c>
      <c r="C30" s="391">
        <v>123880</v>
      </c>
      <c r="D30" s="391">
        <f>C30*$Q$3</f>
        <v>23041.68</v>
      </c>
      <c r="E30" s="400">
        <f>C30*$Q$2*0.75</f>
        <v>19631.882999999998</v>
      </c>
      <c r="F30" s="400">
        <f>C30*($Q$2*$R$15)*0.25</f>
        <v>7187.4059375726538</v>
      </c>
      <c r="G30" s="400">
        <f t="shared" si="8"/>
        <v>26819.288937572652</v>
      </c>
      <c r="H30" s="401"/>
      <c r="I30" s="401"/>
      <c r="J30" s="390"/>
    </row>
    <row r="31" spans="1:20">
      <c r="A31" s="392" t="s">
        <v>5</v>
      </c>
      <c r="B31" s="392" t="s">
        <v>110</v>
      </c>
      <c r="C31" s="391">
        <v>108634.5</v>
      </c>
      <c r="D31" s="391">
        <f>C31*$S$3</f>
        <v>61921.664999999994</v>
      </c>
      <c r="E31" s="400">
        <f>C31*$S$2*0.75</f>
        <v>47810.043449999997</v>
      </c>
      <c r="F31" s="400">
        <f>C31*($S$2*$T$15)*0.25</f>
        <v>16697.310127409353</v>
      </c>
      <c r="G31" s="400">
        <f t="shared" si="8"/>
        <v>64507.353577409347</v>
      </c>
      <c r="H31" s="401"/>
      <c r="I31" s="401"/>
      <c r="J31" s="390"/>
    </row>
    <row r="32" spans="1:20">
      <c r="A32" s="389" t="s">
        <v>112</v>
      </c>
      <c r="B32" s="389"/>
      <c r="C32" s="387">
        <f>SUM(C28:C31)</f>
        <v>586514.5</v>
      </c>
      <c r="D32" s="387">
        <f>SUM(D28:D31)</f>
        <v>143158.85119999998</v>
      </c>
      <c r="E32" s="403">
        <f>SUM(E28:E31)</f>
        <v>116284.920075</v>
      </c>
      <c r="F32" s="403">
        <f>SUM(F28:F31)</f>
        <v>41888.195237534943</v>
      </c>
      <c r="G32" s="403">
        <f t="shared" si="8"/>
        <v>158173.11531253494</v>
      </c>
      <c r="H32" s="402">
        <f>G32</f>
        <v>158173.11531253494</v>
      </c>
      <c r="I32" s="402">
        <f>H32-D32</f>
        <v>15014.264112534962</v>
      </c>
      <c r="J32" s="390"/>
    </row>
    <row r="33" spans="1:10">
      <c r="A33" s="392" t="s">
        <v>45</v>
      </c>
      <c r="B33" s="392" t="s">
        <v>107</v>
      </c>
      <c r="C33" s="391">
        <v>1914920.07</v>
      </c>
      <c r="D33" s="391">
        <f>C33*$M$3</f>
        <v>228066.98033700002</v>
      </c>
      <c r="E33" s="400">
        <f>C33*$M$2*0.75</f>
        <v>194890.99012424998</v>
      </c>
      <c r="F33" s="400">
        <f>C33*($M$2*$N$15)*0.25</f>
        <v>73128.874588757768</v>
      </c>
      <c r="G33" s="400">
        <f t="shared" si="8"/>
        <v>268019.86471300776</v>
      </c>
      <c r="H33" s="401"/>
      <c r="I33" s="401"/>
      <c r="J33" s="390"/>
    </row>
    <row r="34" spans="1:10">
      <c r="A34" s="392" t="s">
        <v>45</v>
      </c>
      <c r="B34" s="392" t="s">
        <v>108</v>
      </c>
      <c r="C34" s="391">
        <v>218613.59</v>
      </c>
      <c r="D34" s="391">
        <f>C34*$O$3</f>
        <v>69016.310362999997</v>
      </c>
      <c r="E34" s="400">
        <f>C34*$O$2*0.75</f>
        <v>56599.058450999997</v>
      </c>
      <c r="F34" s="400">
        <f>C34*($O$2*$P$15)*0.25</f>
        <v>20369.53864673918</v>
      </c>
      <c r="G34" s="400">
        <f t="shared" si="8"/>
        <v>76968.59709773917</v>
      </c>
      <c r="H34" s="401"/>
      <c r="I34" s="401"/>
      <c r="J34" s="390"/>
    </row>
    <row r="35" spans="1:10">
      <c r="A35" s="392" t="s">
        <v>45</v>
      </c>
      <c r="B35" s="392" t="s">
        <v>109</v>
      </c>
      <c r="C35" s="391">
        <v>395193.06</v>
      </c>
      <c r="D35" s="391">
        <f>C35*$Q$3</f>
        <v>73505.909159999996</v>
      </c>
      <c r="E35" s="400">
        <f>C35*$Q$2*0.75</f>
        <v>62628.220183500001</v>
      </c>
      <c r="F35" s="400">
        <f>C35*($Q$2*$R$15)*0.25</f>
        <v>22928.745123760946</v>
      </c>
      <c r="G35" s="400">
        <f t="shared" si="8"/>
        <v>85556.965307260951</v>
      </c>
      <c r="H35" s="401"/>
      <c r="I35" s="401"/>
      <c r="J35" s="390"/>
    </row>
    <row r="36" spans="1:10">
      <c r="A36" s="392" t="s">
        <v>45</v>
      </c>
      <c r="B36" s="392" t="s">
        <v>110</v>
      </c>
      <c r="C36" s="391">
        <v>116686.56919400001</v>
      </c>
      <c r="D36" s="391">
        <f>C36*$S$3</f>
        <v>66511.344440579996</v>
      </c>
      <c r="E36" s="400">
        <f>C36*$S$2*0.75</f>
        <v>51353.759102279408</v>
      </c>
      <c r="F36" s="400">
        <f>C36*($S$2*$T$15)*0.25</f>
        <v>17934.927058490892</v>
      </c>
      <c r="G36" s="400">
        <f t="shared" si="8"/>
        <v>69288.686160770303</v>
      </c>
      <c r="H36" s="401"/>
      <c r="I36" s="401"/>
      <c r="J36" s="390"/>
    </row>
    <row r="37" spans="1:10">
      <c r="A37" s="389" t="s">
        <v>113</v>
      </c>
      <c r="B37" s="389"/>
      <c r="C37" s="387">
        <f>SUM(C33:C36)</f>
        <v>2645413.2891940004</v>
      </c>
      <c r="D37" s="387">
        <f>SUM(D33:D36)</f>
        <v>437100.54430057999</v>
      </c>
      <c r="E37" s="403">
        <f>SUM(E33:E36)</f>
        <v>365472.02786102938</v>
      </c>
      <c r="F37" s="403">
        <f>SUM(F33:F36)</f>
        <v>134362.08541774878</v>
      </c>
      <c r="G37" s="403">
        <f t="shared" si="8"/>
        <v>499834.11327877815</v>
      </c>
      <c r="H37" s="402">
        <f>G37</f>
        <v>499834.11327877815</v>
      </c>
      <c r="I37" s="402">
        <f>H37-D37</f>
        <v>62733.568978198164</v>
      </c>
      <c r="J37" s="390"/>
    </row>
    <row r="38" spans="1:10">
      <c r="A38" s="392" t="s">
        <v>16</v>
      </c>
      <c r="B38" s="392" t="s">
        <v>107</v>
      </c>
      <c r="C38" s="391">
        <v>473412.82</v>
      </c>
      <c r="D38" s="391">
        <f>C38*$M$3</f>
        <v>56383.466862000001</v>
      </c>
      <c r="E38" s="400">
        <f>C38*$M$2*0.75</f>
        <v>48181.589755499997</v>
      </c>
      <c r="F38" s="400">
        <f>C38*($M$2*$N$15)*0.25</f>
        <v>18079.160213977055</v>
      </c>
      <c r="G38" s="400">
        <f t="shared" si="8"/>
        <v>66260.749969477052</v>
      </c>
      <c r="H38" s="401"/>
      <c r="I38" s="401"/>
      <c r="J38" s="390"/>
    </row>
    <row r="39" spans="1:10">
      <c r="A39" s="392" t="s">
        <v>16</v>
      </c>
      <c r="B39" s="392" t="s">
        <v>108</v>
      </c>
      <c r="C39" s="391">
        <v>79573.52</v>
      </c>
      <c r="D39" s="391">
        <f>C39*$O$3</f>
        <v>25121.360263999999</v>
      </c>
      <c r="E39" s="400">
        <f>C39*$O$2*0.75</f>
        <v>20601.584328000001</v>
      </c>
      <c r="F39" s="400">
        <f>C39*($O$2*$P$15)*0.25</f>
        <v>7414.3418572334549</v>
      </c>
      <c r="G39" s="400">
        <f t="shared" si="8"/>
        <v>28015.926185233457</v>
      </c>
      <c r="H39" s="401"/>
      <c r="I39" s="401"/>
      <c r="J39" s="390"/>
    </row>
    <row r="40" spans="1:10">
      <c r="A40" s="392" t="s">
        <v>16</v>
      </c>
      <c r="B40" s="392" t="s">
        <v>109</v>
      </c>
      <c r="C40" s="391">
        <v>0</v>
      </c>
      <c r="D40" s="391">
        <f>C40*$Q$3</f>
        <v>0</v>
      </c>
      <c r="E40" s="400">
        <f>C40*$Q$2*0.75</f>
        <v>0</v>
      </c>
      <c r="F40" s="400">
        <f>C40*($Q$2*$R$15)*0.25</f>
        <v>0</v>
      </c>
      <c r="G40" s="400"/>
      <c r="H40" s="401"/>
      <c r="I40" s="401"/>
      <c r="J40" s="390"/>
    </row>
    <row r="41" spans="1:10">
      <c r="A41" s="392" t="s">
        <v>16</v>
      </c>
      <c r="B41" s="392" t="s">
        <v>110</v>
      </c>
      <c r="C41" s="391">
        <v>71047.199999999997</v>
      </c>
      <c r="D41" s="391">
        <f>C41*$S$3</f>
        <v>40496.903999999995</v>
      </c>
      <c r="E41" s="400">
        <f>C41*$S$2*0.75</f>
        <v>31267.872719999999</v>
      </c>
      <c r="F41" s="400">
        <f>C41*($S$2*$T$15)*0.25</f>
        <v>10920.077250634722</v>
      </c>
      <c r="G41" s="400">
        <f t="shared" ref="G41:G104" si="9">E41+F41</f>
        <v>42187.94997063472</v>
      </c>
      <c r="H41" s="401"/>
      <c r="I41" s="401"/>
      <c r="J41" s="390"/>
    </row>
    <row r="42" spans="1:10">
      <c r="A42" s="389" t="s">
        <v>114</v>
      </c>
      <c r="B42" s="389"/>
      <c r="C42" s="387">
        <f>SUM(C38:C41)</f>
        <v>624033.53999999992</v>
      </c>
      <c r="D42" s="387">
        <f>SUM(D38:D41)</f>
        <v>122001.731126</v>
      </c>
      <c r="E42" s="403">
        <f>SUM(E38:E41)</f>
        <v>100051.04680349999</v>
      </c>
      <c r="F42" s="403">
        <f>SUM(F38:F41)</f>
        <v>36413.579321845231</v>
      </c>
      <c r="G42" s="403">
        <f t="shared" si="9"/>
        <v>136464.62612534524</v>
      </c>
      <c r="H42" s="402">
        <f>G42</f>
        <v>136464.62612534524</v>
      </c>
      <c r="I42" s="402">
        <f>H42-D42</f>
        <v>14462.894999345241</v>
      </c>
      <c r="J42" s="390"/>
    </row>
    <row r="43" spans="1:10">
      <c r="A43" s="392" t="s">
        <v>46</v>
      </c>
      <c r="B43" s="392" t="s">
        <v>107</v>
      </c>
      <c r="C43" s="391">
        <v>6318533.3700000001</v>
      </c>
      <c r="D43" s="391">
        <f>C43*$M$3</f>
        <v>752537.32436700002</v>
      </c>
      <c r="E43" s="400">
        <f>C43*$M$2*0.75</f>
        <v>643068.73373174993</v>
      </c>
      <c r="F43" s="400">
        <f>C43*($M$2*$N$15)*0.25</f>
        <v>241298.44458709494</v>
      </c>
      <c r="G43" s="400">
        <f t="shared" si="9"/>
        <v>884367.17831884488</v>
      </c>
      <c r="H43" s="401"/>
      <c r="I43" s="401"/>
      <c r="J43" s="390"/>
    </row>
    <row r="44" spans="1:10">
      <c r="A44" s="392" t="s">
        <v>46</v>
      </c>
      <c r="B44" s="392" t="s">
        <v>108</v>
      </c>
      <c r="C44" s="391">
        <v>202982.2</v>
      </c>
      <c r="D44" s="391">
        <f>C44*$O$3</f>
        <v>64081.480539999997</v>
      </c>
      <c r="E44" s="400">
        <f>C44*$O$2*0.75</f>
        <v>52552.091580000008</v>
      </c>
      <c r="F44" s="400">
        <f>C44*($O$2*$P$15)*0.25</f>
        <v>18913.068338981771</v>
      </c>
      <c r="G44" s="400">
        <f t="shared" si="9"/>
        <v>71465.159918981779</v>
      </c>
      <c r="H44" s="401"/>
      <c r="I44" s="401"/>
      <c r="J44" s="390"/>
    </row>
    <row r="45" spans="1:10">
      <c r="A45" s="392" t="s">
        <v>46</v>
      </c>
      <c r="B45" s="392" t="s">
        <v>109</v>
      </c>
      <c r="C45" s="391">
        <v>998289.07</v>
      </c>
      <c r="D45" s="391">
        <f>C45*$Q$3</f>
        <v>185681.76702</v>
      </c>
      <c r="E45" s="400">
        <f>C45*$Q$2*0.75</f>
        <v>158203.86036824997</v>
      </c>
      <c r="F45" s="400">
        <f>C45*($Q$2*$R$15)*0.25</f>
        <v>57919.832007845347</v>
      </c>
      <c r="G45" s="400">
        <f t="shared" si="9"/>
        <v>216123.69237609531</v>
      </c>
      <c r="H45" s="401"/>
      <c r="I45" s="401"/>
      <c r="J45" s="390"/>
    </row>
    <row r="46" spans="1:10">
      <c r="A46" s="392" t="s">
        <v>46</v>
      </c>
      <c r="B46" s="392" t="s">
        <v>110</v>
      </c>
      <c r="C46" s="391">
        <v>118585.5</v>
      </c>
      <c r="D46" s="391">
        <f>C46*$S$3</f>
        <v>67593.735000000001</v>
      </c>
      <c r="E46" s="400">
        <f>C46*$S$2*0.75</f>
        <v>52189.47855</v>
      </c>
      <c r="F46" s="400">
        <f>C46*($S$2*$T$15)*0.25</f>
        <v>18226.796000477767</v>
      </c>
      <c r="G46" s="400">
        <f t="shared" si="9"/>
        <v>70416.27455047777</v>
      </c>
      <c r="H46" s="401"/>
      <c r="I46" s="401"/>
      <c r="J46" s="390"/>
    </row>
    <row r="47" spans="1:10">
      <c r="A47" s="389" t="s">
        <v>115</v>
      </c>
      <c r="B47" s="389"/>
      <c r="C47" s="387">
        <f>SUM(C43:C46)</f>
        <v>7638390.1400000006</v>
      </c>
      <c r="D47" s="387">
        <f>SUM(D43:D46)</f>
        <v>1069894.3069270002</v>
      </c>
      <c r="E47" s="403">
        <f>SUM(E43:E46)</f>
        <v>906014.16422999988</v>
      </c>
      <c r="F47" s="403">
        <f>SUM(F43:F46)</f>
        <v>336358.14093439979</v>
      </c>
      <c r="G47" s="403">
        <f t="shared" si="9"/>
        <v>1242372.3051643996</v>
      </c>
      <c r="H47" s="402">
        <f>G47</f>
        <v>1242372.3051643996</v>
      </c>
      <c r="I47" s="402">
        <f>H47-D47</f>
        <v>172477.99823739938</v>
      </c>
      <c r="J47" s="390"/>
    </row>
    <row r="48" spans="1:10">
      <c r="A48" s="392" t="s">
        <v>63</v>
      </c>
      <c r="B48" s="392" t="s">
        <v>107</v>
      </c>
      <c r="C48" s="391">
        <v>21991901.489999998</v>
      </c>
      <c r="D48" s="391">
        <f>C48*$M$3</f>
        <v>2619235.4674589997</v>
      </c>
      <c r="E48" s="400">
        <f>C48*$M$2*0.75</f>
        <v>2238225.7741447496</v>
      </c>
      <c r="F48" s="400">
        <f>C48*($M$2*$N$15)*0.25</f>
        <v>839848.63453362044</v>
      </c>
      <c r="G48" s="400">
        <f t="shared" si="9"/>
        <v>3078074.4086783701</v>
      </c>
      <c r="H48" s="401"/>
      <c r="I48" s="401"/>
      <c r="J48" s="390"/>
    </row>
    <row r="49" spans="1:10">
      <c r="A49" s="392" t="s">
        <v>63</v>
      </c>
      <c r="B49" s="392" t="s">
        <v>108</v>
      </c>
      <c r="C49" s="391">
        <v>1414659.27</v>
      </c>
      <c r="D49" s="391">
        <f>C49*$O$3</f>
        <v>446607.93153899995</v>
      </c>
      <c r="E49" s="400">
        <f>C49*$O$2*0.75</f>
        <v>366255.28500300006</v>
      </c>
      <c r="F49" s="400">
        <f>C49*($O$2*$P$15)*0.25</f>
        <v>131812.28427854297</v>
      </c>
      <c r="G49" s="400">
        <f t="shared" si="9"/>
        <v>498067.56928154302</v>
      </c>
      <c r="H49" s="401"/>
      <c r="I49" s="401"/>
      <c r="J49" s="390"/>
    </row>
    <row r="50" spans="1:10">
      <c r="A50" s="392" t="s">
        <v>63</v>
      </c>
      <c r="B50" s="392" t="s">
        <v>109</v>
      </c>
      <c r="C50" s="391">
        <v>2179487.37</v>
      </c>
      <c r="D50" s="391">
        <f>C50*$Q$3</f>
        <v>405384.65082000004</v>
      </c>
      <c r="E50" s="400">
        <f>C50*$Q$2*0.75</f>
        <v>345394.26096074999</v>
      </c>
      <c r="F50" s="400">
        <f>C50*($Q$2*$R$15)*0.25</f>
        <v>126451.89267034717</v>
      </c>
      <c r="G50" s="400">
        <f t="shared" si="9"/>
        <v>471846.15363109717</v>
      </c>
      <c r="H50" s="401"/>
      <c r="I50" s="401"/>
      <c r="J50" s="390"/>
    </row>
    <row r="51" spans="1:10">
      <c r="A51" s="392" t="s">
        <v>63</v>
      </c>
      <c r="B51" s="392" t="s">
        <v>110</v>
      </c>
      <c r="C51" s="391">
        <v>203466</v>
      </c>
      <c r="D51" s="391">
        <f>C51*$S$3</f>
        <v>115975.62</v>
      </c>
      <c r="E51" s="400">
        <f>C51*$S$2*0.75</f>
        <v>89545.386599999998</v>
      </c>
      <c r="F51" s="400">
        <f>C51*($S$2*$T$15)*0.25</f>
        <v>31273.075334110908</v>
      </c>
      <c r="G51" s="400">
        <f t="shared" si="9"/>
        <v>120818.46193411091</v>
      </c>
      <c r="H51" s="401"/>
      <c r="I51" s="401"/>
      <c r="J51" s="390"/>
    </row>
    <row r="52" spans="1:10">
      <c r="A52" s="389" t="s">
        <v>116</v>
      </c>
      <c r="B52" s="389"/>
      <c r="C52" s="387">
        <f>SUM(C48:C51)</f>
        <v>25789514.129999999</v>
      </c>
      <c r="D52" s="387">
        <f>SUM(D48:D51)</f>
        <v>3587203.6698179999</v>
      </c>
      <c r="E52" s="403">
        <f>SUM(E48:E51)</f>
        <v>3039420.7067084992</v>
      </c>
      <c r="F52" s="403">
        <f>SUM(F48:F51)</f>
        <v>1129385.8868166215</v>
      </c>
      <c r="G52" s="403">
        <f t="shared" si="9"/>
        <v>4168806.593525121</v>
      </c>
      <c r="H52" s="402">
        <f>G52</f>
        <v>4168806.593525121</v>
      </c>
      <c r="I52" s="402">
        <f>H52-D52</f>
        <v>581602.92370712105</v>
      </c>
      <c r="J52" s="390"/>
    </row>
    <row r="53" spans="1:10">
      <c r="A53" s="392" t="s">
        <v>1</v>
      </c>
      <c r="B53" s="392" t="s">
        <v>107</v>
      </c>
      <c r="C53" s="391">
        <v>238854.72</v>
      </c>
      <c r="D53" s="391">
        <f>C53*$M$3</f>
        <v>28447.597151999998</v>
      </c>
      <c r="E53" s="400">
        <f>C53*$M$2*0.75</f>
        <v>24309.439127999998</v>
      </c>
      <c r="F53" s="400">
        <f>C53*($M$2*$N$15)*0.25</f>
        <v>9121.6219086433466</v>
      </c>
      <c r="G53" s="400">
        <f t="shared" si="9"/>
        <v>33431.061036643347</v>
      </c>
      <c r="H53" s="401"/>
      <c r="I53" s="401"/>
      <c r="J53" s="390"/>
    </row>
    <row r="54" spans="1:10">
      <c r="A54" s="392" t="s">
        <v>1</v>
      </c>
      <c r="B54" s="392" t="s">
        <v>108</v>
      </c>
      <c r="C54" s="391">
        <v>0</v>
      </c>
      <c r="D54" s="391">
        <f>C54*$O$3</f>
        <v>0</v>
      </c>
      <c r="E54" s="400">
        <f>C54*$O$2*0.75</f>
        <v>0</v>
      </c>
      <c r="F54" s="400">
        <f>C54*($O$2*$P$15)*0.25</f>
        <v>0</v>
      </c>
      <c r="G54" s="400">
        <f t="shared" si="9"/>
        <v>0</v>
      </c>
      <c r="H54" s="401"/>
      <c r="I54" s="401"/>
      <c r="J54" s="390"/>
    </row>
    <row r="55" spans="1:10">
      <c r="A55" s="392" t="s">
        <v>1</v>
      </c>
      <c r="B55" s="392" t="s">
        <v>109</v>
      </c>
      <c r="C55" s="391">
        <v>26375.3</v>
      </c>
      <c r="D55" s="391">
        <f>C55*$Q$3</f>
        <v>4905.8058000000001</v>
      </c>
      <c r="E55" s="400">
        <f>C55*$Q$2*0.75</f>
        <v>4179.8256674999993</v>
      </c>
      <c r="F55" s="400">
        <f>C55*($Q$2*$R$15)*0.25</f>
        <v>1530.271131944301</v>
      </c>
      <c r="G55" s="400">
        <f t="shared" si="9"/>
        <v>5710.0967994442999</v>
      </c>
      <c r="H55" s="401"/>
      <c r="I55" s="401"/>
      <c r="J55" s="390"/>
    </row>
    <row r="56" spans="1:10">
      <c r="A56" s="392" t="s">
        <v>1</v>
      </c>
      <c r="B56" s="392" t="s">
        <v>110</v>
      </c>
      <c r="C56" s="391">
        <v>63105.350000000006</v>
      </c>
      <c r="D56" s="391">
        <f>C56*$S$3</f>
        <v>35970.049500000001</v>
      </c>
      <c r="E56" s="400">
        <f>C56*$S$2*0.75</f>
        <v>27772.664535000004</v>
      </c>
      <c r="F56" s="400">
        <f>C56*($S$2*$T$15)*0.25</f>
        <v>9699.4011998832048</v>
      </c>
      <c r="G56" s="400">
        <f t="shared" si="9"/>
        <v>37472.06573488321</v>
      </c>
      <c r="H56" s="401"/>
      <c r="I56" s="401"/>
      <c r="J56" s="390"/>
    </row>
    <row r="57" spans="1:10">
      <c r="A57" s="389" t="s">
        <v>117</v>
      </c>
      <c r="B57" s="389"/>
      <c r="C57" s="387">
        <f>SUM(C53:C56)</f>
        <v>328335.37</v>
      </c>
      <c r="D57" s="387">
        <f>SUM(D53:D56)</f>
        <v>69323.452451999998</v>
      </c>
      <c r="E57" s="403">
        <f>SUM(E53:E56)</f>
        <v>56261.929330500003</v>
      </c>
      <c r="F57" s="403">
        <f>SUM(F53:F56)</f>
        <v>20351.294240470852</v>
      </c>
      <c r="G57" s="403">
        <f t="shared" si="9"/>
        <v>76613.223570970848</v>
      </c>
      <c r="H57" s="402">
        <f>G57</f>
        <v>76613.223570970848</v>
      </c>
      <c r="I57" s="402">
        <f>H57-D57</f>
        <v>7289.7711189708498</v>
      </c>
      <c r="J57" s="390"/>
    </row>
    <row r="58" spans="1:10">
      <c r="A58" s="392" t="s">
        <v>37</v>
      </c>
      <c r="B58" s="392" t="s">
        <v>107</v>
      </c>
      <c r="C58" s="391">
        <v>1956173.98</v>
      </c>
      <c r="D58" s="391">
        <f>C58*$M$3</f>
        <v>232980.32101799999</v>
      </c>
      <c r="E58" s="400">
        <f>C58*$M$2*0.75</f>
        <v>199089.60681449997</v>
      </c>
      <c r="F58" s="400">
        <f>C58*($M$2*$N$15)*0.25</f>
        <v>74704.319986165865</v>
      </c>
      <c r="G58" s="400">
        <f t="shared" si="9"/>
        <v>273793.92680066585</v>
      </c>
      <c r="H58" s="401"/>
      <c r="I58" s="401"/>
      <c r="J58" s="390"/>
    </row>
    <row r="59" spans="1:10">
      <c r="A59" s="392" t="s">
        <v>37</v>
      </c>
      <c r="B59" s="392" t="s">
        <v>108</v>
      </c>
      <c r="C59" s="391">
        <v>239647.23</v>
      </c>
      <c r="D59" s="391">
        <f>C59*$O$3</f>
        <v>75656.630510999996</v>
      </c>
      <c r="E59" s="400">
        <f>C59*$O$2*0.75</f>
        <v>62044.667847000004</v>
      </c>
      <c r="F59" s="400">
        <f>C59*($O$2*$P$15)*0.25</f>
        <v>22329.368970469735</v>
      </c>
      <c r="G59" s="400">
        <f t="shared" si="9"/>
        <v>84374.036817469736</v>
      </c>
      <c r="H59" s="401"/>
      <c r="I59" s="401"/>
      <c r="J59" s="390"/>
    </row>
    <row r="60" spans="1:10">
      <c r="A60" s="392" t="s">
        <v>37</v>
      </c>
      <c r="B60" s="392" t="s">
        <v>109</v>
      </c>
      <c r="C60" s="391">
        <v>44168</v>
      </c>
      <c r="D60" s="391">
        <f>C60*$Q$3</f>
        <v>8215.2479999999996</v>
      </c>
      <c r="E60" s="400">
        <f>C60*$Q$2*0.75</f>
        <v>6999.523799999999</v>
      </c>
      <c r="F60" s="400">
        <f>C60*($Q$2*$R$15)*0.25</f>
        <v>2562.5875480360751</v>
      </c>
      <c r="G60" s="400">
        <f t="shared" si="9"/>
        <v>9562.1113480360746</v>
      </c>
      <c r="H60" s="401"/>
      <c r="I60" s="401"/>
      <c r="J60" s="390"/>
    </row>
    <row r="61" spans="1:10">
      <c r="A61" s="392" t="s">
        <v>37</v>
      </c>
      <c r="B61" s="392" t="s">
        <v>110</v>
      </c>
      <c r="C61" s="391">
        <v>84539.4</v>
      </c>
      <c r="D61" s="391">
        <f>C61*$S$3</f>
        <v>48187.457999999991</v>
      </c>
      <c r="E61" s="400">
        <f>C61*$S$2*0.75</f>
        <v>37205.789939999995</v>
      </c>
      <c r="F61" s="400">
        <f>C61*($S$2*$T$15)*0.25</f>
        <v>12993.851674975354</v>
      </c>
      <c r="G61" s="400">
        <f t="shared" si="9"/>
        <v>50199.64161497535</v>
      </c>
      <c r="H61" s="401"/>
      <c r="I61" s="401"/>
      <c r="J61" s="390"/>
    </row>
    <row r="62" spans="1:10">
      <c r="A62" s="389" t="s">
        <v>118</v>
      </c>
      <c r="B62" s="389"/>
      <c r="C62" s="387">
        <f>SUM(C58:C61)</f>
        <v>2324528.61</v>
      </c>
      <c r="D62" s="387">
        <f>SUM(D58:D61)</f>
        <v>365039.65752899996</v>
      </c>
      <c r="E62" s="403">
        <f>SUM(E58:E61)</f>
        <v>305339.58840149996</v>
      </c>
      <c r="F62" s="403">
        <f>SUM(F58:F61)</f>
        <v>112590.12817964703</v>
      </c>
      <c r="G62" s="403">
        <f t="shared" si="9"/>
        <v>417929.71658114699</v>
      </c>
      <c r="H62" s="402">
        <f>G62</f>
        <v>417929.71658114699</v>
      </c>
      <c r="I62" s="402">
        <f>H62-D62</f>
        <v>52890.059052147029</v>
      </c>
      <c r="J62" s="390"/>
    </row>
    <row r="63" spans="1:10">
      <c r="A63" s="392" t="s">
        <v>27</v>
      </c>
      <c r="B63" s="392" t="s">
        <v>107</v>
      </c>
      <c r="C63" s="391">
        <v>2331510.44</v>
      </c>
      <c r="D63" s="391">
        <f>C63*$M$3</f>
        <v>277682.89340399997</v>
      </c>
      <c r="E63" s="400">
        <f>C63*$M$2*0.75</f>
        <v>237289.47503099995</v>
      </c>
      <c r="F63" s="400">
        <f>C63*($M$2*$N$15)*0.25</f>
        <v>89038.042496018868</v>
      </c>
      <c r="G63" s="400">
        <f t="shared" si="9"/>
        <v>326327.51752701879</v>
      </c>
      <c r="H63" s="401"/>
      <c r="I63" s="401"/>
      <c r="J63" s="390"/>
    </row>
    <row r="64" spans="1:10">
      <c r="A64" s="392" t="s">
        <v>27</v>
      </c>
      <c r="B64" s="392" t="s">
        <v>108</v>
      </c>
      <c r="C64" s="391">
        <v>148973.89000000001</v>
      </c>
      <c r="D64" s="391">
        <f>C64*$O$3</f>
        <v>47031.057073000004</v>
      </c>
      <c r="E64" s="400">
        <f>C64*$O$2*0.75</f>
        <v>38569.340121000001</v>
      </c>
      <c r="F64" s="400">
        <f>C64*($O$2*$P$15)*0.25</f>
        <v>13880.790346611442</v>
      </c>
      <c r="G64" s="400">
        <f t="shared" si="9"/>
        <v>52450.130467611445</v>
      </c>
      <c r="H64" s="401"/>
      <c r="I64" s="401"/>
      <c r="J64" s="390"/>
    </row>
    <row r="65" spans="1:10">
      <c r="A65" s="392" t="s">
        <v>27</v>
      </c>
      <c r="B65" s="392" t="s">
        <v>109</v>
      </c>
      <c r="C65" s="391">
        <v>157093.01999999999</v>
      </c>
      <c r="D65" s="391">
        <f>C65*$Q$3</f>
        <v>29219.301719999999</v>
      </c>
      <c r="E65" s="400">
        <f>C65*$Q$2*0.75</f>
        <v>24895.316344499995</v>
      </c>
      <c r="F65" s="400">
        <f>C65*($Q$2*$R$15)*0.25</f>
        <v>9114.3954205619921</v>
      </c>
      <c r="G65" s="400">
        <f t="shared" si="9"/>
        <v>34009.711765061991</v>
      </c>
      <c r="H65" s="401"/>
      <c r="I65" s="401"/>
      <c r="J65" s="390"/>
    </row>
    <row r="66" spans="1:10">
      <c r="A66" s="392" t="s">
        <v>27</v>
      </c>
      <c r="B66" s="392" t="s">
        <v>110</v>
      </c>
      <c r="C66" s="391">
        <v>99886.2</v>
      </c>
      <c r="D66" s="391">
        <f>C66*$S$3</f>
        <v>56935.133999999991</v>
      </c>
      <c r="E66" s="400">
        <f>C66*$S$2*0.75</f>
        <v>43959.916619999996</v>
      </c>
      <c r="F66" s="400">
        <f>C66*($S$2*$T$15)*0.25</f>
        <v>15352.681319916197</v>
      </c>
      <c r="G66" s="400">
        <f t="shared" si="9"/>
        <v>59312.597939916195</v>
      </c>
      <c r="H66" s="401"/>
      <c r="I66" s="401"/>
      <c r="J66" s="390"/>
    </row>
    <row r="67" spans="1:10">
      <c r="A67" s="389" t="s">
        <v>119</v>
      </c>
      <c r="B67" s="389"/>
      <c r="C67" s="387">
        <f>SUM(C63:C66)</f>
        <v>2737463.5500000003</v>
      </c>
      <c r="D67" s="387">
        <f>SUM(D63:D66)</f>
        <v>410868.38619699993</v>
      </c>
      <c r="E67" s="403">
        <f>SUM(E63:E66)</f>
        <v>344714.04811649991</v>
      </c>
      <c r="F67" s="403">
        <f>SUM(F63:F66)</f>
        <v>127385.9095831085</v>
      </c>
      <c r="G67" s="403">
        <f t="shared" si="9"/>
        <v>472099.95769960841</v>
      </c>
      <c r="H67" s="402">
        <f>G67</f>
        <v>472099.95769960841</v>
      </c>
      <c r="I67" s="402">
        <f>H67-D67</f>
        <v>61231.57150260848</v>
      </c>
      <c r="J67" s="390"/>
    </row>
    <row r="68" spans="1:10">
      <c r="A68" s="392" t="s">
        <v>38</v>
      </c>
      <c r="B68" s="392" t="s">
        <v>107</v>
      </c>
      <c r="C68" s="391">
        <v>2124519.33</v>
      </c>
      <c r="D68" s="391">
        <f>C68*$M$3</f>
        <v>253030.25220300001</v>
      </c>
      <c r="E68" s="400">
        <f>C68*$M$2*0.75</f>
        <v>216222.95481074997</v>
      </c>
      <c r="F68" s="400">
        <f>C68*($M$2*$N$15)*0.25</f>
        <v>81133.259857139448</v>
      </c>
      <c r="G68" s="400">
        <f t="shared" si="9"/>
        <v>297356.21466788941</v>
      </c>
      <c r="H68" s="401"/>
      <c r="I68" s="401"/>
      <c r="J68" s="390"/>
    </row>
    <row r="69" spans="1:10">
      <c r="A69" s="392" t="s">
        <v>38</v>
      </c>
      <c r="B69" s="392" t="s">
        <v>108</v>
      </c>
      <c r="C69" s="391">
        <v>507140.8</v>
      </c>
      <c r="D69" s="391">
        <f>C69*$O$3</f>
        <v>160104.35055999999</v>
      </c>
      <c r="E69" s="400">
        <f>C69*$O$2*0.75</f>
        <v>131298.75312000001</v>
      </c>
      <c r="F69" s="400">
        <f>C69*($O$2*$P$15)*0.25</f>
        <v>47253.348362003591</v>
      </c>
      <c r="G69" s="400">
        <f t="shared" si="9"/>
        <v>178552.10148200361</v>
      </c>
      <c r="H69" s="401"/>
      <c r="I69" s="401"/>
      <c r="J69" s="390"/>
    </row>
    <row r="70" spans="1:10">
      <c r="A70" s="392" t="s">
        <v>38</v>
      </c>
      <c r="B70" s="392" t="s">
        <v>109</v>
      </c>
      <c r="C70" s="391">
        <v>107801.17</v>
      </c>
      <c r="D70" s="391">
        <f>C70*$Q$3</f>
        <v>20051.017619999999</v>
      </c>
      <c r="E70" s="400">
        <f>C70*$Q$2*0.75</f>
        <v>17083.790415749998</v>
      </c>
      <c r="F70" s="400">
        <f>C70*($Q$2*$R$15)*0.25</f>
        <v>6254.526714040031</v>
      </c>
      <c r="G70" s="400">
        <f t="shared" si="9"/>
        <v>23338.31712979003</v>
      </c>
      <c r="H70" s="401"/>
      <c r="I70" s="401"/>
      <c r="J70" s="390"/>
    </row>
    <row r="71" spans="1:10">
      <c r="A71" s="392" t="s">
        <v>38</v>
      </c>
      <c r="B71" s="392" t="s">
        <v>110</v>
      </c>
      <c r="C71" s="391">
        <v>100142.25</v>
      </c>
      <c r="D71" s="391">
        <f>C71*$S$3</f>
        <v>57081.082499999997</v>
      </c>
      <c r="E71" s="400">
        <f>C71*$S$2*0.75</f>
        <v>44072.604225000003</v>
      </c>
      <c r="F71" s="400">
        <f>C71*($S$2*$T$15)*0.25</f>
        <v>15392.036646797835</v>
      </c>
      <c r="G71" s="400">
        <f t="shared" si="9"/>
        <v>59464.640871797834</v>
      </c>
      <c r="H71" s="401"/>
      <c r="I71" s="401"/>
      <c r="J71" s="390"/>
    </row>
    <row r="72" spans="1:10">
      <c r="A72" s="389" t="s">
        <v>120</v>
      </c>
      <c r="B72" s="389"/>
      <c r="C72" s="387">
        <f>SUM(C68:C71)</f>
        <v>2839603.55</v>
      </c>
      <c r="D72" s="387">
        <f>SUM(D68:D71)</f>
        <v>490266.70288300002</v>
      </c>
      <c r="E72" s="403">
        <f>SUM(E68:E71)</f>
        <v>408678.1025715</v>
      </c>
      <c r="F72" s="403">
        <f>SUM(F68:F71)</f>
        <v>150033.1715799809</v>
      </c>
      <c r="G72" s="403">
        <f t="shared" si="9"/>
        <v>558711.27415148087</v>
      </c>
      <c r="H72" s="402">
        <f>G72</f>
        <v>558711.27415148087</v>
      </c>
      <c r="I72" s="402">
        <f>H72-D72</f>
        <v>68444.571268480853</v>
      </c>
      <c r="J72" s="390"/>
    </row>
    <row r="73" spans="1:10">
      <c r="A73" s="392" t="s">
        <v>47</v>
      </c>
      <c r="B73" s="392" t="s">
        <v>107</v>
      </c>
      <c r="C73" s="391">
        <v>4811350.67</v>
      </c>
      <c r="D73" s="391">
        <f>C73*$M$3</f>
        <v>573031.86479699996</v>
      </c>
      <c r="E73" s="400">
        <f>C73*$M$2*0.75</f>
        <v>489675.21443924995</v>
      </c>
      <c r="F73" s="400">
        <f>C73*($M$2*$N$15)*0.25</f>
        <v>183740.65072541937</v>
      </c>
      <c r="G73" s="400">
        <f t="shared" si="9"/>
        <v>673415.86516466935</v>
      </c>
      <c r="H73" s="401"/>
      <c r="I73" s="401"/>
      <c r="J73" s="390"/>
    </row>
    <row r="74" spans="1:10">
      <c r="A74" s="392" t="s">
        <v>47</v>
      </c>
      <c r="B74" s="392" t="s">
        <v>108</v>
      </c>
      <c r="C74" s="391">
        <v>207360.19</v>
      </c>
      <c r="D74" s="391">
        <f>C74*$O$3</f>
        <v>65463.611982999995</v>
      </c>
      <c r="E74" s="400">
        <f>C74*$O$2*0.75</f>
        <v>53685.553190999999</v>
      </c>
      <c r="F74" s="400">
        <f>C74*($O$2*$P$15)*0.25</f>
        <v>19320.991910887969</v>
      </c>
      <c r="G74" s="400">
        <f t="shared" si="9"/>
        <v>73006.545101887968</v>
      </c>
      <c r="H74" s="401"/>
      <c r="I74" s="401"/>
      <c r="J74" s="390"/>
    </row>
    <row r="75" spans="1:10">
      <c r="A75" s="392" t="s">
        <v>47</v>
      </c>
      <c r="B75" s="392" t="s">
        <v>109</v>
      </c>
      <c r="C75" s="391">
        <v>205534.57</v>
      </c>
      <c r="D75" s="391">
        <f>C75*$Q$3</f>
        <v>38229.43002</v>
      </c>
      <c r="E75" s="400">
        <f>C75*$Q$2*0.75</f>
        <v>32572.090980749999</v>
      </c>
      <c r="F75" s="400">
        <f>C75*($Q$2*$R$15)*0.25</f>
        <v>11924.93048752375</v>
      </c>
      <c r="G75" s="400">
        <f t="shared" si="9"/>
        <v>44497.02146827375</v>
      </c>
      <c r="H75" s="401"/>
      <c r="I75" s="401"/>
      <c r="J75" s="390"/>
    </row>
    <row r="76" spans="1:10">
      <c r="A76" s="392" t="s">
        <v>47</v>
      </c>
      <c r="B76" s="392" t="s">
        <v>110</v>
      </c>
      <c r="C76" s="391">
        <v>76768.479999999996</v>
      </c>
      <c r="D76" s="391">
        <f>C76*$S$3</f>
        <v>43758.033599999995</v>
      </c>
      <c r="E76" s="400">
        <f>C76*$S$2*0.75</f>
        <v>33785.808047999999</v>
      </c>
      <c r="F76" s="400">
        <f>C76*($S$2*$T$15)*0.25</f>
        <v>11799.447860208518</v>
      </c>
      <c r="G76" s="400">
        <f t="shared" si="9"/>
        <v>45585.255908208521</v>
      </c>
      <c r="H76" s="401"/>
      <c r="I76" s="401"/>
      <c r="J76" s="390"/>
    </row>
    <row r="77" spans="1:10">
      <c r="A77" s="389" t="s">
        <v>121</v>
      </c>
      <c r="B77" s="389"/>
      <c r="C77" s="387">
        <f>SUM(C73:C76)</f>
        <v>5301013.9100000011</v>
      </c>
      <c r="D77" s="387">
        <f>SUM(D73:D76)</f>
        <v>720482.94039999985</v>
      </c>
      <c r="E77" s="403">
        <f>SUM(E73:E76)</f>
        <v>609718.66665899998</v>
      </c>
      <c r="F77" s="403">
        <f>SUM(F73:F76)</f>
        <v>226786.02098403961</v>
      </c>
      <c r="G77" s="403">
        <f t="shared" si="9"/>
        <v>836504.68764303962</v>
      </c>
      <c r="H77" s="402">
        <f>G77</f>
        <v>836504.68764303962</v>
      </c>
      <c r="I77" s="402">
        <f>H77-D77</f>
        <v>116021.74724303978</v>
      </c>
      <c r="J77" s="390"/>
    </row>
    <row r="78" spans="1:10">
      <c r="A78" s="392" t="s">
        <v>28</v>
      </c>
      <c r="B78" s="392" t="s">
        <v>107</v>
      </c>
      <c r="C78" s="391">
        <v>871227.81</v>
      </c>
      <c r="D78" s="391">
        <f>C78*$M$3</f>
        <v>103763.23217100001</v>
      </c>
      <c r="E78" s="400">
        <f>C78*$M$2*0.75</f>
        <v>88669.210362749989</v>
      </c>
      <c r="F78" s="400">
        <f>C78*($M$2*$N$15)*0.25</f>
        <v>33271.315212508103</v>
      </c>
      <c r="G78" s="400">
        <f t="shared" si="9"/>
        <v>121940.5255752581</v>
      </c>
      <c r="H78" s="401"/>
      <c r="I78" s="401"/>
      <c r="J78" s="390"/>
    </row>
    <row r="79" spans="1:10">
      <c r="A79" s="392" t="s">
        <v>28</v>
      </c>
      <c r="B79" s="392" t="s">
        <v>108</v>
      </c>
      <c r="C79" s="391">
        <v>0</v>
      </c>
      <c r="D79" s="391">
        <f>C79*$O$3</f>
        <v>0</v>
      </c>
      <c r="E79" s="400">
        <f>C79*$O$2*0.75</f>
        <v>0</v>
      </c>
      <c r="F79" s="400">
        <f>C79*($O$2*$P$15)*0.25</f>
        <v>0</v>
      </c>
      <c r="G79" s="400">
        <f t="shared" si="9"/>
        <v>0</v>
      </c>
      <c r="H79" s="401"/>
      <c r="I79" s="401"/>
      <c r="J79" s="390"/>
    </row>
    <row r="80" spans="1:10">
      <c r="A80" s="392" t="s">
        <v>28</v>
      </c>
      <c r="B80" s="392" t="s">
        <v>109</v>
      </c>
      <c r="C80" s="391">
        <v>93162.47</v>
      </c>
      <c r="D80" s="391">
        <f>C80*$Q$3</f>
        <v>17328.219420000001</v>
      </c>
      <c r="E80" s="400">
        <f>C80*$Q$2*0.75</f>
        <v>14763.922433249998</v>
      </c>
      <c r="F80" s="400">
        <f>C80*($Q$2*$R$15)*0.25</f>
        <v>5405.2025350091553</v>
      </c>
      <c r="G80" s="400">
        <f t="shared" si="9"/>
        <v>20169.124968259152</v>
      </c>
      <c r="H80" s="401"/>
      <c r="I80" s="401"/>
      <c r="J80" s="390"/>
    </row>
    <row r="81" spans="1:10">
      <c r="A81" s="392" t="s">
        <v>28</v>
      </c>
      <c r="B81" s="392" t="s">
        <v>110</v>
      </c>
      <c r="C81" s="391">
        <v>97311.48</v>
      </c>
      <c r="D81" s="391">
        <f>C81*$S$3</f>
        <v>55467.54359999999</v>
      </c>
      <c r="E81" s="400">
        <f>C81*$S$2*0.75</f>
        <v>42826.782347999993</v>
      </c>
      <c r="F81" s="400">
        <f>C81*($S$2*$T$15)*0.25</f>
        <v>14956.942412559478</v>
      </c>
      <c r="G81" s="400">
        <f t="shared" si="9"/>
        <v>57783.724760559475</v>
      </c>
      <c r="H81" s="401"/>
      <c r="I81" s="401"/>
      <c r="J81" s="390"/>
    </row>
    <row r="82" spans="1:10">
      <c r="A82" s="389" t="s">
        <v>122</v>
      </c>
      <c r="B82" s="389"/>
      <c r="C82" s="387">
        <f>SUM(C78:C81)</f>
        <v>1061701.76</v>
      </c>
      <c r="D82" s="387">
        <f>SUM(D78:D81)</f>
        <v>176558.99519099999</v>
      </c>
      <c r="E82" s="403">
        <f>SUM(E78:E81)</f>
        <v>146259.91514399997</v>
      </c>
      <c r="F82" s="403">
        <f>SUM(F78:F81)</f>
        <v>53633.460160076735</v>
      </c>
      <c r="G82" s="403">
        <f t="shared" si="9"/>
        <v>199893.3753040767</v>
      </c>
      <c r="H82" s="402">
        <f>G82</f>
        <v>199893.3753040767</v>
      </c>
      <c r="I82" s="402">
        <f>H82-D82</f>
        <v>23334.38011307671</v>
      </c>
      <c r="J82" s="390"/>
    </row>
    <row r="83" spans="1:10">
      <c r="A83" s="392" t="s">
        <v>17</v>
      </c>
      <c r="B83" s="392" t="s">
        <v>107</v>
      </c>
      <c r="C83" s="391">
        <v>447475</v>
      </c>
      <c r="D83" s="391">
        <f>C83*$M$3</f>
        <v>53294.272499999999</v>
      </c>
      <c r="E83" s="400">
        <f>C83*$M$2*0.75</f>
        <v>45541.768124999995</v>
      </c>
      <c r="F83" s="400">
        <f>C83*($M$2*$N$15)*0.25</f>
        <v>17088.620913876777</v>
      </c>
      <c r="G83" s="400">
        <f t="shared" si="9"/>
        <v>62630.389038876776</v>
      </c>
      <c r="H83" s="401"/>
      <c r="I83" s="401"/>
      <c r="J83" s="390"/>
    </row>
    <row r="84" spans="1:10">
      <c r="A84" s="392" t="s">
        <v>266</v>
      </c>
      <c r="B84" s="392" t="s">
        <v>108</v>
      </c>
      <c r="C84" s="391">
        <v>0</v>
      </c>
      <c r="D84" s="391">
        <f>C84*$O$3</f>
        <v>0</v>
      </c>
      <c r="E84" s="400">
        <f>C84*$O$2*0.75</f>
        <v>0</v>
      </c>
      <c r="F84" s="400">
        <f>C84*($O$2*$P$15)*0.25</f>
        <v>0</v>
      </c>
      <c r="G84" s="400">
        <f t="shared" si="9"/>
        <v>0</v>
      </c>
      <c r="H84" s="401"/>
      <c r="I84" s="401"/>
      <c r="J84" s="390"/>
    </row>
    <row r="85" spans="1:10">
      <c r="A85" s="392" t="s">
        <v>17</v>
      </c>
      <c r="B85" s="392" t="s">
        <v>109</v>
      </c>
      <c r="C85" s="391">
        <v>55385.3</v>
      </c>
      <c r="D85" s="391">
        <f>C85*$Q$3</f>
        <v>10301.665800000001</v>
      </c>
      <c r="E85" s="400">
        <f>C85*$Q$2*0.75</f>
        <v>8777.1854175000008</v>
      </c>
      <c r="F85" s="400">
        <f>C85*($Q$2*$R$15)*0.25</f>
        <v>3213.4051830339258</v>
      </c>
      <c r="G85" s="400">
        <f t="shared" si="9"/>
        <v>11990.590600533927</v>
      </c>
      <c r="H85" s="401"/>
      <c r="I85" s="401"/>
      <c r="J85" s="390"/>
    </row>
    <row r="86" spans="1:10">
      <c r="A86" s="392" t="s">
        <v>17</v>
      </c>
      <c r="B86" s="392" t="s">
        <v>110</v>
      </c>
      <c r="C86" s="391">
        <v>66455.400000000009</v>
      </c>
      <c r="D86" s="391">
        <f>C86*$S$3</f>
        <v>37879.578000000001</v>
      </c>
      <c r="E86" s="400">
        <f>C86*$S$2*0.75</f>
        <v>29247.021540000002</v>
      </c>
      <c r="F86" s="400">
        <f>C86*($S$2*$T$15)*0.25</f>
        <v>10214.309666275813</v>
      </c>
      <c r="G86" s="400">
        <f t="shared" si="9"/>
        <v>39461.331206275812</v>
      </c>
      <c r="H86" s="401"/>
      <c r="I86" s="401"/>
      <c r="J86" s="390"/>
    </row>
    <row r="87" spans="1:10">
      <c r="A87" s="389" t="s">
        <v>123</v>
      </c>
      <c r="B87" s="389"/>
      <c r="C87" s="387">
        <f>SUM(C83:C86)</f>
        <v>569315.69999999995</v>
      </c>
      <c r="D87" s="387">
        <f>SUM(D83:D86)</f>
        <v>101475.5163</v>
      </c>
      <c r="E87" s="403">
        <f>SUM(E83:E86)</f>
        <v>83565.975082499994</v>
      </c>
      <c r="F87" s="403">
        <f>SUM(F83:F86)</f>
        <v>30516.335763186515</v>
      </c>
      <c r="G87" s="403">
        <f t="shared" si="9"/>
        <v>114082.3108456865</v>
      </c>
      <c r="H87" s="402">
        <f>G87</f>
        <v>114082.3108456865</v>
      </c>
      <c r="I87" s="402">
        <f>H87-D87</f>
        <v>12606.794545686498</v>
      </c>
      <c r="J87" s="390"/>
    </row>
    <row r="88" spans="1:10">
      <c r="A88" s="392" t="s">
        <v>6</v>
      </c>
      <c r="B88" s="392" t="s">
        <v>107</v>
      </c>
      <c r="C88" s="391">
        <v>191547</v>
      </c>
      <c r="D88" s="391">
        <f>C88*$M$3</f>
        <v>22813.2477</v>
      </c>
      <c r="E88" s="400">
        <f>C88*$M$2*0.75</f>
        <v>19494.695925</v>
      </c>
      <c r="F88" s="400">
        <f>C88*($M$2*$N$15)*0.25</f>
        <v>7314.9875863240513</v>
      </c>
      <c r="G88" s="400">
        <f t="shared" si="9"/>
        <v>26809.683511324052</v>
      </c>
      <c r="H88" s="401"/>
      <c r="I88" s="401"/>
      <c r="J88" s="390"/>
    </row>
    <row r="89" spans="1:10">
      <c r="A89" s="392" t="s">
        <v>6</v>
      </c>
      <c r="B89" s="392" t="s">
        <v>108</v>
      </c>
      <c r="C89" s="391">
        <v>62380</v>
      </c>
      <c r="D89" s="391">
        <f>C89*$O$3</f>
        <v>19693.365999999998</v>
      </c>
      <c r="E89" s="400">
        <f>C89*$O$2*0.75</f>
        <v>16150.182000000001</v>
      </c>
      <c r="F89" s="400">
        <f>C89*($O$2*$P$15)*0.25</f>
        <v>5812.3185332786952</v>
      </c>
      <c r="G89" s="400">
        <f t="shared" si="9"/>
        <v>21962.500533278697</v>
      </c>
      <c r="H89" s="401"/>
      <c r="I89" s="401"/>
      <c r="J89" s="390"/>
    </row>
    <row r="90" spans="1:10">
      <c r="A90" s="392" t="s">
        <v>6</v>
      </c>
      <c r="B90" s="392" t="s">
        <v>109</v>
      </c>
      <c r="C90" s="391">
        <v>38480</v>
      </c>
      <c r="D90" s="391">
        <f>C90*$Q$3</f>
        <v>7157.28</v>
      </c>
      <c r="E90" s="400">
        <f>C90*$Q$2*0.75</f>
        <v>6098.1179999999995</v>
      </c>
      <c r="F90" s="400">
        <f>C90*($Q$2*$R$15)*0.25</f>
        <v>2232.5749150613151</v>
      </c>
      <c r="G90" s="400">
        <f t="shared" si="9"/>
        <v>8330.6929150613141</v>
      </c>
      <c r="H90" s="401"/>
      <c r="I90" s="401"/>
      <c r="J90" s="390"/>
    </row>
    <row r="91" spans="1:10">
      <c r="A91" s="392" t="s">
        <v>6</v>
      </c>
      <c r="B91" s="392" t="s">
        <v>110</v>
      </c>
      <c r="C91" s="391">
        <v>69586.8</v>
      </c>
      <c r="D91" s="391">
        <f>C91*$S$3</f>
        <v>39664.475999999995</v>
      </c>
      <c r="E91" s="400">
        <f>C91*$S$2*0.75</f>
        <v>30625.150679999999</v>
      </c>
      <c r="F91" s="400">
        <f>C91*($S$2*$T$15)*0.25</f>
        <v>10695.611250330321</v>
      </c>
      <c r="G91" s="400">
        <f t="shared" si="9"/>
        <v>41320.761930330322</v>
      </c>
      <c r="H91" s="401"/>
      <c r="I91" s="401"/>
      <c r="J91" s="390"/>
    </row>
    <row r="92" spans="1:10">
      <c r="A92" s="389" t="s">
        <v>124</v>
      </c>
      <c r="B92" s="389"/>
      <c r="C92" s="387">
        <f>SUM(C88:C91)</f>
        <v>361993.8</v>
      </c>
      <c r="D92" s="387">
        <f>SUM(D88:D91)</f>
        <v>89328.369699999996</v>
      </c>
      <c r="E92" s="403">
        <f>SUM(E88:E91)</f>
        <v>72368.146605000002</v>
      </c>
      <c r="F92" s="403">
        <f>SUM(F88:F91)</f>
        <v>26055.492284994383</v>
      </c>
      <c r="G92" s="403">
        <f t="shared" si="9"/>
        <v>98423.638889994385</v>
      </c>
      <c r="H92" s="402">
        <f>G92</f>
        <v>98423.638889994385</v>
      </c>
      <c r="I92" s="402">
        <f>H92-D92</f>
        <v>9095.2691899943893</v>
      </c>
      <c r="J92" s="390"/>
    </row>
    <row r="93" spans="1:10">
      <c r="A93" s="392" t="s">
        <v>58</v>
      </c>
      <c r="B93" s="392" t="s">
        <v>265</v>
      </c>
      <c r="C93" s="393">
        <v>11070963.85</v>
      </c>
      <c r="D93" s="391">
        <f>C93*$M$3</f>
        <v>1318551.7945349999</v>
      </c>
      <c r="E93" s="400">
        <f>C93*$M$2*0.75</f>
        <v>1126747.34583375</v>
      </c>
      <c r="F93" s="400">
        <f>C93*($M$2*$N$15)*0.25</f>
        <v>422788.99242166319</v>
      </c>
      <c r="G93" s="400">
        <f t="shared" si="9"/>
        <v>1549536.3382554131</v>
      </c>
      <c r="H93" s="401"/>
      <c r="I93" s="401"/>
      <c r="J93" s="390"/>
    </row>
    <row r="94" spans="1:10">
      <c r="A94" s="392" t="s">
        <v>58</v>
      </c>
      <c r="B94" s="392" t="s">
        <v>264</v>
      </c>
      <c r="C94" s="391">
        <v>964538.99</v>
      </c>
      <c r="D94" s="391">
        <f>C94*$O$3</f>
        <v>304504.95914299996</v>
      </c>
      <c r="E94" s="400">
        <f>C94*$O$2*0.75</f>
        <v>249719.14451100002</v>
      </c>
      <c r="F94" s="400">
        <f>C94*($O$2*$P$15)*0.25</f>
        <v>89871.879571127181</v>
      </c>
      <c r="G94" s="400">
        <f t="shared" si="9"/>
        <v>339591.0240821272</v>
      </c>
      <c r="H94" s="401"/>
      <c r="I94" s="401"/>
      <c r="J94" s="390"/>
    </row>
    <row r="95" spans="1:10">
      <c r="A95" s="392" t="s">
        <v>58</v>
      </c>
      <c r="B95" s="392" t="s">
        <v>109</v>
      </c>
      <c r="C95" s="391">
        <v>0</v>
      </c>
      <c r="D95" s="391">
        <f>C95*$Q$3</f>
        <v>0</v>
      </c>
      <c r="E95" s="400">
        <f>C95*$Q$2*0.75</f>
        <v>0</v>
      </c>
      <c r="F95" s="400">
        <f>C95*($Q$2*$R$15)*0.25</f>
        <v>0</v>
      </c>
      <c r="G95" s="400">
        <f t="shared" si="9"/>
        <v>0</v>
      </c>
      <c r="H95" s="401"/>
      <c r="I95" s="401"/>
      <c r="J95" s="390"/>
    </row>
    <row r="96" spans="1:10">
      <c r="A96" s="392" t="s">
        <v>58</v>
      </c>
      <c r="B96" s="392" t="s">
        <v>110</v>
      </c>
      <c r="C96" s="391">
        <v>167858.96</v>
      </c>
      <c r="D96" s="391">
        <f>C96*$S$3</f>
        <v>95679.607199999984</v>
      </c>
      <c r="E96" s="400">
        <f>C96*$S$2*0.75</f>
        <v>73874.728295999987</v>
      </c>
      <c r="F96" s="400">
        <f>C96*($S$2*$T$15)*0.25</f>
        <v>25800.211836795876</v>
      </c>
      <c r="G96" s="400">
        <f t="shared" si="9"/>
        <v>99674.940132795862</v>
      </c>
      <c r="H96" s="401"/>
      <c r="I96" s="401"/>
      <c r="J96" s="390"/>
    </row>
    <row r="97" spans="1:10">
      <c r="A97" s="389" t="s">
        <v>125</v>
      </c>
      <c r="B97" s="389"/>
      <c r="C97" s="387">
        <f>SUM(C93:C96)</f>
        <v>12203361.800000001</v>
      </c>
      <c r="D97" s="387">
        <f>SUM(D93:D96)</f>
        <v>1718736.3608779998</v>
      </c>
      <c r="E97" s="403">
        <f>SUM(E93:E96)</f>
        <v>1450341.21864075</v>
      </c>
      <c r="F97" s="403">
        <f>SUM(F93:F96)</f>
        <v>538461.08382958628</v>
      </c>
      <c r="G97" s="403">
        <f t="shared" si="9"/>
        <v>1988802.3024703362</v>
      </c>
      <c r="H97" s="402">
        <f>G97</f>
        <v>1988802.3024703362</v>
      </c>
      <c r="I97" s="402">
        <f>H97-D97</f>
        <v>270065.9415923364</v>
      </c>
      <c r="J97" s="390"/>
    </row>
    <row r="98" spans="1:10">
      <c r="A98" s="392" t="s">
        <v>48</v>
      </c>
      <c r="B98" s="392" t="s">
        <v>107</v>
      </c>
      <c r="C98" s="391">
        <v>3849510.7</v>
      </c>
      <c r="D98" s="391">
        <f>C98*$M$3</f>
        <v>458476.72437000001</v>
      </c>
      <c r="E98" s="400">
        <f>C98*$M$2*0.75</f>
        <v>391783.95149250003</v>
      </c>
      <c r="F98" s="400">
        <f>C98*($M$2*$N$15)*0.25</f>
        <v>147008.94811154238</v>
      </c>
      <c r="G98" s="400">
        <f t="shared" si="9"/>
        <v>538792.89960404241</v>
      </c>
      <c r="H98" s="401"/>
      <c r="I98" s="401"/>
      <c r="J98" s="390"/>
    </row>
    <row r="99" spans="1:10">
      <c r="A99" s="392" t="s">
        <v>48</v>
      </c>
      <c r="B99" s="392" t="s">
        <v>108</v>
      </c>
      <c r="C99" s="391">
        <v>63211.199999999997</v>
      </c>
      <c r="D99" s="391">
        <f>C99*$O$3</f>
        <v>19955.775839999998</v>
      </c>
      <c r="E99" s="400">
        <f>C99*$O$2*0.75</f>
        <v>16365.379679999998</v>
      </c>
      <c r="F99" s="400">
        <f>C99*($O$2*$P$15)*0.25</f>
        <v>5889.766419858709</v>
      </c>
      <c r="G99" s="400">
        <f t="shared" si="9"/>
        <v>22255.146099858706</v>
      </c>
      <c r="H99" s="401"/>
      <c r="I99" s="401"/>
      <c r="J99" s="390"/>
    </row>
    <row r="100" spans="1:10">
      <c r="A100" s="392" t="s">
        <v>48</v>
      </c>
      <c r="B100" s="392" t="s">
        <v>109</v>
      </c>
      <c r="C100" s="391">
        <v>350071.07</v>
      </c>
      <c r="D100" s="391">
        <f>C100*$Q$3</f>
        <v>65113.219020000004</v>
      </c>
      <c r="E100" s="400">
        <f>C100*$Q$2*0.75</f>
        <v>55477.512818250005</v>
      </c>
      <c r="F100" s="400">
        <f>C100*($Q$2*$R$15)*0.25</f>
        <v>20310.807935828318</v>
      </c>
      <c r="G100" s="400">
        <f t="shared" si="9"/>
        <v>75788.320754078319</v>
      </c>
      <c r="H100" s="401"/>
      <c r="I100" s="401"/>
      <c r="J100" s="390"/>
    </row>
    <row r="101" spans="1:10">
      <c r="A101" s="392" t="s">
        <v>48</v>
      </c>
      <c r="B101" s="392" t="s">
        <v>110</v>
      </c>
      <c r="C101" s="391">
        <v>67345.78</v>
      </c>
      <c r="D101" s="391">
        <f>C101*$S$3</f>
        <v>38387.094599999997</v>
      </c>
      <c r="E101" s="400">
        <f>C101*$S$2*0.75</f>
        <v>29638.877777999995</v>
      </c>
      <c r="F101" s="400">
        <f>C101*($S$2*$T$15)*0.25</f>
        <v>10351.162608860743</v>
      </c>
      <c r="G101" s="400">
        <f t="shared" si="9"/>
        <v>39990.040386860739</v>
      </c>
      <c r="H101" s="401"/>
      <c r="I101" s="401"/>
      <c r="J101" s="390"/>
    </row>
    <row r="102" spans="1:10">
      <c r="A102" s="389" t="s">
        <v>126</v>
      </c>
      <c r="B102" s="389"/>
      <c r="C102" s="387">
        <f>SUM(C98:C101)</f>
        <v>4330138.7500000009</v>
      </c>
      <c r="D102" s="387">
        <f>SUM(D98:D101)</f>
        <v>581932.81383</v>
      </c>
      <c r="E102" s="403">
        <f>SUM(E98:E101)</f>
        <v>493265.72176874999</v>
      </c>
      <c r="F102" s="403">
        <f>SUM(F98:F101)</f>
        <v>183560.68507609013</v>
      </c>
      <c r="G102" s="403">
        <f t="shared" si="9"/>
        <v>676826.40684484015</v>
      </c>
      <c r="H102" s="402">
        <f>G102</f>
        <v>676826.40684484015</v>
      </c>
      <c r="I102" s="402">
        <f>H102-D102</f>
        <v>94893.593014840153</v>
      </c>
      <c r="J102" s="390"/>
    </row>
    <row r="103" spans="1:10">
      <c r="A103" s="392" t="s">
        <v>29</v>
      </c>
      <c r="B103" s="392" t="s">
        <v>107</v>
      </c>
      <c r="C103" s="391">
        <v>1139674.1100000001</v>
      </c>
      <c r="D103" s="391">
        <f>C103*$M$3</f>
        <v>135735.18650100002</v>
      </c>
      <c r="E103" s="400">
        <f>C103*$M$2*0.75</f>
        <v>115990.33254524998</v>
      </c>
      <c r="F103" s="400">
        <f>C103*($M$2*$N$15)*0.25</f>
        <v>43523.009846695131</v>
      </c>
      <c r="G103" s="400">
        <f t="shared" si="9"/>
        <v>159513.34239194513</v>
      </c>
      <c r="H103" s="401"/>
      <c r="I103" s="401"/>
      <c r="J103" s="390"/>
    </row>
    <row r="104" spans="1:10">
      <c r="A104" s="392" t="s">
        <v>29</v>
      </c>
      <c r="B104" s="392" t="s">
        <v>108</v>
      </c>
      <c r="C104" s="391">
        <v>168343.42</v>
      </c>
      <c r="D104" s="391">
        <f>C104*$O$3</f>
        <v>53146.017694000002</v>
      </c>
      <c r="E104" s="400">
        <f>C104*$O$2*0.75</f>
        <v>43584.111438</v>
      </c>
      <c r="F104" s="400">
        <f>C104*($O$2*$P$15)*0.25</f>
        <v>15685.565566231475</v>
      </c>
      <c r="G104" s="400">
        <f t="shared" si="9"/>
        <v>59269.677004231475</v>
      </c>
      <c r="H104" s="401"/>
      <c r="I104" s="401"/>
      <c r="J104" s="390"/>
    </row>
    <row r="105" spans="1:10">
      <c r="A105" s="392" t="s">
        <v>29</v>
      </c>
      <c r="B105" s="392" t="s">
        <v>109</v>
      </c>
      <c r="C105" s="391">
        <v>0</v>
      </c>
      <c r="D105" s="391">
        <f>C105*$Q$3</f>
        <v>0</v>
      </c>
      <c r="E105" s="400">
        <f>C105*$Q$2*0.75</f>
        <v>0</v>
      </c>
      <c r="F105" s="400">
        <f>C105*($Q$2*$R$15)*0.25</f>
        <v>0</v>
      </c>
      <c r="G105" s="400">
        <f t="shared" ref="G105:G168" si="10">E105+F105</f>
        <v>0</v>
      </c>
      <c r="H105" s="401"/>
      <c r="I105" s="401"/>
      <c r="J105" s="390"/>
    </row>
    <row r="106" spans="1:10">
      <c r="A106" s="392" t="s">
        <v>29</v>
      </c>
      <c r="B106" s="392" t="s">
        <v>110</v>
      </c>
      <c r="C106" s="391">
        <v>34275.119200000001</v>
      </c>
      <c r="D106" s="391">
        <f>C106*$S$3</f>
        <v>19536.817943999999</v>
      </c>
      <c r="E106" s="400">
        <f>C106*$S$2*0.75</f>
        <v>15084.479959920001</v>
      </c>
      <c r="F106" s="400">
        <f>C106*($S$2*$T$15)*0.25</f>
        <v>5268.1449717752903</v>
      </c>
      <c r="G106" s="400">
        <f t="shared" si="10"/>
        <v>20352.624931695293</v>
      </c>
      <c r="H106" s="401"/>
      <c r="I106" s="401"/>
      <c r="J106" s="390"/>
    </row>
    <row r="107" spans="1:10">
      <c r="A107" s="389" t="s">
        <v>127</v>
      </c>
      <c r="B107" s="389"/>
      <c r="C107" s="387">
        <f>SUM(C103:C106)</f>
        <v>1342292.6492000001</v>
      </c>
      <c r="D107" s="387">
        <f>SUM(D103:D106)</f>
        <v>208418.02213900004</v>
      </c>
      <c r="E107" s="403">
        <f>SUM(E103:E106)</f>
        <v>174658.92394316997</v>
      </c>
      <c r="F107" s="403">
        <f>SUM(F103:F106)</f>
        <v>64476.720384701897</v>
      </c>
      <c r="G107" s="403">
        <f t="shared" si="10"/>
        <v>239135.64432787185</v>
      </c>
      <c r="H107" s="402">
        <f>G107</f>
        <v>239135.64432787185</v>
      </c>
      <c r="I107" s="402">
        <f>H107-D107</f>
        <v>30717.622188871814</v>
      </c>
      <c r="J107" s="390"/>
    </row>
    <row r="108" spans="1:10">
      <c r="A108" s="392" t="s">
        <v>7</v>
      </c>
      <c r="B108" s="392" t="s">
        <v>107</v>
      </c>
      <c r="C108" s="391">
        <v>329115.63</v>
      </c>
      <c r="D108" s="391">
        <f>C108*$M$3</f>
        <v>39197.671533000001</v>
      </c>
      <c r="E108" s="400">
        <f>C108*$M$2*0.75</f>
        <v>33495.743243249999</v>
      </c>
      <c r="F108" s="400">
        <f>C108*($M$2*$N$15)*0.25</f>
        <v>12568.595425223155</v>
      </c>
      <c r="G108" s="400">
        <f t="shared" si="10"/>
        <v>46064.338668473152</v>
      </c>
      <c r="H108" s="401"/>
      <c r="I108" s="401"/>
      <c r="J108" s="390"/>
    </row>
    <row r="109" spans="1:10">
      <c r="A109" s="392" t="s">
        <v>7</v>
      </c>
      <c r="B109" s="392" t="s">
        <v>108</v>
      </c>
      <c r="C109" s="391">
        <v>50689.31</v>
      </c>
      <c r="D109" s="391">
        <f>C109*$O$3</f>
        <v>16002.615166999998</v>
      </c>
      <c r="E109" s="400">
        <f>C109*$O$2*0.75</f>
        <v>13123.462358999999</v>
      </c>
      <c r="F109" s="400">
        <f>C109*($O$2*$P$15)*0.25</f>
        <v>4723.0268668180361</v>
      </c>
      <c r="G109" s="400">
        <f t="shared" si="10"/>
        <v>17846.489225818033</v>
      </c>
      <c r="H109" s="401"/>
      <c r="I109" s="401"/>
      <c r="J109" s="390"/>
    </row>
    <row r="110" spans="1:10">
      <c r="A110" s="392" t="s">
        <v>7</v>
      </c>
      <c r="B110" s="392" t="s">
        <v>109</v>
      </c>
      <c r="C110" s="391">
        <v>49471.5</v>
      </c>
      <c r="D110" s="391">
        <f>C110*$Q$3</f>
        <v>9201.6990000000005</v>
      </c>
      <c r="E110" s="400">
        <f>C110*$Q$2*0.75</f>
        <v>7839.9959624999992</v>
      </c>
      <c r="F110" s="400">
        <f>C110*($Q$2*$R$15)*0.25</f>
        <v>2870.2918375898089</v>
      </c>
      <c r="G110" s="400">
        <f t="shared" si="10"/>
        <v>10710.287800089809</v>
      </c>
      <c r="H110" s="401"/>
      <c r="I110" s="401"/>
      <c r="J110" s="390"/>
    </row>
    <row r="111" spans="1:10">
      <c r="A111" s="392" t="s">
        <v>7</v>
      </c>
      <c r="B111" s="392" t="s">
        <v>110</v>
      </c>
      <c r="C111" s="391">
        <v>71154.076000000001</v>
      </c>
      <c r="D111" s="391">
        <f>C111*$S$3</f>
        <v>40557.823319999996</v>
      </c>
      <c r="E111" s="400">
        <f>C111*$S$2*0.75</f>
        <v>31314.908847600003</v>
      </c>
      <c r="F111" s="400">
        <f>C111*($S$2*$T$15)*0.25</f>
        <v>10936.504276277377</v>
      </c>
      <c r="G111" s="400">
        <f t="shared" si="10"/>
        <v>42251.413123877384</v>
      </c>
      <c r="H111" s="401"/>
      <c r="I111" s="401"/>
      <c r="J111" s="390"/>
    </row>
    <row r="112" spans="1:10">
      <c r="A112" s="389" t="s">
        <v>128</v>
      </c>
      <c r="B112" s="389"/>
      <c r="C112" s="387">
        <f>SUM(C108:C111)</f>
        <v>500430.516</v>
      </c>
      <c r="D112" s="387">
        <f>SUM(D108:D111)</f>
        <v>104959.80901999999</v>
      </c>
      <c r="E112" s="403">
        <f>SUM(E108:E111)</f>
        <v>85774.110412349997</v>
      </c>
      <c r="F112" s="403">
        <f>SUM(F108:F111)</f>
        <v>31098.418405908375</v>
      </c>
      <c r="G112" s="403">
        <f t="shared" si="10"/>
        <v>116872.52881825838</v>
      </c>
      <c r="H112" s="402">
        <f>G112</f>
        <v>116872.52881825838</v>
      </c>
      <c r="I112" s="402">
        <f>H112-D112</f>
        <v>11912.719798258389</v>
      </c>
      <c r="J112" s="390"/>
    </row>
    <row r="113" spans="1:10">
      <c r="A113" s="392" t="s">
        <v>18</v>
      </c>
      <c r="B113" s="392" t="s">
        <v>107</v>
      </c>
      <c r="C113" s="391">
        <v>614127.68999999994</v>
      </c>
      <c r="D113" s="391">
        <f>C113*$M$3</f>
        <v>73142.607878999988</v>
      </c>
      <c r="E113" s="400">
        <f>C113*$M$2*0.75</f>
        <v>62502.845649749994</v>
      </c>
      <c r="F113" s="400">
        <f>C113*($M$2*$N$15)*0.25</f>
        <v>23452.919799150415</v>
      </c>
      <c r="G113" s="400">
        <f t="shared" si="10"/>
        <v>85955.765448900405</v>
      </c>
      <c r="H113" s="401"/>
      <c r="I113" s="401"/>
      <c r="J113" s="390"/>
    </row>
    <row r="114" spans="1:10">
      <c r="A114" s="392" t="s">
        <v>18</v>
      </c>
      <c r="B114" s="392" t="s">
        <v>108</v>
      </c>
      <c r="C114" s="391">
        <v>180323.92</v>
      </c>
      <c r="D114" s="391">
        <f>C114*$O$3</f>
        <v>56928.261544000001</v>
      </c>
      <c r="E114" s="400">
        <f>C114*$O$2*0.75</f>
        <v>46685.862888000003</v>
      </c>
      <c r="F114" s="400">
        <f>C114*($O$2*$P$15)*0.25</f>
        <v>16801.86056764131</v>
      </c>
      <c r="G114" s="400">
        <f t="shared" si="10"/>
        <v>63487.723455641317</v>
      </c>
      <c r="H114" s="401"/>
      <c r="I114" s="401"/>
      <c r="J114" s="390"/>
    </row>
    <row r="115" spans="1:10">
      <c r="A115" s="392" t="s">
        <v>18</v>
      </c>
      <c r="B115" s="392" t="s">
        <v>109</v>
      </c>
      <c r="C115" s="391">
        <v>167778.51</v>
      </c>
      <c r="D115" s="391">
        <f>C115*$Q$3</f>
        <v>31206.80286</v>
      </c>
      <c r="E115" s="400">
        <f>C115*$Q$2*0.75</f>
        <v>26588.699372249997</v>
      </c>
      <c r="F115" s="400">
        <f>C115*($Q$2*$R$15)*0.25</f>
        <v>9734.3579187204778</v>
      </c>
      <c r="G115" s="400">
        <f t="shared" si="10"/>
        <v>36323.057290970479</v>
      </c>
      <c r="H115" s="401"/>
      <c r="I115" s="401"/>
      <c r="J115" s="390"/>
    </row>
    <row r="116" spans="1:10">
      <c r="A116" s="392" t="s">
        <v>18</v>
      </c>
      <c r="B116" s="392" t="s">
        <v>110</v>
      </c>
      <c r="C116" s="391">
        <v>63358.5</v>
      </c>
      <c r="D116" s="391">
        <f>C116*$S$3</f>
        <v>36114.344999999994</v>
      </c>
      <c r="E116" s="400">
        <f>C116*$S$2*0.75</f>
        <v>27884.075850000001</v>
      </c>
      <c r="F116" s="400">
        <f>C116*($S$2*$T$15)*0.25</f>
        <v>9738.3107917601264</v>
      </c>
      <c r="G116" s="400">
        <f t="shared" si="10"/>
        <v>37622.386641760124</v>
      </c>
      <c r="H116" s="401"/>
      <c r="I116" s="401"/>
      <c r="J116" s="390"/>
    </row>
    <row r="117" spans="1:10">
      <c r="A117" s="389" t="s">
        <v>129</v>
      </c>
      <c r="B117" s="389"/>
      <c r="C117" s="387">
        <f>SUM(C113:C116)</f>
        <v>1025588.62</v>
      </c>
      <c r="D117" s="387">
        <f>SUM(D113:D116)</f>
        <v>197392.01728299999</v>
      </c>
      <c r="E117" s="403">
        <f>SUM(E113:E116)</f>
        <v>163661.48376</v>
      </c>
      <c r="F117" s="403">
        <f>SUM(F113:F116)</f>
        <v>59727.449077272337</v>
      </c>
      <c r="G117" s="403">
        <f t="shared" si="10"/>
        <v>223388.93283727235</v>
      </c>
      <c r="H117" s="402">
        <f>G117</f>
        <v>223388.93283727235</v>
      </c>
      <c r="I117" s="402">
        <f>H117-D117</f>
        <v>25996.91555427236</v>
      </c>
      <c r="J117" s="390"/>
    </row>
    <row r="118" spans="1:10">
      <c r="A118" s="392" t="s">
        <v>8</v>
      </c>
      <c r="B118" s="392" t="s">
        <v>107</v>
      </c>
      <c r="C118" s="391">
        <v>371964.32</v>
      </c>
      <c r="D118" s="391">
        <f>C118*$M$3</f>
        <v>44300.950512000003</v>
      </c>
      <c r="E118" s="400">
        <f>C118*$M$2*0.75</f>
        <v>37856.668667999998</v>
      </c>
      <c r="F118" s="400">
        <f>C118*($M$2*$N$15)*0.25</f>
        <v>14204.943869418301</v>
      </c>
      <c r="G118" s="400">
        <f t="shared" si="10"/>
        <v>52061.612537418303</v>
      </c>
      <c r="H118" s="401"/>
      <c r="I118" s="401"/>
      <c r="J118" s="390"/>
    </row>
    <row r="119" spans="1:10">
      <c r="A119" s="392" t="s">
        <v>8</v>
      </c>
      <c r="B119" s="392" t="s">
        <v>108</v>
      </c>
      <c r="C119" s="391">
        <v>7386.079999999999</v>
      </c>
      <c r="D119" s="391">
        <f>C119*$O$3</f>
        <v>2331.7854559999996</v>
      </c>
      <c r="E119" s="400">
        <f>C119*$O$2*0.75</f>
        <v>1912.2561119999998</v>
      </c>
      <c r="F119" s="400">
        <f>C119*($O$2*$P$15)*0.25</f>
        <v>688.20534902659665</v>
      </c>
      <c r="G119" s="400">
        <f t="shared" si="10"/>
        <v>2600.4614610265962</v>
      </c>
      <c r="H119" s="401"/>
      <c r="I119" s="401"/>
      <c r="J119" s="390"/>
    </row>
    <row r="120" spans="1:10">
      <c r="A120" s="392" t="s">
        <v>8</v>
      </c>
      <c r="B120" s="392" t="s">
        <v>109</v>
      </c>
      <c r="C120" s="391">
        <v>0</v>
      </c>
      <c r="D120" s="391">
        <f>C120*$Q$3</f>
        <v>0</v>
      </c>
      <c r="E120" s="400">
        <f>C120*$Q$2*0.75</f>
        <v>0</v>
      </c>
      <c r="F120" s="400">
        <f>C120*($Q$2*$R$15)*0.25</f>
        <v>0</v>
      </c>
      <c r="G120" s="400">
        <f t="shared" si="10"/>
        <v>0</v>
      </c>
      <c r="H120" s="401"/>
      <c r="I120" s="401"/>
      <c r="J120" s="390"/>
    </row>
    <row r="121" spans="1:10">
      <c r="A121" s="392" t="s">
        <v>8</v>
      </c>
      <c r="B121" s="392" t="s">
        <v>110</v>
      </c>
      <c r="C121" s="391">
        <v>48931.26</v>
      </c>
      <c r="D121" s="391">
        <f>C121*$S$3</f>
        <v>27890.818199999998</v>
      </c>
      <c r="E121" s="400">
        <f>C121*$S$2*0.75</f>
        <v>21534.647526000001</v>
      </c>
      <c r="F121" s="400">
        <f>C121*($S$2*$T$15)*0.25</f>
        <v>7520.8191057619842</v>
      </c>
      <c r="G121" s="400">
        <f t="shared" si="10"/>
        <v>29055.466631761985</v>
      </c>
      <c r="H121" s="401"/>
      <c r="I121" s="401"/>
      <c r="J121" s="390"/>
    </row>
    <row r="122" spans="1:10">
      <c r="A122" s="389" t="s">
        <v>130</v>
      </c>
      <c r="B122" s="389"/>
      <c r="C122" s="387">
        <f>SUM(C118:C121)</f>
        <v>428281.66000000003</v>
      </c>
      <c r="D122" s="387">
        <f>SUM(D118:D121)</f>
        <v>74523.554168000002</v>
      </c>
      <c r="E122" s="403">
        <f>SUM(E118:E121)</f>
        <v>61303.572306000002</v>
      </c>
      <c r="F122" s="403">
        <f>SUM(F118:F121)</f>
        <v>22413.968324206882</v>
      </c>
      <c r="G122" s="403">
        <f t="shared" si="10"/>
        <v>83717.540630206888</v>
      </c>
      <c r="H122" s="402">
        <f>G122</f>
        <v>83717.540630206888</v>
      </c>
      <c r="I122" s="402">
        <f>H122-D122</f>
        <v>9193.9864622068853</v>
      </c>
      <c r="J122" s="390"/>
    </row>
    <row r="123" spans="1:10">
      <c r="A123" s="392" t="s">
        <v>9</v>
      </c>
      <c r="B123" s="392" t="s">
        <v>107</v>
      </c>
      <c r="C123" s="391">
        <v>274261.15000000002</v>
      </c>
      <c r="D123" s="391">
        <f>C123*$M$3</f>
        <v>32664.502965000003</v>
      </c>
      <c r="E123" s="400">
        <f>C123*$M$2*0.75</f>
        <v>27912.928541250003</v>
      </c>
      <c r="F123" s="400">
        <f>C123*($M$2*$N$15)*0.25</f>
        <v>10473.757916652095</v>
      </c>
      <c r="G123" s="400">
        <f t="shared" si="10"/>
        <v>38386.686457902098</v>
      </c>
      <c r="H123" s="401"/>
      <c r="I123" s="401"/>
      <c r="J123" s="390"/>
    </row>
    <row r="124" spans="1:10">
      <c r="A124" s="392" t="s">
        <v>9</v>
      </c>
      <c r="B124" s="392" t="s">
        <v>108</v>
      </c>
      <c r="C124" s="391">
        <v>42133.1</v>
      </c>
      <c r="D124" s="391">
        <f>C124*$O$3</f>
        <v>13301.419669999999</v>
      </c>
      <c r="E124" s="400">
        <f>C124*$O$2*0.75</f>
        <v>10908.25959</v>
      </c>
      <c r="F124" s="400">
        <f>C124*($O$2*$P$15)*0.25</f>
        <v>3925.7934914152706</v>
      </c>
      <c r="G124" s="400">
        <f t="shared" si="10"/>
        <v>14834.05308141527</v>
      </c>
      <c r="H124" s="401"/>
      <c r="I124" s="401"/>
      <c r="J124" s="390"/>
    </row>
    <row r="125" spans="1:10">
      <c r="A125" s="392" t="s">
        <v>9</v>
      </c>
      <c r="B125" s="392" t="s">
        <v>109</v>
      </c>
      <c r="C125" s="391">
        <v>0</v>
      </c>
      <c r="D125" s="391">
        <f>C125*$Q$3</f>
        <v>0</v>
      </c>
      <c r="E125" s="400">
        <f>C125*$Q$2*0.75</f>
        <v>0</v>
      </c>
      <c r="F125" s="400">
        <f>C125*($Q$2*$R$15)*0.25</f>
        <v>0</v>
      </c>
      <c r="G125" s="400">
        <f t="shared" si="10"/>
        <v>0</v>
      </c>
      <c r="H125" s="401"/>
      <c r="I125" s="401"/>
      <c r="J125" s="390"/>
    </row>
    <row r="126" spans="1:10">
      <c r="A126" s="392" t="s">
        <v>9</v>
      </c>
      <c r="B126" s="392" t="s">
        <v>110</v>
      </c>
      <c r="C126" s="391">
        <v>57059.5</v>
      </c>
      <c r="D126" s="391">
        <f>C126*$S$3</f>
        <v>32523.914999999997</v>
      </c>
      <c r="E126" s="400">
        <f>C126*$S$2*0.75</f>
        <v>25111.885950000004</v>
      </c>
      <c r="F126" s="400">
        <f>C126*($S$2*$T$15)*0.25</f>
        <v>8770.143621178484</v>
      </c>
      <c r="G126" s="400">
        <f t="shared" si="10"/>
        <v>33882.029571178486</v>
      </c>
      <c r="H126" s="401"/>
      <c r="I126" s="401"/>
      <c r="J126" s="390"/>
    </row>
    <row r="127" spans="1:10">
      <c r="A127" s="389" t="s">
        <v>131</v>
      </c>
      <c r="B127" s="389"/>
      <c r="C127" s="387">
        <f>SUM(C123:C126)</f>
        <v>373453.75</v>
      </c>
      <c r="D127" s="387">
        <f>SUM(D123:D126)</f>
        <v>78489.837635000004</v>
      </c>
      <c r="E127" s="403">
        <f>SUM(E123:E126)</f>
        <v>63933.074081250008</v>
      </c>
      <c r="F127" s="403">
        <f>SUM(F123:F126)</f>
        <v>23169.69502924585</v>
      </c>
      <c r="G127" s="403">
        <f t="shared" si="10"/>
        <v>87102.769110495865</v>
      </c>
      <c r="H127" s="402">
        <f>G127</f>
        <v>87102.769110495865</v>
      </c>
      <c r="I127" s="402">
        <f>H127-D127</f>
        <v>8612.9314754958614</v>
      </c>
      <c r="J127" s="390"/>
    </row>
    <row r="128" spans="1:10">
      <c r="A128" s="392" t="s">
        <v>10</v>
      </c>
      <c r="B128" s="392" t="s">
        <v>107</v>
      </c>
      <c r="C128" s="391">
        <v>294195.55</v>
      </c>
      <c r="D128" s="391">
        <f>C128*$M$3</f>
        <v>35038.690004999997</v>
      </c>
      <c r="E128" s="400">
        <f>C128*$M$2*0.75</f>
        <v>29941.75210125</v>
      </c>
      <c r="F128" s="400">
        <f>C128*($M$2*$N$15)*0.25</f>
        <v>11235.032635341597</v>
      </c>
      <c r="G128" s="400">
        <f t="shared" si="10"/>
        <v>41176.784736591595</v>
      </c>
      <c r="H128" s="401"/>
      <c r="I128" s="401"/>
      <c r="J128" s="390"/>
    </row>
    <row r="129" spans="1:10">
      <c r="A129" s="392" t="s">
        <v>10</v>
      </c>
      <c r="B129" s="392" t="s">
        <v>108</v>
      </c>
      <c r="C129" s="391">
        <v>25440.012000000002</v>
      </c>
      <c r="D129" s="391">
        <f>C129*$O$3</f>
        <v>8031.4117884000007</v>
      </c>
      <c r="E129" s="400">
        <f>C129*$O$2*0.75</f>
        <v>6586.4191068000018</v>
      </c>
      <c r="F129" s="400">
        <f>C129*($O$2*$P$15)*0.25</f>
        <v>2370.3984167110038</v>
      </c>
      <c r="G129" s="400">
        <f t="shared" si="10"/>
        <v>8956.8175235110066</v>
      </c>
      <c r="H129" s="401"/>
      <c r="I129" s="401"/>
      <c r="J129" s="390"/>
    </row>
    <row r="130" spans="1:10">
      <c r="A130" s="392" t="s">
        <v>10</v>
      </c>
      <c r="B130" s="392" t="s">
        <v>109</v>
      </c>
      <c r="C130" s="391">
        <v>0</v>
      </c>
      <c r="D130" s="391">
        <f>C130*$Q$3</f>
        <v>0</v>
      </c>
      <c r="E130" s="400">
        <f>C130*$Q$2*0.75</f>
        <v>0</v>
      </c>
      <c r="F130" s="400">
        <f>C130*($Q$2*$R$15)*0.25</f>
        <v>0</v>
      </c>
      <c r="G130" s="400">
        <f t="shared" si="10"/>
        <v>0</v>
      </c>
      <c r="H130" s="401"/>
      <c r="I130" s="401"/>
      <c r="J130" s="390"/>
    </row>
    <row r="131" spans="1:10">
      <c r="A131" s="392" t="s">
        <v>10</v>
      </c>
      <c r="B131" s="392" t="s">
        <v>110</v>
      </c>
      <c r="C131" s="391">
        <v>57950</v>
      </c>
      <c r="D131" s="391">
        <f>C131*$S$3</f>
        <v>33031.5</v>
      </c>
      <c r="E131" s="400">
        <f>C131*$S$2*0.75</f>
        <v>25503.794999999998</v>
      </c>
      <c r="F131" s="400">
        <f>C131*($S$2*$T$15)*0.25</f>
        <v>8907.0150079705072</v>
      </c>
      <c r="G131" s="400">
        <f t="shared" si="10"/>
        <v>34410.810007970504</v>
      </c>
      <c r="H131" s="401"/>
      <c r="I131" s="401"/>
      <c r="J131" s="390"/>
    </row>
    <row r="132" spans="1:10">
      <c r="A132" s="389" t="s">
        <v>132</v>
      </c>
      <c r="B132" s="389"/>
      <c r="C132" s="387">
        <f>SUM(C128:C131)</f>
        <v>377585.56199999998</v>
      </c>
      <c r="D132" s="387">
        <f>SUM(D128:D131)</f>
        <v>76101.601793399997</v>
      </c>
      <c r="E132" s="403">
        <f>SUM(E128:E131)</f>
        <v>62031.966208049998</v>
      </c>
      <c r="F132" s="403">
        <f>SUM(F128:F131)</f>
        <v>22512.44606002311</v>
      </c>
      <c r="G132" s="403">
        <f t="shared" si="10"/>
        <v>84544.412268073109</v>
      </c>
      <c r="H132" s="402">
        <f>G132</f>
        <v>84544.412268073109</v>
      </c>
      <c r="I132" s="402">
        <f>H132-D132</f>
        <v>8442.8104746731115</v>
      </c>
      <c r="J132" s="390"/>
    </row>
    <row r="133" spans="1:10">
      <c r="A133" s="392" t="s">
        <v>11</v>
      </c>
      <c r="B133" s="392" t="s">
        <v>107</v>
      </c>
      <c r="C133" s="391">
        <v>264187.56</v>
      </c>
      <c r="D133" s="391">
        <f>C133*$M$3</f>
        <v>31464.738396000001</v>
      </c>
      <c r="E133" s="400">
        <f>C133*$M$2*0.75</f>
        <v>26887.688918999993</v>
      </c>
      <c r="F133" s="400">
        <f>C133*($M$2*$N$15)*0.25</f>
        <v>10089.057630039835</v>
      </c>
      <c r="G133" s="400">
        <f t="shared" si="10"/>
        <v>36976.746549039832</v>
      </c>
      <c r="H133" s="401"/>
      <c r="I133" s="401"/>
      <c r="J133" s="390"/>
    </row>
    <row r="134" spans="1:10">
      <c r="A134" s="392" t="s">
        <v>11</v>
      </c>
      <c r="B134" s="392" t="s">
        <v>108</v>
      </c>
      <c r="C134" s="391">
        <v>45136</v>
      </c>
      <c r="D134" s="391">
        <f>C134*$O$3</f>
        <v>14249.4352</v>
      </c>
      <c r="E134" s="400">
        <f>C134*$O$2*0.75</f>
        <v>11685.7104</v>
      </c>
      <c r="F134" s="400">
        <f>C134*($O$2*$P$15)*0.25</f>
        <v>4205.5916851245138</v>
      </c>
      <c r="G134" s="400">
        <f t="shared" si="10"/>
        <v>15891.302085124513</v>
      </c>
      <c r="H134" s="401"/>
      <c r="I134" s="401"/>
      <c r="J134" s="390"/>
    </row>
    <row r="135" spans="1:10">
      <c r="A135" s="392" t="s">
        <v>11</v>
      </c>
      <c r="B135" s="392" t="s">
        <v>109</v>
      </c>
      <c r="C135" s="391">
        <v>0</v>
      </c>
      <c r="D135" s="391">
        <f>C135*$Q$3</f>
        <v>0</v>
      </c>
      <c r="E135" s="400">
        <f>C135*$Q$2*0.75</f>
        <v>0</v>
      </c>
      <c r="F135" s="400">
        <f>C135*($Q$2*$R$15)*0.25</f>
        <v>0</v>
      </c>
      <c r="G135" s="400">
        <f t="shared" si="10"/>
        <v>0</v>
      </c>
      <c r="H135" s="401"/>
      <c r="I135" s="401"/>
      <c r="J135" s="390"/>
    </row>
    <row r="136" spans="1:10">
      <c r="A136" s="392" t="s">
        <v>11</v>
      </c>
      <c r="B136" s="392" t="s">
        <v>110</v>
      </c>
      <c r="C136" s="391">
        <v>57277.48</v>
      </c>
      <c r="D136" s="391">
        <f>C136*$S$3</f>
        <v>32648.1636</v>
      </c>
      <c r="E136" s="400">
        <f>C136*$S$2*0.75</f>
        <v>25207.818948</v>
      </c>
      <c r="F136" s="400">
        <f>C136*($S$2*$T$15)*0.25</f>
        <v>8803.6475233603214</v>
      </c>
      <c r="G136" s="400">
        <f t="shared" si="10"/>
        <v>34011.46647136032</v>
      </c>
      <c r="H136" s="401"/>
      <c r="I136" s="401"/>
      <c r="J136" s="390"/>
    </row>
    <row r="137" spans="1:10">
      <c r="A137" s="389" t="s">
        <v>133</v>
      </c>
      <c r="B137" s="389"/>
      <c r="C137" s="387">
        <f>SUM(C133:C136)</f>
        <v>366601.04</v>
      </c>
      <c r="D137" s="387">
        <f>SUM(D133:D136)</f>
        <v>78362.337196000008</v>
      </c>
      <c r="E137" s="403">
        <f>SUM(E133:E136)</f>
        <v>63781.218266999989</v>
      </c>
      <c r="F137" s="403">
        <f>SUM(F133:F136)</f>
        <v>23098.296838524671</v>
      </c>
      <c r="G137" s="403">
        <f t="shared" si="10"/>
        <v>86879.515105524653</v>
      </c>
      <c r="H137" s="402">
        <f>G137</f>
        <v>86879.515105524653</v>
      </c>
      <c r="I137" s="402">
        <f>H137-D137</f>
        <v>8517.1779095246457</v>
      </c>
      <c r="J137" s="390"/>
    </row>
    <row r="138" spans="1:10">
      <c r="A138" s="392" t="s">
        <v>19</v>
      </c>
      <c r="B138" s="392" t="s">
        <v>107</v>
      </c>
      <c r="C138" s="391">
        <v>402636.94</v>
      </c>
      <c r="D138" s="391">
        <f>C138*$M$3</f>
        <v>47954.059553999999</v>
      </c>
      <c r="E138" s="400">
        <f>C138*$M$2*0.75</f>
        <v>40978.374568499996</v>
      </c>
      <c r="F138" s="400">
        <f>C138*($M$2*$N$15)*0.25</f>
        <v>15376.300427025753</v>
      </c>
      <c r="G138" s="400">
        <f t="shared" si="10"/>
        <v>56354.674995525747</v>
      </c>
      <c r="H138" s="401"/>
      <c r="I138" s="401"/>
      <c r="J138" s="390"/>
    </row>
    <row r="139" spans="1:10">
      <c r="A139" s="392" t="s">
        <v>19</v>
      </c>
      <c r="B139" s="392" t="s">
        <v>108</v>
      </c>
      <c r="C139" s="391">
        <v>0</v>
      </c>
      <c r="D139" s="391">
        <f>C139*$O$3</f>
        <v>0</v>
      </c>
      <c r="E139" s="400">
        <f>C139*$O$2*0.75</f>
        <v>0</v>
      </c>
      <c r="F139" s="400">
        <f>C139*($O$2*$P$15)*0.25</f>
        <v>0</v>
      </c>
      <c r="G139" s="400">
        <f t="shared" si="10"/>
        <v>0</v>
      </c>
      <c r="H139" s="401"/>
      <c r="I139" s="401"/>
      <c r="J139" s="390"/>
    </row>
    <row r="140" spans="1:10">
      <c r="A140" s="392" t="s">
        <v>19</v>
      </c>
      <c r="B140" s="392" t="s">
        <v>109</v>
      </c>
      <c r="C140" s="391">
        <v>82891.95</v>
      </c>
      <c r="D140" s="391">
        <f>C140*$Q$3</f>
        <v>15417.902699999999</v>
      </c>
      <c r="E140" s="400">
        <f>C140*$Q$2*0.75</f>
        <v>13136.301776249999</v>
      </c>
      <c r="F140" s="400">
        <f>C140*($Q$2*$R$15)*0.25</f>
        <v>4809.3162222067767</v>
      </c>
      <c r="G140" s="400">
        <f t="shared" si="10"/>
        <v>17945.617998456775</v>
      </c>
      <c r="H140" s="401"/>
      <c r="I140" s="401"/>
      <c r="J140" s="390"/>
    </row>
    <row r="141" spans="1:10">
      <c r="A141" s="392" t="s">
        <v>19</v>
      </c>
      <c r="B141" s="392" t="s">
        <v>110</v>
      </c>
      <c r="C141" s="391">
        <v>71606.399999999994</v>
      </c>
      <c r="D141" s="391">
        <f>C141*$S$3</f>
        <v>40815.647999999994</v>
      </c>
      <c r="E141" s="400">
        <f>C141*$S$2*0.75</f>
        <v>31513.976639999997</v>
      </c>
      <c r="F141" s="400">
        <f>C141*($S$2*$T$15)*0.25</f>
        <v>11006.027255681436</v>
      </c>
      <c r="G141" s="400">
        <f t="shared" si="10"/>
        <v>42520.003895681431</v>
      </c>
      <c r="H141" s="401"/>
      <c r="I141" s="401"/>
      <c r="J141" s="390"/>
    </row>
    <row r="142" spans="1:10">
      <c r="A142" s="389" t="s">
        <v>134</v>
      </c>
      <c r="B142" s="389"/>
      <c r="C142" s="387">
        <f>SUM(C138:C141)</f>
        <v>557135.29</v>
      </c>
      <c r="D142" s="387">
        <f>SUM(D138:D141)</f>
        <v>104187.610254</v>
      </c>
      <c r="E142" s="403">
        <f>SUM(E138:E141)</f>
        <v>85628.652984749991</v>
      </c>
      <c r="F142" s="403">
        <f>SUM(F138:F141)</f>
        <v>31191.643904913966</v>
      </c>
      <c r="G142" s="403">
        <f t="shared" si="10"/>
        <v>116820.29688966396</v>
      </c>
      <c r="H142" s="402">
        <f>G142</f>
        <v>116820.29688966396</v>
      </c>
      <c r="I142" s="402">
        <f>H142-D142</f>
        <v>12632.686635663966</v>
      </c>
      <c r="J142" s="390"/>
    </row>
    <row r="143" spans="1:10">
      <c r="A143" s="392" t="s">
        <v>20</v>
      </c>
      <c r="B143" s="392" t="s">
        <v>107</v>
      </c>
      <c r="C143" s="391">
        <v>656663.9</v>
      </c>
      <c r="D143" s="391">
        <f>C143*$M$3</f>
        <v>78208.670490000004</v>
      </c>
      <c r="E143" s="400">
        <f>C143*$M$2*0.75</f>
        <v>66831.968422499995</v>
      </c>
      <c r="F143" s="400">
        <f>C143*($M$2*$N$15)*0.25</f>
        <v>25077.33494592522</v>
      </c>
      <c r="G143" s="400">
        <f t="shared" si="10"/>
        <v>91909.303368425215</v>
      </c>
      <c r="H143" s="401"/>
      <c r="I143" s="401"/>
      <c r="J143" s="390"/>
    </row>
    <row r="144" spans="1:10">
      <c r="A144" s="392" t="s">
        <v>20</v>
      </c>
      <c r="B144" s="392" t="s">
        <v>108</v>
      </c>
      <c r="C144" s="393">
        <v>39508</v>
      </c>
      <c r="D144" s="391">
        <f>C144*$O$3</f>
        <v>12472.675599999999</v>
      </c>
      <c r="E144" s="400">
        <f>C144*$O$2*0.75</f>
        <v>10228.6212</v>
      </c>
      <c r="F144" s="400">
        <f>C144*($O$2*$P$15)*0.25</f>
        <v>3681.197188406135</v>
      </c>
      <c r="G144" s="400">
        <f t="shared" si="10"/>
        <v>13909.818388406135</v>
      </c>
      <c r="H144" s="401"/>
      <c r="I144" s="401"/>
      <c r="J144" s="390"/>
    </row>
    <row r="145" spans="1:10">
      <c r="A145" s="392" t="s">
        <v>20</v>
      </c>
      <c r="B145" s="392"/>
      <c r="C145" s="393">
        <v>0</v>
      </c>
      <c r="D145" s="391">
        <f>C145*$Q$3</f>
        <v>0</v>
      </c>
      <c r="E145" s="400">
        <f>C145*$Q$2*0.75</f>
        <v>0</v>
      </c>
      <c r="F145" s="400">
        <f>C145*($Q$2*$R$15)*0.25</f>
        <v>0</v>
      </c>
      <c r="G145" s="400">
        <f t="shared" si="10"/>
        <v>0</v>
      </c>
      <c r="H145" s="401"/>
      <c r="I145" s="401"/>
      <c r="J145" s="390"/>
    </row>
    <row r="146" spans="1:10">
      <c r="A146" s="392" t="s">
        <v>20</v>
      </c>
      <c r="B146" s="392" t="s">
        <v>110</v>
      </c>
      <c r="C146" s="391">
        <v>75249.599999999991</v>
      </c>
      <c r="D146" s="391">
        <f>C146*$S$3</f>
        <v>42892.27199999999</v>
      </c>
      <c r="E146" s="400">
        <f>C146*$S$2*0.75</f>
        <v>33117.348959999996</v>
      </c>
      <c r="F146" s="400">
        <f>C146*($S$2*$T$15)*0.25</f>
        <v>11565.993382981491</v>
      </c>
      <c r="G146" s="400">
        <f t="shared" si="10"/>
        <v>44683.342342981487</v>
      </c>
      <c r="H146" s="401"/>
      <c r="I146" s="401"/>
      <c r="J146" s="390"/>
    </row>
    <row r="147" spans="1:10">
      <c r="A147" s="389" t="s">
        <v>135</v>
      </c>
      <c r="B147" s="389"/>
      <c r="C147" s="387">
        <f>SUM(C143:C146)</f>
        <v>771421.5</v>
      </c>
      <c r="D147" s="387">
        <f>SUM(D143:D146)</f>
        <v>133573.61809</v>
      </c>
      <c r="E147" s="403">
        <f>SUM(E143:E146)</f>
        <v>110177.93858249998</v>
      </c>
      <c r="F147" s="403">
        <f>SUM(F143:F146)</f>
        <v>40324.525517312846</v>
      </c>
      <c r="G147" s="403">
        <f t="shared" si="10"/>
        <v>150502.46409981282</v>
      </c>
      <c r="H147" s="402">
        <f>G147</f>
        <v>150502.46409981282</v>
      </c>
      <c r="I147" s="402">
        <f>H147-D147</f>
        <v>16928.846009812813</v>
      </c>
      <c r="J147" s="390"/>
    </row>
    <row r="148" spans="1:10">
      <c r="A148" s="392" t="s">
        <v>39</v>
      </c>
      <c r="B148" s="392" t="s">
        <v>107</v>
      </c>
      <c r="C148" s="391">
        <v>2234484.2000000002</v>
      </c>
      <c r="D148" s="391">
        <f>C148*$M$3</f>
        <v>266127.06822000002</v>
      </c>
      <c r="E148" s="400">
        <f>C148*$M$2*0.75</f>
        <v>227414.62945499999</v>
      </c>
      <c r="F148" s="400">
        <f>C148*($M$2*$N$15)*0.25</f>
        <v>85332.707820207215</v>
      </c>
      <c r="G148" s="400">
        <f t="shared" si="10"/>
        <v>312747.33727520722</v>
      </c>
      <c r="H148" s="401"/>
      <c r="I148" s="401"/>
      <c r="J148" s="390"/>
    </row>
    <row r="149" spans="1:10">
      <c r="A149" s="392" t="s">
        <v>39</v>
      </c>
      <c r="B149" s="392" t="s">
        <v>108</v>
      </c>
      <c r="C149" s="391">
        <v>185829.4</v>
      </c>
      <c r="D149" s="391">
        <f>C149*$O$3</f>
        <v>58666.341579999993</v>
      </c>
      <c r="E149" s="400">
        <f>C149*$O$2*0.75</f>
        <v>48111.231659999998</v>
      </c>
      <c r="F149" s="400">
        <f>C149*($O$2*$P$15)*0.25</f>
        <v>17314.839141520679</v>
      </c>
      <c r="G149" s="400">
        <f t="shared" si="10"/>
        <v>65426.070801520676</v>
      </c>
      <c r="H149" s="401"/>
      <c r="I149" s="401"/>
      <c r="J149" s="390"/>
    </row>
    <row r="150" spans="1:10">
      <c r="A150" s="392" t="s">
        <v>39</v>
      </c>
      <c r="B150" s="392" t="s">
        <v>109</v>
      </c>
      <c r="C150" s="391">
        <v>44782.400000000001</v>
      </c>
      <c r="D150" s="391">
        <f>C150*$Q$3</f>
        <v>8329.5264000000006</v>
      </c>
      <c r="E150" s="400">
        <f>C150*$Q$2*0.75</f>
        <v>7096.89084</v>
      </c>
      <c r="F150" s="400">
        <f>C150*($Q$2*$R$15)*0.25</f>
        <v>2598.2344822308169</v>
      </c>
      <c r="G150" s="400">
        <f t="shared" si="10"/>
        <v>9695.1253222308169</v>
      </c>
      <c r="H150" s="401"/>
      <c r="I150" s="401"/>
      <c r="J150" s="390"/>
    </row>
    <row r="151" spans="1:10">
      <c r="A151" s="392" t="s">
        <v>39</v>
      </c>
      <c r="B151" s="392" t="s">
        <v>110</v>
      </c>
      <c r="C151" s="391">
        <v>75951</v>
      </c>
      <c r="D151" s="391">
        <f>C151*$S$3</f>
        <v>43292.07</v>
      </c>
      <c r="E151" s="400">
        <f>C151*$S$2*0.75</f>
        <v>33426.035099999994</v>
      </c>
      <c r="F151" s="400">
        <f>C151*($S$2*$T$15)*0.25</f>
        <v>11673.799773431716</v>
      </c>
      <c r="G151" s="400">
        <f t="shared" si="10"/>
        <v>45099.834873431711</v>
      </c>
      <c r="H151" s="401"/>
      <c r="I151" s="401"/>
      <c r="J151" s="390"/>
    </row>
    <row r="152" spans="1:10">
      <c r="A152" s="389" t="s">
        <v>136</v>
      </c>
      <c r="B152" s="389"/>
      <c r="C152" s="387">
        <f>SUM(C148:C151)</f>
        <v>2541047</v>
      </c>
      <c r="D152" s="387">
        <f>SUM(D148:D151)</f>
        <v>376415.0062</v>
      </c>
      <c r="E152" s="403">
        <f>SUM(E148:E151)</f>
        <v>316048.78705499996</v>
      </c>
      <c r="F152" s="403">
        <f>SUM(F148:F151)</f>
        <v>116919.58121739044</v>
      </c>
      <c r="G152" s="403">
        <f t="shared" si="10"/>
        <v>432968.36827239039</v>
      </c>
      <c r="H152" s="402">
        <f>G152</f>
        <v>432968.36827239039</v>
      </c>
      <c r="I152" s="402">
        <f>H152-D152</f>
        <v>56553.362072390388</v>
      </c>
      <c r="J152" s="390"/>
    </row>
    <row r="153" spans="1:10">
      <c r="A153" s="392" t="s">
        <v>30</v>
      </c>
      <c r="B153" s="392" t="s">
        <v>107</v>
      </c>
      <c r="C153" s="391">
        <v>1231106.68</v>
      </c>
      <c r="D153" s="391">
        <f>C153*$M$3</f>
        <v>146624.80558799999</v>
      </c>
      <c r="E153" s="400">
        <f>C153*$M$2*0.75</f>
        <v>125295.88235699997</v>
      </c>
      <c r="F153" s="400">
        <f>C153*($M$2*$N$15)*0.25</f>
        <v>47014.7278821418</v>
      </c>
      <c r="G153" s="400">
        <f t="shared" si="10"/>
        <v>172310.61023914177</v>
      </c>
      <c r="H153" s="401"/>
      <c r="I153" s="401"/>
      <c r="J153" s="390"/>
    </row>
    <row r="154" spans="1:10">
      <c r="A154" s="392" t="s">
        <v>30</v>
      </c>
      <c r="B154" s="392" t="s">
        <v>108</v>
      </c>
      <c r="C154" s="391">
        <v>313205.90000000002</v>
      </c>
      <c r="D154" s="391">
        <f>C154*$O$3</f>
        <v>98879.102630000009</v>
      </c>
      <c r="E154" s="400">
        <f>C154*$O$2*0.75</f>
        <v>81089.007509999996</v>
      </c>
      <c r="F154" s="400">
        <f>C154*($O$2*$P$15)*0.25</f>
        <v>29183.271197535007</v>
      </c>
      <c r="G154" s="400">
        <f t="shared" si="10"/>
        <v>110272.27870753501</v>
      </c>
      <c r="H154" s="401"/>
      <c r="I154" s="401"/>
      <c r="J154" s="390"/>
    </row>
    <row r="155" spans="1:10">
      <c r="A155" s="392" t="s">
        <v>30</v>
      </c>
      <c r="B155" s="392" t="s">
        <v>109</v>
      </c>
      <c r="C155" s="391">
        <v>14209.5</v>
      </c>
      <c r="D155" s="391">
        <f>C155*$Q$3</f>
        <v>2642.9670000000001</v>
      </c>
      <c r="E155" s="400">
        <f>C155*$Q$2*0.75</f>
        <v>2251.8505125000001</v>
      </c>
      <c r="F155" s="400">
        <f>C155*($Q$2*$R$15)*0.25</f>
        <v>824.42238190134503</v>
      </c>
      <c r="G155" s="400">
        <f t="shared" si="10"/>
        <v>3076.2728944013452</v>
      </c>
      <c r="H155" s="401"/>
      <c r="I155" s="401"/>
      <c r="J155" s="390"/>
    </row>
    <row r="156" spans="1:10">
      <c r="A156" s="392" t="s">
        <v>30</v>
      </c>
      <c r="B156" s="392" t="s">
        <v>110</v>
      </c>
      <c r="C156" s="391">
        <v>56791.98</v>
      </c>
      <c r="D156" s="391">
        <f>C156*$S$3</f>
        <v>32371.428599999999</v>
      </c>
      <c r="E156" s="400">
        <f>C156*$S$2*0.75</f>
        <v>24994.150398000005</v>
      </c>
      <c r="F156" s="400">
        <f>C156*($S$2*$T$15)*0.25</f>
        <v>8729.0253355023451</v>
      </c>
      <c r="G156" s="400">
        <f t="shared" si="10"/>
        <v>33723.17573350235</v>
      </c>
      <c r="H156" s="401"/>
      <c r="I156" s="401"/>
      <c r="J156" s="390"/>
    </row>
    <row r="157" spans="1:10">
      <c r="A157" s="389" t="s">
        <v>137</v>
      </c>
      <c r="B157" s="389"/>
      <c r="C157" s="387">
        <f>SUM(C153:C156)</f>
        <v>1615314.06</v>
      </c>
      <c r="D157" s="387">
        <f>SUM(D153:D156)</f>
        <v>280518.30381800001</v>
      </c>
      <c r="E157" s="403">
        <f>SUM(E153:E156)</f>
        <v>233630.89077749997</v>
      </c>
      <c r="F157" s="403">
        <f>SUM(F153:F156)</f>
        <v>85751.446797080498</v>
      </c>
      <c r="G157" s="403">
        <f t="shared" si="10"/>
        <v>319382.33757458045</v>
      </c>
      <c r="H157" s="402">
        <f>G157</f>
        <v>319382.33757458045</v>
      </c>
      <c r="I157" s="402">
        <f>H157-D157</f>
        <v>38864.033756580437</v>
      </c>
      <c r="J157" s="390"/>
    </row>
    <row r="158" spans="1:10">
      <c r="A158" s="392" t="s">
        <v>64</v>
      </c>
      <c r="B158" s="392" t="s">
        <v>107</v>
      </c>
      <c r="C158" s="391">
        <v>18084379.789999999</v>
      </c>
      <c r="D158" s="391">
        <f>C158*$M$3</f>
        <v>2153849.6329890001</v>
      </c>
      <c r="E158" s="400">
        <f>C158*$M$2*0.75</f>
        <v>1840537.7531272499</v>
      </c>
      <c r="F158" s="400">
        <f>C158*($M$2*$N$15)*0.25</f>
        <v>690624.30458435556</v>
      </c>
      <c r="G158" s="400">
        <f t="shared" si="10"/>
        <v>2531162.0577116054</v>
      </c>
      <c r="H158" s="401"/>
      <c r="I158" s="401"/>
      <c r="J158" s="390"/>
    </row>
    <row r="159" spans="1:10">
      <c r="A159" s="392" t="s">
        <v>64</v>
      </c>
      <c r="B159" s="392" t="s">
        <v>108</v>
      </c>
      <c r="C159" s="391">
        <v>136751.29</v>
      </c>
      <c r="D159" s="391">
        <f>C159*$O$3</f>
        <v>43172.382253000003</v>
      </c>
      <c r="E159" s="400">
        <f>C159*$O$2*0.75</f>
        <v>35404.908981</v>
      </c>
      <c r="F159" s="400">
        <f>C159*($O$2*$P$15)*0.25</f>
        <v>12741.937436947252</v>
      </c>
      <c r="G159" s="400">
        <f t="shared" si="10"/>
        <v>48146.84641794725</v>
      </c>
      <c r="H159" s="401"/>
      <c r="I159" s="401"/>
      <c r="J159" s="390"/>
    </row>
    <row r="160" spans="1:10">
      <c r="A160" s="392" t="s">
        <v>64</v>
      </c>
      <c r="B160" s="392" t="s">
        <v>109</v>
      </c>
      <c r="C160" s="391">
        <v>1359272.59</v>
      </c>
      <c r="D160" s="391">
        <f>C160*$Q$3</f>
        <v>252824.70174000002</v>
      </c>
      <c r="E160" s="400">
        <f>C160*$Q$2*0.75</f>
        <v>215410.72370025</v>
      </c>
      <c r="F160" s="400">
        <f>C160*($Q$2*$R$15)*0.25</f>
        <v>78863.770456455924</v>
      </c>
      <c r="G160" s="400">
        <f t="shared" si="10"/>
        <v>294274.49415670591</v>
      </c>
      <c r="H160" s="401"/>
      <c r="I160" s="401"/>
      <c r="J160" s="390"/>
    </row>
    <row r="161" spans="1:10">
      <c r="A161" s="392" t="s">
        <v>64</v>
      </c>
      <c r="B161" s="392" t="s">
        <v>110</v>
      </c>
      <c r="C161" s="391">
        <v>117644.4</v>
      </c>
      <c r="D161" s="391">
        <f>C161*$S$3</f>
        <v>67057.30799999999</v>
      </c>
      <c r="E161" s="400">
        <f>C161*$S$2*0.75</f>
        <v>51775.300439999999</v>
      </c>
      <c r="F161" s="400">
        <f>C161*($S$2*$T$15)*0.25</f>
        <v>18082.147306362131</v>
      </c>
      <c r="G161" s="400">
        <f t="shared" si="10"/>
        <v>69857.44774636213</v>
      </c>
      <c r="H161" s="401"/>
      <c r="I161" s="401"/>
      <c r="J161" s="390"/>
    </row>
    <row r="162" spans="1:10">
      <c r="A162" s="389" t="s">
        <v>138</v>
      </c>
      <c r="B162" s="389"/>
      <c r="C162" s="387">
        <f>SUM(C158:C161)</f>
        <v>19698048.069999997</v>
      </c>
      <c r="D162" s="387">
        <f>SUM(D158:D161)</f>
        <v>2516904.0249820002</v>
      </c>
      <c r="E162" s="403">
        <f>SUM(E158:E161)</f>
        <v>2143128.6862484999</v>
      </c>
      <c r="F162" s="403">
        <f>SUM(F158:F161)</f>
        <v>800312.15978412086</v>
      </c>
      <c r="G162" s="403">
        <f t="shared" si="10"/>
        <v>2943440.8460326209</v>
      </c>
      <c r="H162" s="402">
        <f>G162</f>
        <v>2943440.8460326209</v>
      </c>
      <c r="I162" s="402">
        <f>H162-D162</f>
        <v>426536.82105062064</v>
      </c>
      <c r="J162" s="390"/>
    </row>
    <row r="163" spans="1:10">
      <c r="A163" s="392" t="s">
        <v>12</v>
      </c>
      <c r="B163" s="392" t="s">
        <v>107</v>
      </c>
      <c r="C163" s="391">
        <v>216216.28</v>
      </c>
      <c r="D163" s="391">
        <f>C163*$M$3</f>
        <v>25751.358948000001</v>
      </c>
      <c r="E163" s="400">
        <f>C163*$M$2*0.75</f>
        <v>22005.411896999998</v>
      </c>
      <c r="F163" s="400">
        <f>C163*($M$2*$N$15)*0.25</f>
        <v>8257.0826176403971</v>
      </c>
      <c r="G163" s="400">
        <f t="shared" si="10"/>
        <v>30262.494514640395</v>
      </c>
      <c r="H163" s="401"/>
      <c r="I163" s="401"/>
      <c r="J163" s="390"/>
    </row>
    <row r="164" spans="1:10">
      <c r="A164" s="392" t="s">
        <v>12</v>
      </c>
      <c r="B164" s="392" t="s">
        <v>108</v>
      </c>
      <c r="C164" s="391">
        <v>112860.34</v>
      </c>
      <c r="D164" s="391">
        <f>C164*$O$3</f>
        <v>35630.009337999996</v>
      </c>
      <c r="E164" s="400">
        <f>C164*$O$2*0.75</f>
        <v>29219.542025999996</v>
      </c>
      <c r="F164" s="400">
        <f>C164*($O$2*$P$15)*0.25</f>
        <v>10515.874412538231</v>
      </c>
      <c r="G164" s="400">
        <f t="shared" si="10"/>
        <v>39735.416438538225</v>
      </c>
      <c r="H164" s="401"/>
      <c r="I164" s="401"/>
      <c r="J164" s="390"/>
    </row>
    <row r="165" spans="1:10">
      <c r="A165" s="392" t="s">
        <v>12</v>
      </c>
      <c r="B165" s="392" t="s">
        <v>109</v>
      </c>
      <c r="C165" s="391">
        <v>0</v>
      </c>
      <c r="D165" s="391">
        <f>C165*$Q$3</f>
        <v>0</v>
      </c>
      <c r="E165" s="400">
        <f>C165*$Q$2*0.75</f>
        <v>0</v>
      </c>
      <c r="F165" s="400">
        <f>C165*($Q$2*$R$15)*0.25</f>
        <v>0</v>
      </c>
      <c r="G165" s="400">
        <f t="shared" si="10"/>
        <v>0</v>
      </c>
      <c r="H165" s="401"/>
      <c r="I165" s="401"/>
      <c r="J165" s="390"/>
    </row>
    <row r="166" spans="1:10">
      <c r="A166" s="392" t="s">
        <v>12</v>
      </c>
      <c r="B166" s="392" t="s">
        <v>110</v>
      </c>
      <c r="C166" s="391">
        <v>70269</v>
      </c>
      <c r="D166" s="391">
        <f>C166*$S$3</f>
        <v>40053.329999999994</v>
      </c>
      <c r="E166" s="400">
        <f>C166*$S$2*0.75</f>
        <v>30925.386899999998</v>
      </c>
      <c r="F166" s="400">
        <f>C166*($S$2*$T$15)*0.25</f>
        <v>10800.466567645894</v>
      </c>
      <c r="G166" s="400">
        <f t="shared" si="10"/>
        <v>41725.853467645895</v>
      </c>
      <c r="H166" s="401"/>
      <c r="I166" s="401"/>
      <c r="J166" s="390"/>
    </row>
    <row r="167" spans="1:10">
      <c r="A167" s="389" t="s">
        <v>139</v>
      </c>
      <c r="B167" s="389"/>
      <c r="C167" s="387">
        <f>SUM(C163:C166)</f>
        <v>399345.62</v>
      </c>
      <c r="D167" s="387">
        <f>SUM(D163:D166)</f>
        <v>101434.698286</v>
      </c>
      <c r="E167" s="403">
        <f>SUM(E163:E166)</f>
        <v>82150.340822999991</v>
      </c>
      <c r="F167" s="403">
        <f>SUM(F163:F166)</f>
        <v>29573.423597824523</v>
      </c>
      <c r="G167" s="403">
        <f t="shared" si="10"/>
        <v>111723.76442082452</v>
      </c>
      <c r="H167" s="402">
        <f>G167</f>
        <v>111723.76442082452</v>
      </c>
      <c r="I167" s="402">
        <f>H167-D167</f>
        <v>10289.066134824519</v>
      </c>
      <c r="J167" s="390"/>
    </row>
    <row r="168" spans="1:10">
      <c r="A168" s="392" t="s">
        <v>31</v>
      </c>
      <c r="B168" s="392" t="s">
        <v>107</v>
      </c>
      <c r="C168" s="391">
        <v>2031189.03</v>
      </c>
      <c r="D168" s="391">
        <f>C168*$M$3</f>
        <v>241914.613473</v>
      </c>
      <c r="E168" s="400">
        <f>C168*$M$2*0.75</f>
        <v>206724.26352824998</v>
      </c>
      <c r="F168" s="400">
        <f>C168*($M$2*$N$15)*0.25</f>
        <v>77569.069418615749</v>
      </c>
      <c r="G168" s="400">
        <f t="shared" si="10"/>
        <v>284293.3329468657</v>
      </c>
      <c r="H168" s="401"/>
      <c r="I168" s="401"/>
      <c r="J168" s="390"/>
    </row>
    <row r="169" spans="1:10">
      <c r="A169" s="392" t="s">
        <v>31</v>
      </c>
      <c r="B169" s="392" t="s">
        <v>108</v>
      </c>
      <c r="C169" s="391">
        <v>103564.54</v>
      </c>
      <c r="D169" s="391">
        <f>C169*$O$3</f>
        <v>32695.325277999997</v>
      </c>
      <c r="E169" s="400">
        <f>C169*$O$2*0.75</f>
        <v>26812.859405999996</v>
      </c>
      <c r="F169" s="400">
        <f>C169*($O$2*$P$15)*0.25</f>
        <v>9649.7290034062644</v>
      </c>
      <c r="G169" s="400">
        <f t="shared" ref="G169:G232" si="11">E169+F169</f>
        <v>36462.588409406264</v>
      </c>
      <c r="H169" s="401"/>
      <c r="I169" s="401"/>
      <c r="J169" s="390"/>
    </row>
    <row r="170" spans="1:10">
      <c r="A170" s="392" t="s">
        <v>31</v>
      </c>
      <c r="B170" s="392" t="s">
        <v>109</v>
      </c>
      <c r="C170" s="391">
        <v>123587.88400000001</v>
      </c>
      <c r="D170" s="391">
        <f>C170*$Q$3</f>
        <v>22987.346423999999</v>
      </c>
      <c r="E170" s="400">
        <f>C170*$Q$2*0.75</f>
        <v>19585.5899169</v>
      </c>
      <c r="F170" s="400">
        <f>C170*($Q$2*$R$15)*0.25</f>
        <v>7170.4576305589308</v>
      </c>
      <c r="G170" s="400">
        <f t="shared" si="11"/>
        <v>26756.047547458933</v>
      </c>
      <c r="H170" s="401"/>
      <c r="I170" s="401"/>
      <c r="J170" s="390"/>
    </row>
    <row r="171" spans="1:10">
      <c r="A171" s="392" t="s">
        <v>31</v>
      </c>
      <c r="B171" s="392" t="s">
        <v>110</v>
      </c>
      <c r="C171" s="391">
        <v>91660.376000000004</v>
      </c>
      <c r="D171" s="391">
        <f>C171*$S$3</f>
        <v>52246.414319999996</v>
      </c>
      <c r="E171" s="400">
        <f>C171*$S$2*0.75</f>
        <v>40339.731477599998</v>
      </c>
      <c r="F171" s="400">
        <f>C171*($S$2*$T$15)*0.25</f>
        <v>14088.357975292833</v>
      </c>
      <c r="G171" s="400">
        <f t="shared" si="11"/>
        <v>54428.089452892833</v>
      </c>
      <c r="H171" s="401"/>
      <c r="I171" s="401"/>
      <c r="J171" s="390"/>
    </row>
    <row r="172" spans="1:10">
      <c r="A172" s="389" t="s">
        <v>140</v>
      </c>
      <c r="B172" s="389"/>
      <c r="C172" s="387">
        <f>SUM(C168:C171)</f>
        <v>2350001.83</v>
      </c>
      <c r="D172" s="387">
        <f>SUM(D168:D171)</f>
        <v>349843.69949499995</v>
      </c>
      <c r="E172" s="403">
        <f>SUM(E168:E171)</f>
        <v>293462.44432875002</v>
      </c>
      <c r="F172" s="403">
        <f>SUM(F168:F171)</f>
        <v>108477.61402787377</v>
      </c>
      <c r="G172" s="403">
        <f t="shared" si="11"/>
        <v>401940.05835662381</v>
      </c>
      <c r="H172" s="402">
        <f>G172</f>
        <v>401940.05835662381</v>
      </c>
      <c r="I172" s="402">
        <f>H172-D172</f>
        <v>52096.358861623856</v>
      </c>
      <c r="J172" s="390"/>
    </row>
    <row r="173" spans="1:10">
      <c r="A173" s="392" t="s">
        <v>21</v>
      </c>
      <c r="B173" s="392" t="s">
        <v>107</v>
      </c>
      <c r="C173" s="391">
        <v>698671.2</v>
      </c>
      <c r="D173" s="391">
        <f>C173*$M$3</f>
        <v>83211.739919999993</v>
      </c>
      <c r="E173" s="400">
        <f>C173*$M$2*0.75</f>
        <v>71107.261379999996</v>
      </c>
      <c r="F173" s="400">
        <f>C173*($M$2*$N$15)*0.25</f>
        <v>26681.551550909844</v>
      </c>
      <c r="G173" s="400">
        <f t="shared" si="11"/>
        <v>97788.812930909844</v>
      </c>
      <c r="H173" s="401"/>
      <c r="I173" s="401"/>
      <c r="J173" s="390"/>
    </row>
    <row r="174" spans="1:10">
      <c r="A174" s="392" t="s">
        <v>21</v>
      </c>
      <c r="B174" s="392" t="s">
        <v>108</v>
      </c>
      <c r="C174" s="391">
        <v>49835.015999999996</v>
      </c>
      <c r="D174" s="391">
        <f>C174*$O$3</f>
        <v>15732.914551199998</v>
      </c>
      <c r="E174" s="400">
        <f>C174*$O$2*0.75</f>
        <v>12902.285642399998</v>
      </c>
      <c r="F174" s="400">
        <f>C174*($O$2*$P$15)*0.25</f>
        <v>4643.4271738223833</v>
      </c>
      <c r="G174" s="400">
        <f t="shared" si="11"/>
        <v>17545.712816222382</v>
      </c>
      <c r="H174" s="401"/>
      <c r="I174" s="401"/>
      <c r="J174" s="390"/>
    </row>
    <row r="175" spans="1:10">
      <c r="A175" s="392" t="s">
        <v>21</v>
      </c>
      <c r="B175" s="392" t="s">
        <v>109</v>
      </c>
      <c r="C175" s="391">
        <v>0</v>
      </c>
      <c r="D175" s="391">
        <f>C175*$Q$3</f>
        <v>0</v>
      </c>
      <c r="E175" s="400">
        <f>C175*$Q$2*0.75</f>
        <v>0</v>
      </c>
      <c r="F175" s="400">
        <f>C175*($Q$2*$R$15)*0.25</f>
        <v>0</v>
      </c>
      <c r="G175" s="400">
        <f t="shared" si="11"/>
        <v>0</v>
      </c>
      <c r="H175" s="401"/>
      <c r="I175" s="401"/>
      <c r="J175" s="390"/>
    </row>
    <row r="176" spans="1:10">
      <c r="A176" s="392" t="s">
        <v>21</v>
      </c>
      <c r="B176" s="392" t="s">
        <v>110</v>
      </c>
      <c r="C176" s="391">
        <v>76837.8</v>
      </c>
      <c r="D176" s="391">
        <f>C176*$S$3</f>
        <v>43797.545999999995</v>
      </c>
      <c r="E176" s="400">
        <f>C176*$S$2*0.75</f>
        <v>33816.315780000004</v>
      </c>
      <c r="F176" s="400">
        <f>C176*($S$2*$T$15)*0.25</f>
        <v>11810.102463838417</v>
      </c>
      <c r="G176" s="400">
        <f t="shared" si="11"/>
        <v>45626.418243838423</v>
      </c>
      <c r="H176" s="401"/>
      <c r="I176" s="401"/>
      <c r="J176" s="390"/>
    </row>
    <row r="177" spans="1:10">
      <c r="A177" s="389" t="s">
        <v>141</v>
      </c>
      <c r="B177" s="389"/>
      <c r="C177" s="387">
        <f>SUM(C173:C176)</f>
        <v>825344.01599999995</v>
      </c>
      <c r="D177" s="387">
        <f>SUM(D173:D176)</f>
        <v>142742.20047119999</v>
      </c>
      <c r="E177" s="403">
        <f>SUM(E173:E176)</f>
        <v>117825.86280239999</v>
      </c>
      <c r="F177" s="403">
        <f>SUM(F173:F176)</f>
        <v>43135.081188570643</v>
      </c>
      <c r="G177" s="403">
        <f t="shared" si="11"/>
        <v>160960.94399097064</v>
      </c>
      <c r="H177" s="402">
        <f>G177</f>
        <v>160960.94399097064</v>
      </c>
      <c r="I177" s="402">
        <f>H177-D177</f>
        <v>18218.743519770651</v>
      </c>
      <c r="J177" s="390"/>
    </row>
    <row r="178" spans="1:10">
      <c r="A178" s="392" t="s">
        <v>13</v>
      </c>
      <c r="B178" s="392" t="s">
        <v>107</v>
      </c>
      <c r="C178" s="391">
        <v>260844.48</v>
      </c>
      <c r="D178" s="391">
        <f>C178*$M$3</f>
        <v>31066.577568000001</v>
      </c>
      <c r="E178" s="400">
        <f>C178*$M$2*0.75</f>
        <v>26547.446951999998</v>
      </c>
      <c r="F178" s="400">
        <f>C178*($M$2*$N$15)*0.25</f>
        <v>9961.3887618242643</v>
      </c>
      <c r="G178" s="400">
        <f t="shared" si="11"/>
        <v>36508.835713824265</v>
      </c>
      <c r="H178" s="401"/>
      <c r="I178" s="401"/>
      <c r="J178" s="390"/>
    </row>
    <row r="179" spans="1:10">
      <c r="A179" s="392" t="s">
        <v>13</v>
      </c>
      <c r="B179" s="392" t="s">
        <v>108</v>
      </c>
      <c r="C179" s="391">
        <v>0</v>
      </c>
      <c r="D179" s="391">
        <f>C179*$O$3</f>
        <v>0</v>
      </c>
      <c r="E179" s="400">
        <f>C179*$O$2*0.75</f>
        <v>0</v>
      </c>
      <c r="F179" s="400">
        <f>C179*($O$2*$P$15)*0.25</f>
        <v>0</v>
      </c>
      <c r="G179" s="400">
        <f t="shared" si="11"/>
        <v>0</v>
      </c>
      <c r="H179" s="401"/>
      <c r="I179" s="401"/>
      <c r="J179" s="390"/>
    </row>
    <row r="180" spans="1:10">
      <c r="A180" s="392" t="s">
        <v>13</v>
      </c>
      <c r="B180" s="392" t="s">
        <v>109</v>
      </c>
      <c r="C180" s="391">
        <v>0</v>
      </c>
      <c r="D180" s="391">
        <f>C180*$Q$3</f>
        <v>0</v>
      </c>
      <c r="E180" s="400">
        <f>C180*$Q$2*0.75</f>
        <v>0</v>
      </c>
      <c r="F180" s="400">
        <f>C180*($Q$2*$R$15)*0.25</f>
        <v>0</v>
      </c>
      <c r="G180" s="400">
        <f t="shared" si="11"/>
        <v>0</v>
      </c>
      <c r="H180" s="401"/>
      <c r="I180" s="401"/>
      <c r="J180" s="390"/>
    </row>
    <row r="181" spans="1:10">
      <c r="A181" s="392" t="s">
        <v>13</v>
      </c>
      <c r="B181" s="392" t="s">
        <v>110</v>
      </c>
      <c r="C181" s="391">
        <v>57548.52</v>
      </c>
      <c r="D181" s="391">
        <f>C181*$S$3</f>
        <v>32802.656399999993</v>
      </c>
      <c r="E181" s="400">
        <f>C181*$S$2*0.75</f>
        <v>25327.103651999998</v>
      </c>
      <c r="F181" s="400">
        <f>C181*($S$2*$T$15)*0.25</f>
        <v>8845.3068391111447</v>
      </c>
      <c r="G181" s="400">
        <f t="shared" si="11"/>
        <v>34172.410491111143</v>
      </c>
      <c r="H181" s="401"/>
      <c r="I181" s="401"/>
      <c r="J181" s="390"/>
    </row>
    <row r="182" spans="1:10">
      <c r="A182" s="389" t="s">
        <v>142</v>
      </c>
      <c r="B182" s="389"/>
      <c r="C182" s="387">
        <f>SUM(C178:C181)</f>
        <v>318393</v>
      </c>
      <c r="D182" s="387">
        <f>SUM(D178:D181)</f>
        <v>63869.233967999993</v>
      </c>
      <c r="E182" s="403">
        <f>SUM(E178:E181)</f>
        <v>51874.550603999996</v>
      </c>
      <c r="F182" s="403">
        <f>SUM(F178:F181)</f>
        <v>18806.695600935411</v>
      </c>
      <c r="G182" s="403">
        <f t="shared" si="11"/>
        <v>70681.246204935407</v>
      </c>
      <c r="H182" s="402">
        <f>G182</f>
        <v>70681.246204935407</v>
      </c>
      <c r="I182" s="402">
        <f>H182-D182</f>
        <v>6812.012236935414</v>
      </c>
      <c r="J182" s="390"/>
    </row>
    <row r="183" spans="1:10">
      <c r="A183" s="392" t="s">
        <v>2</v>
      </c>
      <c r="B183" s="392" t="s">
        <v>107</v>
      </c>
      <c r="C183" s="391">
        <v>119572.91</v>
      </c>
      <c r="D183" s="391">
        <f>C183*$M$3</f>
        <v>14241.133581</v>
      </c>
      <c r="E183" s="400">
        <f>C183*$M$2*0.75</f>
        <v>12169.53291525</v>
      </c>
      <c r="F183" s="400">
        <f>C183*($M$2*$N$15)*0.25</f>
        <v>4566.3693626663071</v>
      </c>
      <c r="G183" s="400">
        <f t="shared" si="11"/>
        <v>16735.902277916306</v>
      </c>
      <c r="H183" s="401"/>
      <c r="I183" s="401"/>
      <c r="J183" s="390"/>
    </row>
    <row r="184" spans="1:10">
      <c r="A184" s="392" t="s">
        <v>2</v>
      </c>
      <c r="B184" s="392" t="s">
        <v>108</v>
      </c>
      <c r="C184" s="391">
        <v>0</v>
      </c>
      <c r="D184" s="391">
        <f>C184*$O$3</f>
        <v>0</v>
      </c>
      <c r="E184" s="400">
        <f>C184*$O$2*0.75</f>
        <v>0</v>
      </c>
      <c r="F184" s="400">
        <f>C184*($O$2*$P$15)*0.25</f>
        <v>0</v>
      </c>
      <c r="G184" s="400">
        <f t="shared" si="11"/>
        <v>0</v>
      </c>
      <c r="H184" s="401"/>
      <c r="I184" s="401"/>
      <c r="J184" s="390"/>
    </row>
    <row r="185" spans="1:10">
      <c r="A185" s="392" t="s">
        <v>2</v>
      </c>
      <c r="B185" s="392" t="s">
        <v>109</v>
      </c>
      <c r="C185" s="391">
        <v>0</v>
      </c>
      <c r="D185" s="391">
        <f>C185*$Q$3</f>
        <v>0</v>
      </c>
      <c r="E185" s="400">
        <f>C185*$Q$2*0.75</f>
        <v>0</v>
      </c>
      <c r="F185" s="400">
        <f>C185*($Q$2*$R$15)*0.25</f>
        <v>0</v>
      </c>
      <c r="G185" s="400">
        <f t="shared" si="11"/>
        <v>0</v>
      </c>
      <c r="H185" s="401"/>
      <c r="I185" s="401"/>
      <c r="J185" s="390"/>
    </row>
    <row r="186" spans="1:10">
      <c r="A186" s="392" t="s">
        <v>2</v>
      </c>
      <c r="B186" s="392" t="s">
        <v>110</v>
      </c>
      <c r="C186" s="391">
        <v>66908.94</v>
      </c>
      <c r="D186" s="391">
        <f>C186*$S$3</f>
        <v>38138.095799999996</v>
      </c>
      <c r="E186" s="400">
        <f>C186*$S$2*0.75</f>
        <v>29446.624494000003</v>
      </c>
      <c r="F186" s="400">
        <f>C186*($S$2*$T$15)*0.25</f>
        <v>10284.019546978398</v>
      </c>
      <c r="G186" s="400">
        <f t="shared" si="11"/>
        <v>39730.644040978397</v>
      </c>
      <c r="H186" s="401"/>
      <c r="I186" s="401"/>
      <c r="J186" s="390"/>
    </row>
    <row r="187" spans="1:10">
      <c r="A187" s="389" t="s">
        <v>143</v>
      </c>
      <c r="B187" s="389"/>
      <c r="C187" s="387">
        <f>SUM(C183:C186)</f>
        <v>186481.85</v>
      </c>
      <c r="D187" s="387">
        <f>SUM(D183:D186)</f>
        <v>52379.229380999997</v>
      </c>
      <c r="E187" s="403">
        <f>SUM(E183:E186)</f>
        <v>41616.157409250001</v>
      </c>
      <c r="F187" s="403">
        <f>SUM(F183:F186)</f>
        <v>14850.388909644706</v>
      </c>
      <c r="G187" s="403">
        <f t="shared" si="11"/>
        <v>56466.546318894703</v>
      </c>
      <c r="H187" s="402">
        <f>G187</f>
        <v>56466.546318894703</v>
      </c>
      <c r="I187" s="402">
        <f>H187-D187</f>
        <v>4087.3169378947059</v>
      </c>
      <c r="J187" s="390"/>
    </row>
    <row r="188" spans="1:10">
      <c r="A188" s="392" t="s">
        <v>49</v>
      </c>
      <c r="B188" s="392" t="s">
        <v>107</v>
      </c>
      <c r="C188" s="391">
        <v>4031947.98</v>
      </c>
      <c r="D188" s="391">
        <f>C188*$M$3</f>
        <v>480205.004418</v>
      </c>
      <c r="E188" s="400">
        <f>C188*$M$2*0.75</f>
        <v>410351.50566449994</v>
      </c>
      <c r="F188" s="400">
        <f>C188*($M$2*$N$15)*0.25</f>
        <v>153976.04463867529</v>
      </c>
      <c r="G188" s="400">
        <f t="shared" si="11"/>
        <v>564327.55030317523</v>
      </c>
      <c r="H188" s="401"/>
      <c r="I188" s="401"/>
      <c r="J188" s="390"/>
    </row>
    <row r="189" spans="1:10">
      <c r="A189" s="392" t="s">
        <v>49</v>
      </c>
      <c r="B189" s="392" t="s">
        <v>108</v>
      </c>
      <c r="C189" s="391">
        <v>180659.56</v>
      </c>
      <c r="D189" s="391">
        <f>C189*$O$3</f>
        <v>57034.223091999993</v>
      </c>
      <c r="E189" s="400">
        <f>C189*$O$2*0.75</f>
        <v>46772.760084000001</v>
      </c>
      <c r="F189" s="400">
        <f>C189*($O$2*$P$15)*0.25</f>
        <v>16833.134158415749</v>
      </c>
      <c r="G189" s="400">
        <f t="shared" si="11"/>
        <v>63605.89424241575</v>
      </c>
      <c r="H189" s="401"/>
      <c r="I189" s="401"/>
      <c r="J189" s="390"/>
    </row>
    <row r="190" spans="1:10">
      <c r="A190" s="392" t="s">
        <v>49</v>
      </c>
      <c r="B190" s="392" t="s">
        <v>109</v>
      </c>
      <c r="C190" s="391">
        <v>286879.21999999997</v>
      </c>
      <c r="D190" s="391">
        <f>C190*$Q$3</f>
        <v>53359.534919999991</v>
      </c>
      <c r="E190" s="400">
        <f>C190*$Q$2*0.75</f>
        <v>45463.184389499991</v>
      </c>
      <c r="F190" s="400">
        <f>C190*($Q$2*$R$15)*0.25</f>
        <v>16644.473758429216</v>
      </c>
      <c r="G190" s="400">
        <f t="shared" si="11"/>
        <v>62107.658147929207</v>
      </c>
      <c r="H190" s="401"/>
      <c r="I190" s="401"/>
      <c r="J190" s="390"/>
    </row>
    <row r="191" spans="1:10">
      <c r="A191" s="392" t="s">
        <v>49</v>
      </c>
      <c r="B191" s="392" t="s">
        <v>110</v>
      </c>
      <c r="C191" s="391">
        <v>98756.020000000019</v>
      </c>
      <c r="D191" s="391">
        <f>C191*$S$3</f>
        <v>56290.931400000009</v>
      </c>
      <c r="E191" s="400">
        <f>C191*$S$2*0.75</f>
        <v>43462.52440200001</v>
      </c>
      <c r="F191" s="400">
        <f>C191*($S$2*$T$15)*0.25</f>
        <v>15178.970703493282</v>
      </c>
      <c r="G191" s="400">
        <f t="shared" si="11"/>
        <v>58641.49510549329</v>
      </c>
      <c r="H191" s="401"/>
      <c r="I191" s="401"/>
      <c r="J191" s="390"/>
    </row>
    <row r="192" spans="1:10">
      <c r="A192" s="389" t="s">
        <v>144</v>
      </c>
      <c r="B192" s="389"/>
      <c r="C192" s="387">
        <f>SUM(C188:C191)</f>
        <v>4598242.7799999993</v>
      </c>
      <c r="D192" s="387">
        <f>SUM(D188:D191)</f>
        <v>646889.69383</v>
      </c>
      <c r="E192" s="403">
        <f>SUM(E188:E191)</f>
        <v>546049.97453999997</v>
      </c>
      <c r="F192" s="403">
        <f>SUM(F188:F191)</f>
        <v>202632.62325901352</v>
      </c>
      <c r="G192" s="403">
        <f t="shared" si="11"/>
        <v>748682.59779901349</v>
      </c>
      <c r="H192" s="402">
        <f>G192</f>
        <v>748682.59779901349</v>
      </c>
      <c r="I192" s="402">
        <f>H192-D192</f>
        <v>101792.90396901348</v>
      </c>
      <c r="J192" s="390"/>
    </row>
    <row r="193" spans="1:10">
      <c r="A193" s="392" t="s">
        <v>59</v>
      </c>
      <c r="B193" s="392" t="s">
        <v>107</v>
      </c>
      <c r="C193" s="391">
        <v>8344051.0999999996</v>
      </c>
      <c r="D193" s="391">
        <f>C193*$M$3</f>
        <v>993776.48600999988</v>
      </c>
      <c r="E193" s="400">
        <f>C193*$M$2*0.75</f>
        <v>849215.80070249992</v>
      </c>
      <c r="F193" s="400">
        <f>C193*($M$2*$N$15)*0.25</f>
        <v>318650.93275359855</v>
      </c>
      <c r="G193" s="400">
        <f t="shared" si="11"/>
        <v>1167866.7334560985</v>
      </c>
      <c r="H193" s="401"/>
      <c r="I193" s="401"/>
      <c r="J193" s="390"/>
    </row>
    <row r="194" spans="1:10">
      <c r="A194" s="392" t="s">
        <v>59</v>
      </c>
      <c r="B194" s="392" t="s">
        <v>108</v>
      </c>
      <c r="C194" s="391">
        <v>292261.8</v>
      </c>
      <c r="D194" s="391">
        <f>C194*$O$3</f>
        <v>92267.050259999989</v>
      </c>
      <c r="E194" s="400">
        <f>C194*$O$2*0.75</f>
        <v>75666.580019999994</v>
      </c>
      <c r="F194" s="400">
        <f>C194*($O$2*$P$15)*0.25</f>
        <v>27231.783852346765</v>
      </c>
      <c r="G194" s="400">
        <f t="shared" si="11"/>
        <v>102898.36387234676</v>
      </c>
      <c r="H194" s="401"/>
      <c r="I194" s="401"/>
      <c r="J194" s="390"/>
    </row>
    <row r="195" spans="1:10">
      <c r="A195" s="392" t="s">
        <v>59</v>
      </c>
      <c r="B195" s="392" t="s">
        <v>109</v>
      </c>
      <c r="C195" s="391">
        <v>283101.55</v>
      </c>
      <c r="D195" s="391">
        <f>C195*$Q$3</f>
        <v>52656.888299999999</v>
      </c>
      <c r="E195" s="400">
        <f>C195*$Q$2*0.75</f>
        <v>44864.518136250001</v>
      </c>
      <c r="F195" s="400">
        <f>C195*($Q$2*$R$15)*0.25</f>
        <v>16425.296750129331</v>
      </c>
      <c r="G195" s="400">
        <f t="shared" si="11"/>
        <v>61289.814886379332</v>
      </c>
      <c r="H195" s="401"/>
      <c r="I195" s="401"/>
      <c r="J195" s="390"/>
    </row>
    <row r="196" spans="1:10">
      <c r="A196" s="392" t="s">
        <v>59</v>
      </c>
      <c r="B196" s="392" t="s">
        <v>110</v>
      </c>
      <c r="C196" s="391">
        <v>86190.5</v>
      </c>
      <c r="D196" s="391">
        <f>C196*$S$3</f>
        <v>49128.584999999999</v>
      </c>
      <c r="E196" s="400">
        <f>C196*$S$2*0.75</f>
        <v>37932.439050000001</v>
      </c>
      <c r="F196" s="400">
        <f>C196*($S$2*$T$15)*0.25</f>
        <v>13247.628594382777</v>
      </c>
      <c r="G196" s="400">
        <f t="shared" si="11"/>
        <v>51180.067644382776</v>
      </c>
      <c r="H196" s="401"/>
      <c r="I196" s="401"/>
      <c r="J196" s="390"/>
    </row>
    <row r="197" spans="1:10">
      <c r="A197" s="389" t="s">
        <v>145</v>
      </c>
      <c r="B197" s="389"/>
      <c r="C197" s="387">
        <f>SUM(C193:C196)</f>
        <v>9005604.9500000011</v>
      </c>
      <c r="D197" s="387">
        <f>SUM(D193:D196)</f>
        <v>1187829.0095699998</v>
      </c>
      <c r="E197" s="403">
        <f>SUM(E193:E196)</f>
        <v>1007679.3379087499</v>
      </c>
      <c r="F197" s="403">
        <f>SUM(F193:F196)</f>
        <v>375555.64195045742</v>
      </c>
      <c r="G197" s="403">
        <f t="shared" si="11"/>
        <v>1383234.9798592073</v>
      </c>
      <c r="H197" s="402">
        <f>G197</f>
        <v>1383234.9798592073</v>
      </c>
      <c r="I197" s="402">
        <f>H197-D197</f>
        <v>195405.97028920753</v>
      </c>
      <c r="J197" s="390"/>
    </row>
    <row r="198" spans="1:10">
      <c r="A198" s="392" t="s">
        <v>50</v>
      </c>
      <c r="B198" s="392" t="s">
        <v>107</v>
      </c>
      <c r="C198" s="391">
        <v>3330573.72</v>
      </c>
      <c r="D198" s="391">
        <f>C198*$M$3</f>
        <v>396671.330052</v>
      </c>
      <c r="E198" s="400">
        <f>C198*$M$2*0.75</f>
        <v>338969.14035300002</v>
      </c>
      <c r="F198" s="400">
        <f>C198*($M$2*$N$15)*0.25</f>
        <v>127191.26594066792</v>
      </c>
      <c r="G198" s="400">
        <f t="shared" si="11"/>
        <v>466160.40629366797</v>
      </c>
      <c r="H198" s="401"/>
      <c r="I198" s="401"/>
      <c r="J198" s="390"/>
    </row>
    <row r="199" spans="1:10">
      <c r="A199" s="392" t="s">
        <v>50</v>
      </c>
      <c r="B199" s="392" t="s">
        <v>108</v>
      </c>
      <c r="C199" s="391">
        <v>384573.46</v>
      </c>
      <c r="D199" s="391">
        <f>C199*$O$3</f>
        <v>121409.84132199999</v>
      </c>
      <c r="E199" s="400">
        <f>C199*$O$2*0.75</f>
        <v>99566.068794000021</v>
      </c>
      <c r="F199" s="400">
        <f>C199*($O$2*$P$15)*0.25</f>
        <v>35833.014571418935</v>
      </c>
      <c r="G199" s="400">
        <f t="shared" si="11"/>
        <v>135399.08336541895</v>
      </c>
      <c r="H199" s="401"/>
      <c r="I199" s="401"/>
      <c r="J199" s="390"/>
    </row>
    <row r="200" spans="1:10">
      <c r="A200" s="392" t="s">
        <v>50</v>
      </c>
      <c r="B200" s="392" t="s">
        <v>109</v>
      </c>
      <c r="C200" s="391">
        <v>147694.10999999999</v>
      </c>
      <c r="D200" s="391">
        <f>C200*$Q$3</f>
        <v>27471.104459999999</v>
      </c>
      <c r="E200" s="400">
        <f>C200*$Q$2*0.75</f>
        <v>23405.824082249997</v>
      </c>
      <c r="F200" s="400">
        <f>C200*($Q$2*$R$15)*0.25</f>
        <v>8569.0791343114997</v>
      </c>
      <c r="G200" s="400">
        <f t="shared" si="11"/>
        <v>31974.903216561499</v>
      </c>
      <c r="H200" s="401"/>
      <c r="I200" s="401"/>
      <c r="J200" s="390"/>
    </row>
    <row r="201" spans="1:10">
      <c r="A201" s="392" t="s">
        <v>50</v>
      </c>
      <c r="B201" s="392" t="s">
        <v>110</v>
      </c>
      <c r="C201" s="391">
        <v>121590.88</v>
      </c>
      <c r="D201" s="391">
        <f>C201*$S$3</f>
        <v>69306.801599999992</v>
      </c>
      <c r="E201" s="400">
        <f>C201*$S$2*0.75</f>
        <v>53512.146288000004</v>
      </c>
      <c r="F201" s="400">
        <f>C201*($S$2*$T$15)*0.25</f>
        <v>18688.728093051614</v>
      </c>
      <c r="G201" s="400">
        <f t="shared" si="11"/>
        <v>72200.874381051617</v>
      </c>
      <c r="H201" s="401"/>
      <c r="I201" s="401"/>
      <c r="J201" s="390"/>
    </row>
    <row r="202" spans="1:10">
      <c r="A202" s="389" t="s">
        <v>146</v>
      </c>
      <c r="B202" s="389"/>
      <c r="C202" s="387">
        <f>SUM(C198:C201)</f>
        <v>3984432.17</v>
      </c>
      <c r="D202" s="387">
        <f>SUM(D198:D201)</f>
        <v>614859.07743399998</v>
      </c>
      <c r="E202" s="403">
        <f>SUM(E198:E201)</f>
        <v>515453.17951725004</v>
      </c>
      <c r="F202" s="403">
        <f>SUM(F198:F201)</f>
        <v>190282.08773944995</v>
      </c>
      <c r="G202" s="403">
        <f t="shared" si="11"/>
        <v>705735.26725669997</v>
      </c>
      <c r="H202" s="402">
        <f>G202</f>
        <v>705735.26725669997</v>
      </c>
      <c r="I202" s="402">
        <f>H202-D202</f>
        <v>90876.189822699991</v>
      </c>
      <c r="J202" s="390"/>
    </row>
    <row r="203" spans="1:10">
      <c r="A203" s="392" t="s">
        <v>22</v>
      </c>
      <c r="B203" s="392" t="s">
        <v>107</v>
      </c>
      <c r="C203" s="391">
        <v>628950.80000000005</v>
      </c>
      <c r="D203" s="391">
        <f>C203*$M$3</f>
        <v>74908.040280000001</v>
      </c>
      <c r="E203" s="400">
        <f>C203*$M$2*0.75</f>
        <v>64011.467669999998</v>
      </c>
      <c r="F203" s="400">
        <f>C203*($M$2*$N$15)*0.25</f>
        <v>24018.99948528863</v>
      </c>
      <c r="G203" s="400">
        <f t="shared" si="11"/>
        <v>88030.467155288628</v>
      </c>
      <c r="H203" s="401"/>
      <c r="I203" s="401"/>
      <c r="J203" s="390"/>
    </row>
    <row r="204" spans="1:10">
      <c r="A204" s="392" t="s">
        <v>22</v>
      </c>
      <c r="B204" s="392" t="s">
        <v>108</v>
      </c>
      <c r="C204" s="391">
        <v>110486.75</v>
      </c>
      <c r="D204" s="391">
        <f>C204*$O$3</f>
        <v>34880.666975</v>
      </c>
      <c r="E204" s="400">
        <f>C204*$O$2*0.75</f>
        <v>28605.019575000002</v>
      </c>
      <c r="F204" s="400">
        <f>C204*($O$2*$P$15)*0.25</f>
        <v>10294.712803891149</v>
      </c>
      <c r="G204" s="400">
        <f t="shared" si="11"/>
        <v>38899.732378891153</v>
      </c>
      <c r="H204" s="401"/>
      <c r="I204" s="401"/>
      <c r="J204" s="390"/>
    </row>
    <row r="205" spans="1:10">
      <c r="A205" s="392" t="s">
        <v>22</v>
      </c>
      <c r="B205" s="392" t="s">
        <v>109</v>
      </c>
      <c r="C205" s="391">
        <v>0</v>
      </c>
      <c r="D205" s="391">
        <f>C205*$Q$3</f>
        <v>0</v>
      </c>
      <c r="E205" s="400">
        <f>C205*$Q$2*0.75</f>
        <v>0</v>
      </c>
      <c r="F205" s="400">
        <f>C205*($Q$2*$R$15)*0.25</f>
        <v>0</v>
      </c>
      <c r="G205" s="400">
        <f t="shared" si="11"/>
        <v>0</v>
      </c>
      <c r="H205" s="401"/>
      <c r="I205" s="401"/>
      <c r="J205" s="390"/>
    </row>
    <row r="206" spans="1:10">
      <c r="A206" s="392" t="s">
        <v>22</v>
      </c>
      <c r="B206" s="392" t="s">
        <v>110</v>
      </c>
      <c r="C206" s="391">
        <v>59512.81</v>
      </c>
      <c r="D206" s="391">
        <f>C206*$S$3</f>
        <v>33922.301699999996</v>
      </c>
      <c r="E206" s="400">
        <f>C206*$S$2*0.75</f>
        <v>26191.587680999997</v>
      </c>
      <c r="F206" s="400">
        <f>C206*($S$2*$T$15)*0.25</f>
        <v>9147.221602010306</v>
      </c>
      <c r="G206" s="400">
        <f t="shared" si="11"/>
        <v>35338.809283010305</v>
      </c>
      <c r="H206" s="401"/>
      <c r="I206" s="401"/>
      <c r="J206" s="390"/>
    </row>
    <row r="207" spans="1:10">
      <c r="A207" s="389" t="s">
        <v>147</v>
      </c>
      <c r="B207" s="389"/>
      <c r="C207" s="387">
        <f>SUM(C203:C206)</f>
        <v>798950.3600000001</v>
      </c>
      <c r="D207" s="387">
        <f>SUM(D203:D206)</f>
        <v>143711.008955</v>
      </c>
      <c r="E207" s="403">
        <f>SUM(E203:E206)</f>
        <v>118808.074926</v>
      </c>
      <c r="F207" s="403">
        <f>SUM(F203:F206)</f>
        <v>43460.933891190085</v>
      </c>
      <c r="G207" s="403">
        <f t="shared" si="11"/>
        <v>162269.00881719007</v>
      </c>
      <c r="H207" s="402">
        <f>G207</f>
        <v>162269.00881719007</v>
      </c>
      <c r="I207" s="402">
        <f>H207-D207</f>
        <v>18557.999862190074</v>
      </c>
      <c r="J207" s="390"/>
    </row>
    <row r="208" spans="1:10">
      <c r="A208" s="392" t="s">
        <v>3</v>
      </c>
      <c r="B208" s="392" t="s">
        <v>107</v>
      </c>
      <c r="C208" s="391">
        <v>101545.60000000001</v>
      </c>
      <c r="D208" s="391">
        <f>C208*$M$3</f>
        <v>12094.080960000001</v>
      </c>
      <c r="E208" s="400">
        <f>C208*$M$2*0.75</f>
        <v>10334.80344</v>
      </c>
      <c r="F208" s="400">
        <f>C208*($M$2*$N$15)*0.25</f>
        <v>3877.9244960548986</v>
      </c>
      <c r="G208" s="400">
        <f t="shared" si="11"/>
        <v>14212.727936054898</v>
      </c>
      <c r="H208" s="401"/>
      <c r="I208" s="401"/>
      <c r="J208" s="390"/>
    </row>
    <row r="209" spans="1:10">
      <c r="A209" s="392" t="s">
        <v>3</v>
      </c>
      <c r="B209" s="392" t="s">
        <v>108</v>
      </c>
      <c r="C209" s="391">
        <v>96668</v>
      </c>
      <c r="D209" s="391">
        <f>C209*$O$3</f>
        <v>30518.087599999999</v>
      </c>
      <c r="E209" s="400">
        <f>C209*$O$2*0.75</f>
        <v>25027.345199999996</v>
      </c>
      <c r="F209" s="400">
        <f>C209*($O$2*$P$15)*0.25</f>
        <v>9007.1370306986992</v>
      </c>
      <c r="G209" s="400">
        <f t="shared" si="11"/>
        <v>34034.482230698697</v>
      </c>
      <c r="H209" s="401"/>
      <c r="I209" s="401"/>
      <c r="J209" s="390"/>
    </row>
    <row r="210" spans="1:10">
      <c r="A210" s="392" t="s">
        <v>3</v>
      </c>
      <c r="B210" s="392" t="s">
        <v>109</v>
      </c>
      <c r="C210" s="391">
        <v>0</v>
      </c>
      <c r="D210" s="391">
        <f>C210*$Q$3</f>
        <v>0</v>
      </c>
      <c r="E210" s="400">
        <f>C210*$Q$2*0.75</f>
        <v>0</v>
      </c>
      <c r="F210" s="400">
        <f>C210*($Q$2*$R$15)*0.25</f>
        <v>0</v>
      </c>
      <c r="G210" s="400">
        <f t="shared" si="11"/>
        <v>0</v>
      </c>
      <c r="H210" s="401"/>
      <c r="I210" s="401"/>
      <c r="J210" s="390"/>
    </row>
    <row r="211" spans="1:10">
      <c r="A211" s="392" t="s">
        <v>3</v>
      </c>
      <c r="B211" s="392" t="s">
        <v>110</v>
      </c>
      <c r="C211" s="391">
        <v>56132</v>
      </c>
      <c r="D211" s="391">
        <f>C211*$S$3</f>
        <v>31995.239999999998</v>
      </c>
      <c r="E211" s="400">
        <f>C211*$S$2*0.75</f>
        <v>24703.693199999998</v>
      </c>
      <c r="F211" s="400">
        <f>C211*($S$2*$T$15)*0.25</f>
        <v>8627.5852705332272</v>
      </c>
      <c r="G211" s="400">
        <f t="shared" si="11"/>
        <v>33331.278470533223</v>
      </c>
      <c r="H211" s="401"/>
      <c r="I211" s="401"/>
      <c r="J211" s="390"/>
    </row>
    <row r="212" spans="1:10">
      <c r="A212" s="389" t="s">
        <v>148</v>
      </c>
      <c r="B212" s="389"/>
      <c r="C212" s="387">
        <f>SUM(C208:C211)</f>
        <v>254345.60000000001</v>
      </c>
      <c r="D212" s="387">
        <f>SUM(D208:D211)</f>
        <v>74607.408559999996</v>
      </c>
      <c r="E212" s="403">
        <f>SUM(E208:E211)</f>
        <v>60065.841839999994</v>
      </c>
      <c r="F212" s="403">
        <f>SUM(F208:F211)</f>
        <v>21512.646797286827</v>
      </c>
      <c r="G212" s="403">
        <f t="shared" si="11"/>
        <v>81578.48863728682</v>
      </c>
      <c r="H212" s="402">
        <f>G212</f>
        <v>81578.48863728682</v>
      </c>
      <c r="I212" s="402">
        <f>H212-D212</f>
        <v>6971.0800772868242</v>
      </c>
      <c r="J212" s="390"/>
    </row>
    <row r="213" spans="1:10">
      <c r="A213" s="392" t="s">
        <v>23</v>
      </c>
      <c r="B213" s="392" t="s">
        <v>107</v>
      </c>
      <c r="C213" s="391">
        <v>318442.15000000002</v>
      </c>
      <c r="D213" s="391">
        <f>C213*$M$3</f>
        <v>37926.460064999999</v>
      </c>
      <c r="E213" s="400">
        <f>C213*$M$2*0.75</f>
        <v>32409.449816249995</v>
      </c>
      <c r="F213" s="400">
        <f>C213*($M$2*$N$15)*0.25</f>
        <v>12160.98594189594</v>
      </c>
      <c r="G213" s="400">
        <f t="shared" si="11"/>
        <v>44570.435758145934</v>
      </c>
      <c r="H213" s="401"/>
      <c r="I213" s="401"/>
      <c r="J213" s="390"/>
    </row>
    <row r="214" spans="1:10">
      <c r="A214" s="392" t="s">
        <v>23</v>
      </c>
      <c r="B214" s="392" t="s">
        <v>108</v>
      </c>
      <c r="C214" s="391">
        <v>0</v>
      </c>
      <c r="D214" s="391">
        <f>C214*$O$3</f>
        <v>0</v>
      </c>
      <c r="E214" s="400">
        <f>C214*$O$2*0.75</f>
        <v>0</v>
      </c>
      <c r="F214" s="400">
        <f>C214*($O$2*$P$15)*0.25</f>
        <v>0</v>
      </c>
      <c r="G214" s="400">
        <f t="shared" si="11"/>
        <v>0</v>
      </c>
      <c r="H214" s="401"/>
      <c r="I214" s="401"/>
      <c r="J214" s="390"/>
    </row>
    <row r="215" spans="1:10">
      <c r="A215" s="392" t="s">
        <v>23</v>
      </c>
      <c r="B215" s="392" t="s">
        <v>109</v>
      </c>
      <c r="C215" s="391">
        <v>0</v>
      </c>
      <c r="D215" s="391">
        <f>C215*$Q$3</f>
        <v>0</v>
      </c>
      <c r="E215" s="400">
        <f>C215*$Q$2*0.75</f>
        <v>0</v>
      </c>
      <c r="F215" s="400">
        <f>C215*($Q$2*$R$15)*0.25</f>
        <v>0</v>
      </c>
      <c r="G215" s="400">
        <f t="shared" si="11"/>
        <v>0</v>
      </c>
      <c r="H215" s="401"/>
      <c r="I215" s="401"/>
      <c r="J215" s="390"/>
    </row>
    <row r="216" spans="1:10">
      <c r="A216" s="392" t="s">
        <v>23</v>
      </c>
      <c r="B216" s="392" t="s">
        <v>110</v>
      </c>
      <c r="C216" s="391">
        <v>51600</v>
      </c>
      <c r="D216" s="391">
        <f>C216*$S$3</f>
        <v>29411.999999999996</v>
      </c>
      <c r="E216" s="400">
        <f>C216*$S$2*0.75</f>
        <v>22709.16</v>
      </c>
      <c r="F216" s="400">
        <f>C216*($S$2*$T$15)*0.25</f>
        <v>7931.0090493749467</v>
      </c>
      <c r="G216" s="400">
        <f t="shared" si="11"/>
        <v>30640.169049374948</v>
      </c>
      <c r="H216" s="401"/>
      <c r="I216" s="401"/>
      <c r="J216" s="390"/>
    </row>
    <row r="217" spans="1:10">
      <c r="A217" s="389" t="s">
        <v>149</v>
      </c>
      <c r="B217" s="389"/>
      <c r="C217" s="387">
        <f>SUM(C213:C216)</f>
        <v>370042.15</v>
      </c>
      <c r="D217" s="387">
        <f>SUM(D213:D216)</f>
        <v>67338.460064999992</v>
      </c>
      <c r="E217" s="403">
        <f>SUM(E213:E216)</f>
        <v>55118.609816249998</v>
      </c>
      <c r="F217" s="403">
        <f>SUM(F213:F216)</f>
        <v>20091.994991270887</v>
      </c>
      <c r="G217" s="403">
        <f t="shared" si="11"/>
        <v>75210.604807520882</v>
      </c>
      <c r="H217" s="402">
        <f>G217</f>
        <v>75210.604807520882</v>
      </c>
      <c r="I217" s="402">
        <f>H217-D217</f>
        <v>7872.1447425208898</v>
      </c>
      <c r="J217" s="390"/>
    </row>
    <row r="218" spans="1:10">
      <c r="A218" s="392" t="s">
        <v>51</v>
      </c>
      <c r="B218" s="392" t="s">
        <v>107</v>
      </c>
      <c r="C218" s="391">
        <v>3335995.92</v>
      </c>
      <c r="D218" s="391">
        <f>C218*$M$3</f>
        <v>397317.11407199997</v>
      </c>
      <c r="E218" s="400">
        <f>C218*$M$2*0.75</f>
        <v>339520.98475799995</v>
      </c>
      <c r="F218" s="400">
        <f>C218*($M$2*$N$15)*0.25</f>
        <v>127398.33431391607</v>
      </c>
      <c r="G218" s="400">
        <f t="shared" si="11"/>
        <v>466919.31907191605</v>
      </c>
      <c r="H218" s="401"/>
      <c r="I218" s="401"/>
      <c r="J218" s="390"/>
    </row>
    <row r="219" spans="1:10">
      <c r="A219" s="392" t="s">
        <v>51</v>
      </c>
      <c r="B219" s="392" t="s">
        <v>108</v>
      </c>
      <c r="C219" s="391">
        <v>314902.39</v>
      </c>
      <c r="D219" s="391">
        <f>C219*$O$3</f>
        <v>99414.684523000004</v>
      </c>
      <c r="E219" s="400">
        <f>C219*$O$2*0.75</f>
        <v>81528.228770999995</v>
      </c>
      <c r="F219" s="400">
        <f>C219*($O$2*$P$15)*0.25</f>
        <v>29341.343340345556</v>
      </c>
      <c r="G219" s="400">
        <f t="shared" si="11"/>
        <v>110869.57211134555</v>
      </c>
      <c r="H219" s="401"/>
      <c r="I219" s="401"/>
      <c r="J219" s="390"/>
    </row>
    <row r="220" spans="1:10">
      <c r="A220" s="392" t="s">
        <v>51</v>
      </c>
      <c r="B220" s="392" t="s">
        <v>109</v>
      </c>
      <c r="C220" s="391">
        <v>226797.12</v>
      </c>
      <c r="D220" s="391">
        <f>C220*$Q$3</f>
        <v>42184.264320000002</v>
      </c>
      <c r="E220" s="400">
        <f>C220*$Q$2*0.75</f>
        <v>35941.673591999992</v>
      </c>
      <c r="F220" s="400">
        <f>C220*($Q$2*$R$15)*0.25</f>
        <v>13158.564472976894</v>
      </c>
      <c r="G220" s="400">
        <f t="shared" si="11"/>
        <v>49100.238064976889</v>
      </c>
      <c r="H220" s="401"/>
      <c r="I220" s="401"/>
      <c r="J220" s="390"/>
    </row>
    <row r="221" spans="1:10">
      <c r="A221" s="392" t="s">
        <v>51</v>
      </c>
      <c r="B221" s="392" t="s">
        <v>110</v>
      </c>
      <c r="C221" s="391">
        <v>88327.012000000002</v>
      </c>
      <c r="D221" s="391">
        <f>C221*$S$3</f>
        <v>50346.396839999994</v>
      </c>
      <c r="E221" s="400">
        <f>C221*$S$2*0.75</f>
        <v>38872.717981199996</v>
      </c>
      <c r="F221" s="400">
        <f>C221*($S$2*$T$15)*0.25</f>
        <v>13576.014175896309</v>
      </c>
      <c r="G221" s="400">
        <f t="shared" si="11"/>
        <v>52448.732157096303</v>
      </c>
      <c r="H221" s="401"/>
      <c r="I221" s="401"/>
      <c r="J221" s="390"/>
    </row>
    <row r="222" spans="1:10">
      <c r="A222" s="389" t="s">
        <v>150</v>
      </c>
      <c r="B222" s="389"/>
      <c r="C222" s="387">
        <f>SUM(C218:C221)</f>
        <v>3966022.4420000003</v>
      </c>
      <c r="D222" s="387">
        <f>SUM(D218:D221)</f>
        <v>589262.45975499984</v>
      </c>
      <c r="E222" s="403">
        <f>SUM(E218:E221)</f>
        <v>495863.60510219994</v>
      </c>
      <c r="F222" s="403">
        <f>SUM(F218:F221)</f>
        <v>183474.25630313484</v>
      </c>
      <c r="G222" s="403">
        <f t="shared" si="11"/>
        <v>679337.86140533478</v>
      </c>
      <c r="H222" s="402">
        <f>G222</f>
        <v>679337.86140533478</v>
      </c>
      <c r="I222" s="402">
        <f>H222-D222</f>
        <v>90075.401650334941</v>
      </c>
      <c r="J222" s="390"/>
    </row>
    <row r="223" spans="1:10">
      <c r="A223" s="392" t="s">
        <v>52</v>
      </c>
      <c r="B223" s="392" t="s">
        <v>107</v>
      </c>
      <c r="C223" s="391">
        <v>4252783.88</v>
      </c>
      <c r="D223" s="391">
        <f>C223*$M$3</f>
        <v>506506.56010800001</v>
      </c>
      <c r="E223" s="400">
        <f>C223*$M$2*0.75</f>
        <v>432827.07938699995</v>
      </c>
      <c r="F223" s="400">
        <f>C223*($M$2*$N$15)*0.25</f>
        <v>162409.54590528191</v>
      </c>
      <c r="G223" s="400">
        <f t="shared" si="11"/>
        <v>595236.62529228185</v>
      </c>
      <c r="H223" s="401"/>
      <c r="I223" s="401"/>
      <c r="J223" s="390"/>
    </row>
    <row r="224" spans="1:10">
      <c r="A224" s="392" t="s">
        <v>52</v>
      </c>
      <c r="B224" s="392" t="s">
        <v>108</v>
      </c>
      <c r="C224" s="391">
        <v>153421</v>
      </c>
      <c r="D224" s="391">
        <f>C224*$O$3</f>
        <v>48435.009699999995</v>
      </c>
      <c r="E224" s="400">
        <f>C224*$O$2*0.75</f>
        <v>39720.696899999995</v>
      </c>
      <c r="F224" s="400">
        <f>C224*($O$2*$P$15)*0.25</f>
        <v>14295.154243253457</v>
      </c>
      <c r="G224" s="400">
        <f t="shared" si="11"/>
        <v>54015.851143253451</v>
      </c>
      <c r="H224" s="401"/>
      <c r="I224" s="401"/>
      <c r="J224" s="390"/>
    </row>
    <row r="225" spans="1:10">
      <c r="A225" s="392" t="s">
        <v>52</v>
      </c>
      <c r="B225" s="392" t="s">
        <v>109</v>
      </c>
      <c r="C225" s="391">
        <v>71677</v>
      </c>
      <c r="D225" s="391">
        <f>C225*$Q$3</f>
        <v>13331.922</v>
      </c>
      <c r="E225" s="400">
        <f>C225*$Q$2*0.75</f>
        <v>11359.012575000001</v>
      </c>
      <c r="F225" s="400">
        <f>C225*($Q$2*$R$15)*0.25</f>
        <v>4158.6349320906929</v>
      </c>
      <c r="G225" s="400">
        <f t="shared" si="11"/>
        <v>15517.647507090693</v>
      </c>
      <c r="H225" s="401"/>
      <c r="I225" s="401"/>
      <c r="J225" s="390"/>
    </row>
    <row r="226" spans="1:10">
      <c r="A226" s="392" t="s">
        <v>52</v>
      </c>
      <c r="B226" s="392" t="s">
        <v>110</v>
      </c>
      <c r="C226" s="391">
        <v>95353.919999999998</v>
      </c>
      <c r="D226" s="391">
        <f>C226*$S$3</f>
        <v>54351.734399999994</v>
      </c>
      <c r="E226" s="400">
        <f>C226*$S$2*0.75</f>
        <v>41965.260192000002</v>
      </c>
      <c r="F226" s="400">
        <f>C226*($S$2*$T$15)*0.25</f>
        <v>14656.062062274703</v>
      </c>
      <c r="G226" s="400">
        <f t="shared" si="11"/>
        <v>56621.322254274703</v>
      </c>
      <c r="H226" s="401"/>
      <c r="I226" s="401"/>
      <c r="J226" s="390"/>
    </row>
    <row r="227" spans="1:10">
      <c r="A227" s="389" t="s">
        <v>151</v>
      </c>
      <c r="B227" s="389"/>
      <c r="C227" s="387">
        <f>SUM(C223:C226)</f>
        <v>4573235.8</v>
      </c>
      <c r="D227" s="387">
        <f>SUM(D223:D226)</f>
        <v>622625.22620799998</v>
      </c>
      <c r="E227" s="403">
        <f>SUM(E223:E226)</f>
        <v>525872.04905399994</v>
      </c>
      <c r="F227" s="403">
        <f>SUM(F223:F226)</f>
        <v>195519.39714290077</v>
      </c>
      <c r="G227" s="403">
        <f t="shared" si="11"/>
        <v>721391.44619690068</v>
      </c>
      <c r="H227" s="402">
        <f>G227</f>
        <v>721391.44619690068</v>
      </c>
      <c r="I227" s="402">
        <f>H227-D227</f>
        <v>98766.219988900702</v>
      </c>
      <c r="J227" s="390"/>
    </row>
    <row r="228" spans="1:10">
      <c r="A228" s="392" t="s">
        <v>40</v>
      </c>
      <c r="B228" s="392" t="s">
        <v>107</v>
      </c>
      <c r="C228" s="391">
        <v>1731085.33</v>
      </c>
      <c r="D228" s="391">
        <f>C228*$M$3</f>
        <v>206172.26280299999</v>
      </c>
      <c r="E228" s="400">
        <f>C228*$M$2*0.75</f>
        <v>176181.20946074999</v>
      </c>
      <c r="F228" s="400">
        <f>C228*($M$2*$N$15)*0.25</f>
        <v>66108.410467497146</v>
      </c>
      <c r="G228" s="400">
        <f t="shared" si="11"/>
        <v>242289.61992824712</v>
      </c>
      <c r="H228" s="401"/>
      <c r="I228" s="401"/>
      <c r="J228" s="390"/>
    </row>
    <row r="229" spans="1:10">
      <c r="A229" s="392" t="s">
        <v>40</v>
      </c>
      <c r="B229" s="392" t="s">
        <v>108</v>
      </c>
      <c r="C229" s="391">
        <v>145156.73000000001</v>
      </c>
      <c r="D229" s="391">
        <f>C229*$O$3</f>
        <v>45825.979660999998</v>
      </c>
      <c r="E229" s="400">
        <f>C229*$O$2*0.75</f>
        <v>37581.077397000001</v>
      </c>
      <c r="F229" s="400">
        <f>C229*($O$2*$P$15)*0.25</f>
        <v>13525.122667668029</v>
      </c>
      <c r="G229" s="400">
        <f t="shared" si="11"/>
        <v>51106.200064668032</v>
      </c>
      <c r="H229" s="401"/>
      <c r="I229" s="401"/>
      <c r="J229" s="390"/>
    </row>
    <row r="230" spans="1:10">
      <c r="A230" s="392" t="s">
        <v>40</v>
      </c>
      <c r="B230" s="392" t="s">
        <v>109</v>
      </c>
      <c r="C230" s="391">
        <v>223845.77</v>
      </c>
      <c r="D230" s="391">
        <f>C230*$Q$3</f>
        <v>41635.313219999996</v>
      </c>
      <c r="E230" s="400">
        <f>C230*$Q$2*0.75</f>
        <v>35473.958400749994</v>
      </c>
      <c r="F230" s="400">
        <f>C230*($Q$2*$R$15)*0.25</f>
        <v>12987.329806252199</v>
      </c>
      <c r="G230" s="400">
        <f t="shared" si="11"/>
        <v>48461.288207002195</v>
      </c>
      <c r="H230" s="401"/>
      <c r="I230" s="401"/>
      <c r="J230" s="390"/>
    </row>
    <row r="231" spans="1:10">
      <c r="A231" s="392" t="s">
        <v>40</v>
      </c>
      <c r="B231" s="392" t="s">
        <v>110</v>
      </c>
      <c r="C231" s="391">
        <v>82832.399999999994</v>
      </c>
      <c r="D231" s="391">
        <f>C231*$S$3</f>
        <v>47214.467999999993</v>
      </c>
      <c r="E231" s="400">
        <f>C231*$S$2*0.75</f>
        <v>36454.539239999998</v>
      </c>
      <c r="F231" s="400">
        <f>C231*($S$2*$T$15)*0.25</f>
        <v>12731.482829097777</v>
      </c>
      <c r="G231" s="400">
        <f t="shared" si="11"/>
        <v>49186.022069097773</v>
      </c>
      <c r="H231" s="401"/>
      <c r="I231" s="401"/>
      <c r="J231" s="390"/>
    </row>
    <row r="232" spans="1:10">
      <c r="A232" s="389" t="s">
        <v>152</v>
      </c>
      <c r="B232" s="389"/>
      <c r="C232" s="387">
        <f>SUM(C228:C231)</f>
        <v>2182920.23</v>
      </c>
      <c r="D232" s="387">
        <f>SUM(D228:D231)</f>
        <v>340848.02368399996</v>
      </c>
      <c r="E232" s="403">
        <f>SUM(E228:E231)</f>
        <v>285690.7844985</v>
      </c>
      <c r="F232" s="403">
        <f>SUM(F228:F231)</f>
        <v>105352.34577051514</v>
      </c>
      <c r="G232" s="403">
        <f t="shared" si="11"/>
        <v>391043.13026901515</v>
      </c>
      <c r="H232" s="402">
        <f>G232</f>
        <v>391043.13026901515</v>
      </c>
      <c r="I232" s="402">
        <f>H232-D232</f>
        <v>50195.106585015194</v>
      </c>
      <c r="J232" s="390"/>
    </row>
    <row r="233" spans="1:10">
      <c r="A233" s="392" t="s">
        <v>65</v>
      </c>
      <c r="B233" s="392" t="s">
        <v>107</v>
      </c>
      <c r="C233" s="391">
        <v>42322742.799999997</v>
      </c>
      <c r="D233" s="391">
        <f>C233*$M$3</f>
        <v>5040638.6674799994</v>
      </c>
      <c r="E233" s="400">
        <f>C233*$M$2*0.75</f>
        <v>4307397.1484699994</v>
      </c>
      <c r="F233" s="400">
        <f>C233*($M$2*$N$15)*0.25</f>
        <v>1616263.0487618474</v>
      </c>
      <c r="G233" s="400">
        <f t="shared" ref="G233:G296" si="12">E233+F233</f>
        <v>5923660.1972318469</v>
      </c>
      <c r="H233" s="401"/>
      <c r="I233" s="401"/>
      <c r="J233" s="390"/>
    </row>
    <row r="234" spans="1:10">
      <c r="A234" s="392" t="s">
        <v>65</v>
      </c>
      <c r="B234" s="392" t="s">
        <v>108</v>
      </c>
      <c r="C234" s="391">
        <v>537134.04</v>
      </c>
      <c r="D234" s="391">
        <f>C234*$O$3</f>
        <v>169573.21642800001</v>
      </c>
      <c r="E234" s="400">
        <f>C234*$O$2*0.75</f>
        <v>139064.00295600001</v>
      </c>
      <c r="F234" s="400">
        <f>C234*($O$2*$P$15)*0.25</f>
        <v>50047.998325534791</v>
      </c>
      <c r="G234" s="400">
        <f t="shared" si="12"/>
        <v>189112.00128153479</v>
      </c>
      <c r="H234" s="401"/>
      <c r="I234" s="401"/>
      <c r="J234" s="390"/>
    </row>
    <row r="235" spans="1:10">
      <c r="A235" s="392" t="s">
        <v>65</v>
      </c>
      <c r="B235" s="392" t="s">
        <v>109</v>
      </c>
      <c r="C235" s="391">
        <v>4454705.3</v>
      </c>
      <c r="D235" s="391">
        <f>C235*$Q$3</f>
        <v>828575.18579999998</v>
      </c>
      <c r="E235" s="400">
        <f>C235*$Q$2*0.75</f>
        <v>705959.42241749994</v>
      </c>
      <c r="F235" s="400">
        <f>C235*($Q$2*$R$15)*0.25</f>
        <v>258457.98614268945</v>
      </c>
      <c r="G235" s="400">
        <f t="shared" si="12"/>
        <v>964417.40856018942</v>
      </c>
      <c r="H235" s="401"/>
      <c r="I235" s="401"/>
      <c r="J235" s="390"/>
    </row>
    <row r="236" spans="1:10">
      <c r="A236" s="392" t="s">
        <v>65</v>
      </c>
      <c r="B236" s="392" t="s">
        <v>110</v>
      </c>
      <c r="C236" s="391">
        <v>178732.08900000001</v>
      </c>
      <c r="D236" s="391">
        <f>C236*$S$3</f>
        <v>101877.29072999999</v>
      </c>
      <c r="E236" s="400">
        <f>C236*$S$2*0.75</f>
        <v>78659.992368899999</v>
      </c>
      <c r="F236" s="400">
        <f>C236*($S$2*$T$15)*0.25</f>
        <v>27471.430528540473</v>
      </c>
      <c r="G236" s="400">
        <f t="shared" si="12"/>
        <v>106131.42289744047</v>
      </c>
      <c r="H236" s="401"/>
      <c r="I236" s="401"/>
      <c r="J236" s="390"/>
    </row>
    <row r="237" spans="1:10">
      <c r="A237" s="389" t="s">
        <v>153</v>
      </c>
      <c r="B237" s="389"/>
      <c r="C237" s="387">
        <f>SUM(C233:C236)</f>
        <v>47493314.228999995</v>
      </c>
      <c r="D237" s="387">
        <f>SUM(D233:D236)</f>
        <v>6140664.3604379995</v>
      </c>
      <c r="E237" s="403">
        <f>SUM(E233:E236)</f>
        <v>5231080.5662123999</v>
      </c>
      <c r="F237" s="403">
        <f>SUM(F233:F236)</f>
        <v>1952240.4637586121</v>
      </c>
      <c r="G237" s="403">
        <f t="shared" si="12"/>
        <v>7183321.0299710119</v>
      </c>
      <c r="H237" s="402">
        <f>G237</f>
        <v>7183321.0299710119</v>
      </c>
      <c r="I237" s="402">
        <f>H237-D237</f>
        <v>1042656.6695330124</v>
      </c>
      <c r="J237" s="390"/>
    </row>
    <row r="238" spans="1:10">
      <c r="A238" s="392" t="s">
        <v>41</v>
      </c>
      <c r="B238" s="392" t="s">
        <v>107</v>
      </c>
      <c r="C238" s="391">
        <v>2603603.4</v>
      </c>
      <c r="D238" s="391">
        <f>C238*$M$3</f>
        <v>310089.16493999999</v>
      </c>
      <c r="E238" s="400">
        <f>C238*$M$2*0.75</f>
        <v>264981.73603499995</v>
      </c>
      <c r="F238" s="400">
        <f>C238*($M$2*$N$15)*0.25</f>
        <v>99428.999413778831</v>
      </c>
      <c r="G238" s="400">
        <f t="shared" si="12"/>
        <v>364410.73544877878</v>
      </c>
      <c r="H238" s="401"/>
      <c r="I238" s="401"/>
      <c r="J238" s="390"/>
    </row>
    <row r="239" spans="1:10">
      <c r="A239" s="392" t="s">
        <v>41</v>
      </c>
      <c r="B239" s="392" t="s">
        <v>108</v>
      </c>
      <c r="C239" s="391">
        <v>239900</v>
      </c>
      <c r="D239" s="391">
        <f>C239*$O$3</f>
        <v>75736.429999999993</v>
      </c>
      <c r="E239" s="400">
        <f>C239*$O$2*0.75</f>
        <v>62110.11</v>
      </c>
      <c r="F239" s="400">
        <f>C239*($O$2*$P$15)*0.25</f>
        <v>22352.921066584786</v>
      </c>
      <c r="G239" s="400">
        <f t="shared" si="12"/>
        <v>84463.031066584779</v>
      </c>
      <c r="H239" s="401"/>
      <c r="I239" s="401"/>
      <c r="J239" s="390"/>
    </row>
    <row r="240" spans="1:10">
      <c r="A240" s="392" t="s">
        <v>41</v>
      </c>
      <c r="B240" s="392" t="s">
        <v>109</v>
      </c>
      <c r="C240" s="391">
        <v>57122</v>
      </c>
      <c r="D240" s="391">
        <f>C240*$Q$3</f>
        <v>10624.691999999999</v>
      </c>
      <c r="E240" s="400">
        <f>C240*$Q$2*0.75</f>
        <v>9052.4089500000009</v>
      </c>
      <c r="F240" s="400">
        <f>C240*($Q$2*$R$15)*0.25</f>
        <v>3314.1669516146685</v>
      </c>
      <c r="G240" s="400">
        <f t="shared" si="12"/>
        <v>12366.575901614669</v>
      </c>
      <c r="H240" s="401"/>
      <c r="I240" s="401"/>
      <c r="J240" s="390"/>
    </row>
    <row r="241" spans="1:10">
      <c r="A241" s="392" t="s">
        <v>41</v>
      </c>
      <c r="B241" s="392" t="s">
        <v>110</v>
      </c>
      <c r="C241" s="391">
        <v>66914.5</v>
      </c>
      <c r="D241" s="391">
        <f>C241*$S$3</f>
        <v>38141.264999999999</v>
      </c>
      <c r="E241" s="400">
        <f>C241*$S$2*0.75</f>
        <v>29449.071449999999</v>
      </c>
      <c r="F241" s="400">
        <f>C241*($S$2*$T$15)*0.25</f>
        <v>10284.874128573641</v>
      </c>
      <c r="G241" s="400">
        <f t="shared" si="12"/>
        <v>39733.945578573643</v>
      </c>
      <c r="H241" s="401"/>
      <c r="I241" s="401"/>
      <c r="J241" s="390"/>
    </row>
    <row r="242" spans="1:10">
      <c r="A242" s="389" t="s">
        <v>154</v>
      </c>
      <c r="B242" s="389"/>
      <c r="C242" s="387">
        <f>SUM(C238:C241)</f>
        <v>2967539.9</v>
      </c>
      <c r="D242" s="387">
        <f>SUM(D238:D241)</f>
        <v>434591.55193999998</v>
      </c>
      <c r="E242" s="403">
        <f>SUM(E238:E241)</f>
        <v>365593.32643499994</v>
      </c>
      <c r="F242" s="403">
        <f>SUM(F238:F241)</f>
        <v>135380.96156055192</v>
      </c>
      <c r="G242" s="403">
        <f t="shared" si="12"/>
        <v>500974.28799555183</v>
      </c>
      <c r="H242" s="402">
        <f>G242</f>
        <v>500974.28799555183</v>
      </c>
      <c r="I242" s="402">
        <f>H242-D242</f>
        <v>66382.736055551853</v>
      </c>
      <c r="J242" s="390"/>
    </row>
    <row r="243" spans="1:10">
      <c r="A243" s="392" t="s">
        <v>32</v>
      </c>
      <c r="B243" s="392" t="s">
        <v>107</v>
      </c>
      <c r="C243" s="391">
        <v>1079089.3</v>
      </c>
      <c r="D243" s="391">
        <f>C243*$M$3</f>
        <v>128519.53563</v>
      </c>
      <c r="E243" s="400">
        <f>C243*$M$2*0.75</f>
        <v>109824.31350749999</v>
      </c>
      <c r="F243" s="400">
        <f>C243*($M$2*$N$15)*0.25</f>
        <v>41209.336789587469</v>
      </c>
      <c r="G243" s="400">
        <f t="shared" si="12"/>
        <v>151033.65029708744</v>
      </c>
      <c r="H243" s="401"/>
      <c r="I243" s="401"/>
      <c r="J243" s="390"/>
    </row>
    <row r="244" spans="1:10">
      <c r="A244" s="392" t="s">
        <v>32</v>
      </c>
      <c r="B244" s="392" t="s">
        <v>108</v>
      </c>
      <c r="C244" s="391">
        <v>42833.82</v>
      </c>
      <c r="D244" s="391">
        <f>C244*$O$3</f>
        <v>13522.636973999999</v>
      </c>
      <c r="E244" s="400">
        <f>C244*$O$2*0.75</f>
        <v>11089.675997999999</v>
      </c>
      <c r="F244" s="400">
        <f>C244*($O$2*$P$15)*0.25</f>
        <v>3991.0837742405201</v>
      </c>
      <c r="G244" s="400">
        <f t="shared" si="12"/>
        <v>15080.759772240519</v>
      </c>
      <c r="H244" s="401"/>
      <c r="I244" s="401"/>
      <c r="J244" s="390"/>
    </row>
    <row r="245" spans="1:10">
      <c r="A245" s="392" t="s">
        <v>32</v>
      </c>
      <c r="B245" s="392" t="s">
        <v>109</v>
      </c>
      <c r="C245" s="391">
        <v>64106.967124199989</v>
      </c>
      <c r="D245" s="391">
        <f>C245*$Q$3</f>
        <v>11923.895885101198</v>
      </c>
      <c r="E245" s="400">
        <f>C245*$Q$2*0.75</f>
        <v>10159.351615007592</v>
      </c>
      <c r="F245" s="400">
        <f>C245*($Q$2*$R$15)*0.25</f>
        <v>3719.4284480808033</v>
      </c>
      <c r="G245" s="400">
        <f t="shared" si="12"/>
        <v>13878.780063088396</v>
      </c>
      <c r="H245" s="401"/>
      <c r="I245" s="401"/>
      <c r="J245" s="390"/>
    </row>
    <row r="246" spans="1:10">
      <c r="A246" s="392" t="s">
        <v>32</v>
      </c>
      <c r="B246" s="392" t="s">
        <v>110</v>
      </c>
      <c r="C246" s="391">
        <v>13120.978150403287</v>
      </c>
      <c r="D246" s="391">
        <f>C246*$S$3</f>
        <v>7478.9575457298733</v>
      </c>
      <c r="E246" s="400">
        <f>C246*$S$2*0.75</f>
        <v>5774.5424839924872</v>
      </c>
      <c r="F246" s="400">
        <f>C246*($S$2*$T$15)*0.25</f>
        <v>2016.7169854166555</v>
      </c>
      <c r="G246" s="400">
        <f t="shared" si="12"/>
        <v>7791.2594694091422</v>
      </c>
      <c r="H246" s="401"/>
      <c r="I246" s="401"/>
      <c r="J246" s="390"/>
    </row>
    <row r="247" spans="1:10">
      <c r="A247" s="389" t="s">
        <v>155</v>
      </c>
      <c r="B247" s="389"/>
      <c r="C247" s="387">
        <f>SUM(C243:C246)</f>
        <v>1199151.0652746034</v>
      </c>
      <c r="D247" s="387">
        <f>SUM(D243:D246)</f>
        <v>161445.02603483107</v>
      </c>
      <c r="E247" s="403">
        <f>SUM(E243:E246)</f>
        <v>136847.88360450006</v>
      </c>
      <c r="F247" s="403">
        <f>SUM(F243:F246)</f>
        <v>50936.565997325451</v>
      </c>
      <c r="G247" s="403">
        <f t="shared" si="12"/>
        <v>187784.4496018255</v>
      </c>
      <c r="H247" s="402">
        <f>G247</f>
        <v>187784.4496018255</v>
      </c>
      <c r="I247" s="402">
        <f>H247-D247</f>
        <v>26339.423566994432</v>
      </c>
      <c r="J247" s="390"/>
    </row>
    <row r="248" spans="1:10">
      <c r="A248" s="392" t="s">
        <v>42</v>
      </c>
      <c r="B248" s="392" t="s">
        <v>107</v>
      </c>
      <c r="C248" s="391">
        <v>2233847.13</v>
      </c>
      <c r="D248" s="391">
        <f>C248*$M$3</f>
        <v>266051.19318299997</v>
      </c>
      <c r="E248" s="400">
        <f>C248*$M$2*0.75</f>
        <v>227349.79165574998</v>
      </c>
      <c r="F248" s="400">
        <f>C248*($M$2*$N$15)*0.25</f>
        <v>85308.378756626873</v>
      </c>
      <c r="G248" s="400">
        <f t="shared" si="12"/>
        <v>312658.17041237687</v>
      </c>
      <c r="H248" s="401"/>
      <c r="I248" s="401"/>
      <c r="J248" s="390"/>
    </row>
    <row r="249" spans="1:10">
      <c r="A249" s="392" t="s">
        <v>42</v>
      </c>
      <c r="B249" s="392" t="s">
        <v>108</v>
      </c>
      <c r="C249" s="391">
        <v>372686.14</v>
      </c>
      <c r="D249" s="391">
        <f>C249*$O$3</f>
        <v>117657.014398</v>
      </c>
      <c r="E249" s="400">
        <f>C249*$O$2*0.75</f>
        <v>96488.441646000007</v>
      </c>
      <c r="F249" s="400">
        <f>C249*($O$2*$P$15)*0.25</f>
        <v>34725.401709171187</v>
      </c>
      <c r="G249" s="400">
        <f t="shared" si="12"/>
        <v>131213.84335517121</v>
      </c>
      <c r="H249" s="401"/>
      <c r="I249" s="401"/>
      <c r="J249" s="390"/>
    </row>
    <row r="250" spans="1:10">
      <c r="A250" s="392" t="s">
        <v>42</v>
      </c>
      <c r="B250" s="392" t="s">
        <v>109</v>
      </c>
      <c r="C250" s="391">
        <v>98499.667932813274</v>
      </c>
      <c r="D250" s="391">
        <f>C250*$Q$3</f>
        <v>18320.938235503269</v>
      </c>
      <c r="E250" s="400">
        <f>C250*$Q$2*0.75</f>
        <v>15609.734875652583</v>
      </c>
      <c r="F250" s="400">
        <f>C250*($Q$2*$R$15)*0.25</f>
        <v>5714.8619482502163</v>
      </c>
      <c r="G250" s="400">
        <f t="shared" si="12"/>
        <v>21324.596823902801</v>
      </c>
      <c r="H250" s="401"/>
      <c r="I250" s="401"/>
      <c r="J250" s="390"/>
    </row>
    <row r="251" spans="1:10">
      <c r="A251" s="392" t="s">
        <v>42</v>
      </c>
      <c r="B251" s="392" t="s">
        <v>110</v>
      </c>
      <c r="C251" s="391">
        <v>0</v>
      </c>
      <c r="D251" s="391">
        <f>C251*$S$3</f>
        <v>0</v>
      </c>
      <c r="E251" s="400">
        <f>C251*$S$2*0.75</f>
        <v>0</v>
      </c>
      <c r="F251" s="400">
        <f>C251*($S$2*$T$15)*0.25</f>
        <v>0</v>
      </c>
      <c r="G251" s="400">
        <f t="shared" si="12"/>
        <v>0</v>
      </c>
      <c r="H251" s="401"/>
      <c r="I251" s="401"/>
      <c r="J251" s="390"/>
    </row>
    <row r="252" spans="1:10">
      <c r="A252" s="389" t="s">
        <v>156</v>
      </c>
      <c r="B252" s="389"/>
      <c r="C252" s="387">
        <f>SUM(C248:C251)</f>
        <v>2705032.9379328131</v>
      </c>
      <c r="D252" s="387">
        <f>SUM(D248:D251)</f>
        <v>402029.14581650321</v>
      </c>
      <c r="E252" s="403">
        <f>SUM(E248:E250)</f>
        <v>339447.96817740257</v>
      </c>
      <c r="F252" s="403">
        <f>SUM(F248:F250)</f>
        <v>125748.64241404827</v>
      </c>
      <c r="G252" s="403">
        <f t="shared" si="12"/>
        <v>465196.61059145082</v>
      </c>
      <c r="H252" s="402">
        <f>G252</f>
        <v>465196.61059145082</v>
      </c>
      <c r="I252" s="402">
        <f>H252-D252</f>
        <v>63167.464774947613</v>
      </c>
      <c r="J252" s="390"/>
    </row>
    <row r="253" spans="1:10">
      <c r="A253" s="392" t="s">
        <v>24</v>
      </c>
      <c r="B253" s="392" t="s">
        <v>107</v>
      </c>
      <c r="C253" s="391">
        <v>903473</v>
      </c>
      <c r="D253" s="391">
        <f>C253*$M$3</f>
        <v>107603.63429999999</v>
      </c>
      <c r="E253" s="400">
        <f>C253*$M$2*0.75</f>
        <v>91950.964574999991</v>
      </c>
      <c r="F253" s="400">
        <f>C253*($M$2*$N$15)*0.25</f>
        <v>34502.726639304972</v>
      </c>
      <c r="G253" s="400">
        <f t="shared" si="12"/>
        <v>126453.69121430497</v>
      </c>
      <c r="H253" s="401"/>
      <c r="I253" s="401"/>
      <c r="J253" s="390"/>
    </row>
    <row r="254" spans="1:10">
      <c r="A254" s="392" t="s">
        <v>24</v>
      </c>
      <c r="B254" s="392" t="s">
        <v>108</v>
      </c>
      <c r="C254" s="391">
        <v>0</v>
      </c>
      <c r="D254" s="391">
        <f>C254*$O$3</f>
        <v>0</v>
      </c>
      <c r="E254" s="400">
        <f>C254*$O$2*0.75</f>
        <v>0</v>
      </c>
      <c r="F254" s="400">
        <f>C254*($O$2*$P$15)*0.25</f>
        <v>0</v>
      </c>
      <c r="G254" s="400">
        <f t="shared" si="12"/>
        <v>0</v>
      </c>
      <c r="H254" s="401"/>
      <c r="I254" s="401"/>
      <c r="J254" s="390"/>
    </row>
    <row r="255" spans="1:10">
      <c r="A255" s="392" t="s">
        <v>24</v>
      </c>
      <c r="B255" s="392" t="s">
        <v>109</v>
      </c>
      <c r="C255" s="391">
        <v>0</v>
      </c>
      <c r="D255" s="391">
        <f>C255*$Q$3</f>
        <v>0</v>
      </c>
      <c r="E255" s="400">
        <f>C255*$Q$2*0.75</f>
        <v>0</v>
      </c>
      <c r="F255" s="400">
        <f>C255*($Q$2*$R$15)*0.25</f>
        <v>0</v>
      </c>
      <c r="G255" s="400">
        <f t="shared" si="12"/>
        <v>0</v>
      </c>
      <c r="H255" s="401"/>
      <c r="I255" s="401"/>
      <c r="J255" s="390"/>
    </row>
    <row r="256" spans="1:10">
      <c r="A256" s="392" t="s">
        <v>24</v>
      </c>
      <c r="B256" s="392" t="s">
        <v>110</v>
      </c>
      <c r="C256" s="391">
        <v>40544.459999999992</v>
      </c>
      <c r="D256" s="391">
        <f>C256*$S$3</f>
        <v>23110.342199999992</v>
      </c>
      <c r="E256" s="400">
        <f>C256*$S$2*0.75</f>
        <v>17843.616845999997</v>
      </c>
      <c r="F256" s="400">
        <f>C256*($S$2*$T$15)*0.25</f>
        <v>6231.7534721321799</v>
      </c>
      <c r="G256" s="400">
        <f t="shared" si="12"/>
        <v>24075.370318132176</v>
      </c>
      <c r="H256" s="401"/>
      <c r="I256" s="401"/>
      <c r="J256" s="390"/>
    </row>
    <row r="257" spans="1:10">
      <c r="A257" s="389" t="s">
        <v>157</v>
      </c>
      <c r="B257" s="389"/>
      <c r="C257" s="387">
        <f>SUM(C253:C256)</f>
        <v>944017.46</v>
      </c>
      <c r="D257" s="387">
        <f>SUM(D253:D256)</f>
        <v>130713.97649999999</v>
      </c>
      <c r="E257" s="403">
        <f>SUM(E253:E256)</f>
        <v>109794.58142099998</v>
      </c>
      <c r="F257" s="403">
        <f>SUM(F253:F256)</f>
        <v>40734.480111437151</v>
      </c>
      <c r="G257" s="403">
        <f t="shared" si="12"/>
        <v>150529.06153243713</v>
      </c>
      <c r="H257" s="402">
        <f>G257</f>
        <v>150529.06153243713</v>
      </c>
      <c r="I257" s="402">
        <f>H257-D257</f>
        <v>19815.085032437142</v>
      </c>
      <c r="J257" s="390"/>
    </row>
    <row r="258" spans="1:10">
      <c r="A258" s="392" t="s">
        <v>66</v>
      </c>
      <c r="B258" s="392" t="s">
        <v>107</v>
      </c>
      <c r="C258" s="391">
        <v>15870732.800000001</v>
      </c>
      <c r="D258" s="391">
        <f>C258*$M$3</f>
        <v>1890204.27648</v>
      </c>
      <c r="E258" s="400">
        <f>C258*$M$2*0.75</f>
        <v>1615243.83072</v>
      </c>
      <c r="F258" s="400">
        <f>C258*($M$2*$N$15)*0.25</f>
        <v>606087.3488901729</v>
      </c>
      <c r="G258" s="400">
        <f t="shared" si="12"/>
        <v>2221331.1796101728</v>
      </c>
      <c r="H258" s="401"/>
      <c r="I258" s="401"/>
      <c r="J258" s="390"/>
    </row>
    <row r="259" spans="1:10">
      <c r="A259" s="392" t="s">
        <v>66</v>
      </c>
      <c r="B259" s="392" t="s">
        <v>108</v>
      </c>
      <c r="C259" s="391">
        <v>992536.65</v>
      </c>
      <c r="D259" s="391">
        <f>C259*$O$3</f>
        <v>313343.82040500001</v>
      </c>
      <c r="E259" s="400">
        <f>C259*$O$2*0.75</f>
        <v>256967.73868499999</v>
      </c>
      <c r="F259" s="400">
        <f>C259*($O$2*$P$15)*0.25</f>
        <v>92480.589383670245</v>
      </c>
      <c r="G259" s="400">
        <f t="shared" si="12"/>
        <v>349448.32806867023</v>
      </c>
      <c r="H259" s="401"/>
      <c r="I259" s="401"/>
      <c r="J259" s="390"/>
    </row>
    <row r="260" spans="1:10">
      <c r="A260" s="392" t="s">
        <v>66</v>
      </c>
      <c r="B260" s="392" t="s">
        <v>109</v>
      </c>
      <c r="C260" s="391">
        <v>1800801.6</v>
      </c>
      <c r="D260" s="391">
        <f>C260*$Q$3</f>
        <v>334949.09760000004</v>
      </c>
      <c r="E260" s="400">
        <f>C260*$Q$2*0.75</f>
        <v>285382.03356000001</v>
      </c>
      <c r="F260" s="400">
        <f>C260*($Q$2*$R$15)*0.25</f>
        <v>104480.88563311539</v>
      </c>
      <c r="G260" s="400">
        <f t="shared" si="12"/>
        <v>389862.91919311543</v>
      </c>
      <c r="H260" s="401"/>
      <c r="I260" s="401"/>
      <c r="J260" s="390"/>
    </row>
    <row r="261" spans="1:10">
      <c r="A261" s="392" t="s">
        <v>66</v>
      </c>
      <c r="B261" s="392" t="s">
        <v>110</v>
      </c>
      <c r="C261" s="391">
        <v>193419.19999999998</v>
      </c>
      <c r="D261" s="391">
        <f>C261*$S$3</f>
        <v>110248.94399999997</v>
      </c>
      <c r="E261" s="400">
        <f>C261*$S$2*0.75</f>
        <v>85123.789919999981</v>
      </c>
      <c r="F261" s="400">
        <f>C261*($S$2*$T$15)*0.25</f>
        <v>29728.86483571439</v>
      </c>
      <c r="G261" s="400">
        <f t="shared" si="12"/>
        <v>114852.65475571438</v>
      </c>
      <c r="H261" s="401"/>
      <c r="I261" s="401"/>
      <c r="J261" s="390"/>
    </row>
    <row r="262" spans="1:10">
      <c r="A262" s="389" t="s">
        <v>158</v>
      </c>
      <c r="B262" s="389"/>
      <c r="C262" s="387">
        <f>SUM(C258:C261)</f>
        <v>18857490.25</v>
      </c>
      <c r="D262" s="387">
        <f>SUM(D258:D261)</f>
        <v>2648746.138485</v>
      </c>
      <c r="E262" s="403">
        <f>SUM(E258:E261)</f>
        <v>2242717.392885</v>
      </c>
      <c r="F262" s="403">
        <f>SUM(F258:F261)</f>
        <v>832777.68874267291</v>
      </c>
      <c r="G262" s="403">
        <f t="shared" si="12"/>
        <v>3075495.081627673</v>
      </c>
      <c r="H262" s="402">
        <f>G262</f>
        <v>3075495.081627673</v>
      </c>
      <c r="I262" s="402">
        <f>H262-D262</f>
        <v>426748.943142673</v>
      </c>
      <c r="J262" s="390"/>
    </row>
    <row r="263" spans="1:10">
      <c r="A263" s="392" t="s">
        <v>53</v>
      </c>
      <c r="B263" s="392" t="s">
        <v>107</v>
      </c>
      <c r="C263" s="391">
        <v>4120907.53</v>
      </c>
      <c r="D263" s="391">
        <f>C263*$M$3</f>
        <v>490800.08682299999</v>
      </c>
      <c r="E263" s="400">
        <f>C263*$M$2*0.75</f>
        <v>419405.36386574991</v>
      </c>
      <c r="F263" s="400">
        <f>C263*($M$2*$N$15)*0.25</f>
        <v>157373.32052362766</v>
      </c>
      <c r="G263" s="400">
        <f t="shared" si="12"/>
        <v>576778.68438937759</v>
      </c>
      <c r="H263" s="401"/>
      <c r="I263" s="401"/>
      <c r="J263" s="390"/>
    </row>
    <row r="264" spans="1:10">
      <c r="A264" s="392" t="s">
        <v>53</v>
      </c>
      <c r="B264" s="392" t="s">
        <v>108</v>
      </c>
      <c r="C264" s="391">
        <v>385326.97</v>
      </c>
      <c r="D264" s="391">
        <f>C264*$O$3</f>
        <v>121647.72442899998</v>
      </c>
      <c r="E264" s="400">
        <f>C264*$O$2*0.75</f>
        <v>99761.152532999986</v>
      </c>
      <c r="F264" s="400">
        <f>C264*($O$2*$P$15)*0.25</f>
        <v>35903.223614990762</v>
      </c>
      <c r="G264" s="400">
        <f t="shared" si="12"/>
        <v>135664.37614799076</v>
      </c>
      <c r="H264" s="401"/>
      <c r="I264" s="401"/>
      <c r="J264" s="390"/>
    </row>
    <row r="265" spans="1:10">
      <c r="A265" s="392" t="s">
        <v>53</v>
      </c>
      <c r="B265" s="392" t="s">
        <v>109</v>
      </c>
      <c r="C265" s="391">
        <v>205668.84</v>
      </c>
      <c r="D265" s="391">
        <f>C265*$Q$3</f>
        <v>38254.404239999996</v>
      </c>
      <c r="E265" s="400">
        <f>C265*$Q$2*0.75</f>
        <v>32593.369418999995</v>
      </c>
      <c r="F265" s="400">
        <f>C265*($Q$2*$R$15)*0.25</f>
        <v>11932.720711896029</v>
      </c>
      <c r="G265" s="400">
        <f t="shared" si="12"/>
        <v>44526.090130896024</v>
      </c>
      <c r="H265" s="401"/>
      <c r="I265" s="401"/>
      <c r="J265" s="390"/>
    </row>
    <row r="266" spans="1:10">
      <c r="A266" s="392" t="s">
        <v>53</v>
      </c>
      <c r="B266" s="392" t="s">
        <v>110</v>
      </c>
      <c r="C266" s="391">
        <v>102262.2</v>
      </c>
      <c r="D266" s="391">
        <f>C266*$S$3</f>
        <v>58289.453999999991</v>
      </c>
      <c r="E266" s="400">
        <f>C266*$S$2*0.75</f>
        <v>45005.594219999999</v>
      </c>
      <c r="F266" s="400">
        <f>C266*($S$2*$T$15)*0.25</f>
        <v>15717.876620329276</v>
      </c>
      <c r="G266" s="400">
        <f t="shared" si="12"/>
        <v>60723.470840329275</v>
      </c>
      <c r="H266" s="401"/>
      <c r="I266" s="401"/>
      <c r="J266" s="390"/>
    </row>
    <row r="267" spans="1:10">
      <c r="A267" s="389" t="s">
        <v>159</v>
      </c>
      <c r="B267" s="389"/>
      <c r="C267" s="387">
        <f>SUM(C263:C266)</f>
        <v>4814165.54</v>
      </c>
      <c r="D267" s="387">
        <f>SUM(D263:D266)</f>
        <v>708991.6694919999</v>
      </c>
      <c r="E267" s="403">
        <f>SUM(E263:E266)</f>
        <v>596765.48003774986</v>
      </c>
      <c r="F267" s="403">
        <f>SUM(F263:F266)</f>
        <v>220927.14147084372</v>
      </c>
      <c r="G267" s="403">
        <f t="shared" si="12"/>
        <v>817692.62150859355</v>
      </c>
      <c r="H267" s="402">
        <f>G267</f>
        <v>817692.62150859355</v>
      </c>
      <c r="I267" s="402">
        <f>H267-D267</f>
        <v>108700.95201659366</v>
      </c>
      <c r="J267" s="390"/>
    </row>
    <row r="268" spans="1:10">
      <c r="A268" s="392" t="s">
        <v>67</v>
      </c>
      <c r="B268" s="392" t="s">
        <v>107</v>
      </c>
      <c r="C268" s="391">
        <v>17031348.899999999</v>
      </c>
      <c r="D268" s="391">
        <f>C268*$M$3</f>
        <v>2028433.6539899998</v>
      </c>
      <c r="E268" s="400">
        <f>C268*$M$2*0.75</f>
        <v>1733365.5342974996</v>
      </c>
      <c r="F268" s="400">
        <f>C268*($M$2*$N$15)*0.25</f>
        <v>650410.1123058768</v>
      </c>
      <c r="G268" s="400">
        <f t="shared" si="12"/>
        <v>2383775.6466033766</v>
      </c>
      <c r="H268" s="401"/>
      <c r="I268" s="401"/>
      <c r="J268" s="390"/>
    </row>
    <row r="269" spans="1:10">
      <c r="A269" s="392" t="s">
        <v>67</v>
      </c>
      <c r="B269" s="392" t="s">
        <v>108</v>
      </c>
      <c r="C269" s="391">
        <v>602687.02</v>
      </c>
      <c r="D269" s="391">
        <f>C269*$O$3</f>
        <v>190268.29221399999</v>
      </c>
      <c r="E269" s="400">
        <f>C269*$O$2*0.75</f>
        <v>156035.66947800003</v>
      </c>
      <c r="F269" s="400">
        <f>C269*($O$2*$P$15)*0.25</f>
        <v>56155.962425657388</v>
      </c>
      <c r="G269" s="400">
        <f t="shared" si="12"/>
        <v>212191.6319036574</v>
      </c>
      <c r="H269" s="401"/>
      <c r="I269" s="401"/>
      <c r="J269" s="390"/>
    </row>
    <row r="270" spans="1:10">
      <c r="A270" s="392" t="s">
        <v>67</v>
      </c>
      <c r="B270" s="392" t="s">
        <v>109</v>
      </c>
      <c r="C270" s="391">
        <v>1617797.31</v>
      </c>
      <c r="D270" s="391">
        <f>C270*$Q$3</f>
        <v>300910.29966000002</v>
      </c>
      <c r="E270" s="400">
        <f>C270*$Q$2*0.75</f>
        <v>256380.42870225001</v>
      </c>
      <c r="F270" s="400">
        <f>C270*($Q$2*$R$15)*0.25</f>
        <v>93863.141682943708</v>
      </c>
      <c r="G270" s="400">
        <f t="shared" si="12"/>
        <v>350243.57038519369</v>
      </c>
      <c r="H270" s="401"/>
      <c r="I270" s="401"/>
      <c r="J270" s="390"/>
    </row>
    <row r="271" spans="1:10">
      <c r="A271" s="392" t="s">
        <v>67</v>
      </c>
      <c r="B271" s="392" t="s">
        <v>110</v>
      </c>
      <c r="C271" s="391">
        <v>117622.704</v>
      </c>
      <c r="D271" s="391">
        <f>C271*$S$3</f>
        <v>67044.941279999999</v>
      </c>
      <c r="E271" s="400">
        <f>C271*$S$2*0.75</f>
        <v>51765.752030399992</v>
      </c>
      <c r="F271" s="400">
        <f>C271*($S$2*$T$15)*0.25</f>
        <v>18078.812593719977</v>
      </c>
      <c r="G271" s="400">
        <f t="shared" si="12"/>
        <v>69844.564624119972</v>
      </c>
      <c r="H271" s="401"/>
      <c r="I271" s="401"/>
      <c r="J271" s="390"/>
    </row>
    <row r="272" spans="1:10">
      <c r="A272" s="389" t="s">
        <v>160</v>
      </c>
      <c r="B272" s="389"/>
      <c r="C272" s="387">
        <f>SUM(C268:C271)</f>
        <v>19369455.933999997</v>
      </c>
      <c r="D272" s="387">
        <f>SUM(D268:D271)</f>
        <v>2586657.1871439996</v>
      </c>
      <c r="E272" s="403">
        <f>SUM(E268:E271)</f>
        <v>2197547.3845081497</v>
      </c>
      <c r="F272" s="403">
        <f>SUM(F268:F271)</f>
        <v>818508.02900819783</v>
      </c>
      <c r="G272" s="403">
        <f t="shared" si="12"/>
        <v>3016055.4135163473</v>
      </c>
      <c r="H272" s="402">
        <f>G272</f>
        <v>3016055.4135163473</v>
      </c>
      <c r="I272" s="402">
        <f>H272-D272</f>
        <v>429398.22637234768</v>
      </c>
      <c r="J272" s="390"/>
    </row>
    <row r="273" spans="1:10">
      <c r="A273" s="392" t="s">
        <v>54</v>
      </c>
      <c r="B273" s="392" t="s">
        <v>107</v>
      </c>
      <c r="C273" s="391">
        <v>8679962.2100000009</v>
      </c>
      <c r="D273" s="391">
        <f>C273*$M$3</f>
        <v>1033783.499211</v>
      </c>
      <c r="E273" s="400">
        <f>C273*$M$2*0.75</f>
        <v>883403.15392275015</v>
      </c>
      <c r="F273" s="400">
        <f>C273*($M$2*$N$15)*0.25</f>
        <v>331479.04073627823</v>
      </c>
      <c r="G273" s="400">
        <f t="shared" si="12"/>
        <v>1214882.1946590284</v>
      </c>
      <c r="H273" s="401"/>
      <c r="I273" s="401"/>
      <c r="J273" s="390"/>
    </row>
    <row r="274" spans="1:10">
      <c r="A274" s="392" t="s">
        <v>54</v>
      </c>
      <c r="B274" s="392" t="s">
        <v>108</v>
      </c>
      <c r="C274" s="391">
        <v>308310.53999999998</v>
      </c>
      <c r="D274" s="391">
        <f>C274*$O$3</f>
        <v>97333.63747799999</v>
      </c>
      <c r="E274" s="400">
        <f>C274*$O$2*0.75</f>
        <v>79821.598805999995</v>
      </c>
      <c r="F274" s="400">
        <f>C274*($O$2*$P$15)*0.25</f>
        <v>28727.141161384458</v>
      </c>
      <c r="G274" s="400">
        <f t="shared" si="12"/>
        <v>108548.73996738445</v>
      </c>
      <c r="H274" s="401"/>
      <c r="I274" s="401"/>
      <c r="J274" s="390"/>
    </row>
    <row r="275" spans="1:10">
      <c r="A275" s="392" t="s">
        <v>54</v>
      </c>
      <c r="B275" s="392" t="s">
        <v>109</v>
      </c>
      <c r="C275" s="391">
        <v>138984.54999999999</v>
      </c>
      <c r="D275" s="391">
        <f>C275*$Q$3</f>
        <v>25851.126299999996</v>
      </c>
      <c r="E275" s="400">
        <f>C275*$Q$2*0.75</f>
        <v>22025.576561249996</v>
      </c>
      <c r="F275" s="400">
        <f>C275*($Q$2*$R$15)*0.25</f>
        <v>8063.7583136976373</v>
      </c>
      <c r="G275" s="400">
        <f t="shared" si="12"/>
        <v>30089.334874947635</v>
      </c>
      <c r="H275" s="401"/>
      <c r="I275" s="401"/>
      <c r="J275" s="390"/>
    </row>
    <row r="276" spans="1:10">
      <c r="A276" s="392" t="s">
        <v>54</v>
      </c>
      <c r="B276" s="392" t="s">
        <v>110</v>
      </c>
      <c r="C276" s="391">
        <v>75879.759999999995</v>
      </c>
      <c r="D276" s="391">
        <f>C276*$S$3</f>
        <v>43251.463199999991</v>
      </c>
      <c r="E276" s="400">
        <f>C276*$S$2*0.75</f>
        <v>33394.682375999997</v>
      </c>
      <c r="F276" s="400">
        <f>C276*($S$2*$T$15)*0.25</f>
        <v>11662.850062488355</v>
      </c>
      <c r="G276" s="400">
        <f t="shared" si="12"/>
        <v>45057.53243848835</v>
      </c>
      <c r="H276" s="401"/>
      <c r="I276" s="401"/>
      <c r="J276" s="390"/>
    </row>
    <row r="277" spans="1:10">
      <c r="A277" s="389" t="s">
        <v>161</v>
      </c>
      <c r="B277" s="389"/>
      <c r="C277" s="388">
        <f>SUM(C273:C276)</f>
        <v>9203137.0600000005</v>
      </c>
      <c r="D277" s="387">
        <f>SUM(D273:D276)</f>
        <v>1200219.7261889998</v>
      </c>
      <c r="E277" s="403">
        <f>SUM(E273:E276)</f>
        <v>1018645.0116660001</v>
      </c>
      <c r="F277" s="403">
        <f>SUM(F273:F276)</f>
        <v>379932.79027384869</v>
      </c>
      <c r="G277" s="403">
        <f t="shared" si="12"/>
        <v>1398577.8019398488</v>
      </c>
      <c r="H277" s="402">
        <f>G277</f>
        <v>1398577.8019398488</v>
      </c>
      <c r="I277" s="402">
        <f>H277-D277</f>
        <v>198358.07575084898</v>
      </c>
      <c r="J277" s="390"/>
    </row>
    <row r="278" spans="1:10">
      <c r="A278" s="392" t="s">
        <v>60</v>
      </c>
      <c r="B278" s="392" t="s">
        <v>107</v>
      </c>
      <c r="C278" s="391">
        <v>13338644.109999999</v>
      </c>
      <c r="D278" s="391">
        <f>C278*$M$3</f>
        <v>1588632.5135009999</v>
      </c>
      <c r="E278" s="400">
        <f>C278*$M$2*0.75</f>
        <v>1357540.5042952499</v>
      </c>
      <c r="F278" s="400">
        <f>C278*($M$2*$N$15)*0.25</f>
        <v>509389.42443914246</v>
      </c>
      <c r="G278" s="400">
        <f t="shared" si="12"/>
        <v>1866929.9287343924</v>
      </c>
      <c r="H278" s="401"/>
      <c r="I278" s="401"/>
      <c r="J278" s="390"/>
    </row>
    <row r="279" spans="1:10">
      <c r="A279" s="392" t="s">
        <v>60</v>
      </c>
      <c r="B279" s="392" t="s">
        <v>108</v>
      </c>
      <c r="C279" s="391">
        <v>182294.32</v>
      </c>
      <c r="D279" s="391">
        <f>C279*$O$3</f>
        <v>57550.316824000001</v>
      </c>
      <c r="E279" s="400">
        <f>C279*$O$2*0.75</f>
        <v>47195.999448000002</v>
      </c>
      <c r="F279" s="400">
        <f>C279*($O$2*$P$15)*0.25</f>
        <v>16985.454547089405</v>
      </c>
      <c r="G279" s="400">
        <f t="shared" si="12"/>
        <v>64181.45399508941</v>
      </c>
      <c r="H279" s="401"/>
      <c r="I279" s="401"/>
      <c r="J279" s="390"/>
    </row>
    <row r="280" spans="1:10">
      <c r="A280" s="392" t="s">
        <v>60</v>
      </c>
      <c r="B280" s="392" t="s">
        <v>109</v>
      </c>
      <c r="C280" s="391">
        <v>1477405.7</v>
      </c>
      <c r="D280" s="391">
        <f>C280*$Q$3</f>
        <v>274797.46019999997</v>
      </c>
      <c r="E280" s="400">
        <f>C280*$Q$2*0.75</f>
        <v>234131.8683075</v>
      </c>
      <c r="F280" s="400">
        <f>C280*($Q$2*$R$15)*0.25</f>
        <v>85717.747016335823</v>
      </c>
      <c r="G280" s="400">
        <f t="shared" si="12"/>
        <v>319849.61532383581</v>
      </c>
      <c r="H280" s="401"/>
      <c r="I280" s="401"/>
      <c r="J280" s="390"/>
    </row>
    <row r="281" spans="1:10">
      <c r="A281" s="392" t="s">
        <v>60</v>
      </c>
      <c r="B281" s="392" t="s">
        <v>110</v>
      </c>
      <c r="C281" s="391">
        <v>0</v>
      </c>
      <c r="D281" s="391">
        <f>C281*$S$3</f>
        <v>0</v>
      </c>
      <c r="E281" s="400">
        <f>C281*$S$2*0.75</f>
        <v>0</v>
      </c>
      <c r="F281" s="400">
        <f>C281*($S$2*$T$15)*0.25</f>
        <v>0</v>
      </c>
      <c r="G281" s="400">
        <f t="shared" si="12"/>
        <v>0</v>
      </c>
      <c r="H281" s="401"/>
      <c r="I281" s="401"/>
      <c r="J281" s="390"/>
    </row>
    <row r="282" spans="1:10">
      <c r="A282" s="389" t="s">
        <v>162</v>
      </c>
      <c r="B282" s="389"/>
      <c r="C282" s="387">
        <f>SUM(C278:C281)</f>
        <v>14998344.129999999</v>
      </c>
      <c r="D282" s="387">
        <f>SUM(D278:D281)</f>
        <v>1920980.2905250001</v>
      </c>
      <c r="E282" s="403">
        <f>SUM(E278:E280)</f>
        <v>1638868.3720507498</v>
      </c>
      <c r="F282" s="403">
        <f>SUM(F278:F280)</f>
        <v>612092.6260025677</v>
      </c>
      <c r="G282" s="403">
        <f t="shared" si="12"/>
        <v>2250960.9980533174</v>
      </c>
      <c r="H282" s="402">
        <f>G282</f>
        <v>2250960.9980533174</v>
      </c>
      <c r="I282" s="402">
        <f>H282-D282</f>
        <v>329980.70752831735</v>
      </c>
      <c r="J282" s="390"/>
    </row>
    <row r="283" spans="1:10">
      <c r="A283" s="392" t="s">
        <v>61</v>
      </c>
      <c r="B283" s="392" t="s">
        <v>107</v>
      </c>
      <c r="C283" s="391">
        <v>7471544.3200000003</v>
      </c>
      <c r="D283" s="391">
        <f>C283*$M$3</f>
        <v>889860.92851200001</v>
      </c>
      <c r="E283" s="400">
        <f>C283*$M$2*0.75</f>
        <v>760416.42316799995</v>
      </c>
      <c r="F283" s="400">
        <f>C283*($M$2*$N$15)*0.25</f>
        <v>285330.77496107994</v>
      </c>
      <c r="G283" s="400">
        <f t="shared" si="12"/>
        <v>1045747.1981290799</v>
      </c>
      <c r="H283" s="401"/>
      <c r="I283" s="401"/>
      <c r="J283" s="390"/>
    </row>
    <row r="284" spans="1:10">
      <c r="A284" s="392" t="s">
        <v>61</v>
      </c>
      <c r="B284" s="392" t="s">
        <v>108</v>
      </c>
      <c r="C284" s="391">
        <v>256631.86</v>
      </c>
      <c r="D284" s="391">
        <f>C284*$O$3</f>
        <v>81018.678201999996</v>
      </c>
      <c r="E284" s="400">
        <f>C284*$O$2*0.75</f>
        <v>66441.988553999996</v>
      </c>
      <c r="F284" s="400">
        <f>C284*($O$2*$P$15)*0.25</f>
        <v>23911.92876094555</v>
      </c>
      <c r="G284" s="400">
        <f t="shared" si="12"/>
        <v>90353.917314945546</v>
      </c>
      <c r="H284" s="401"/>
      <c r="I284" s="401"/>
      <c r="J284" s="390"/>
    </row>
    <row r="285" spans="1:10">
      <c r="A285" s="392" t="s">
        <v>61</v>
      </c>
      <c r="B285" s="392" t="s">
        <v>109</v>
      </c>
      <c r="C285" s="391">
        <v>689925.85</v>
      </c>
      <c r="D285" s="391">
        <f>C285*$Q$3</f>
        <v>128326.20809999999</v>
      </c>
      <c r="E285" s="400">
        <f>C285*$Q$2*0.75</f>
        <v>109335.99907874998</v>
      </c>
      <c r="F285" s="400">
        <f>C285*($Q$2*$R$15)*0.25</f>
        <v>40028.87593457265</v>
      </c>
      <c r="G285" s="400">
        <f t="shared" si="12"/>
        <v>149364.87501332263</v>
      </c>
      <c r="H285" s="401"/>
      <c r="I285" s="401"/>
      <c r="J285" s="390"/>
    </row>
    <row r="286" spans="1:10">
      <c r="A286" s="392" t="s">
        <v>61</v>
      </c>
      <c r="B286" s="392" t="s">
        <v>110</v>
      </c>
      <c r="C286" s="391">
        <v>0</v>
      </c>
      <c r="D286" s="391">
        <f>C286*$S$3</f>
        <v>0</v>
      </c>
      <c r="E286" s="400">
        <f>C286*$S$2*0.75</f>
        <v>0</v>
      </c>
      <c r="F286" s="400">
        <f>C286*($S$2*$T$15)*0.25</f>
        <v>0</v>
      </c>
      <c r="G286" s="400">
        <f t="shared" si="12"/>
        <v>0</v>
      </c>
      <c r="H286" s="401"/>
      <c r="I286" s="401"/>
      <c r="J286" s="390"/>
    </row>
    <row r="287" spans="1:10">
      <c r="A287" s="389" t="s">
        <v>163</v>
      </c>
      <c r="B287" s="389"/>
      <c r="C287" s="387">
        <f>SUM(C283:C286)</f>
        <v>8418102.0300000012</v>
      </c>
      <c r="D287" s="387">
        <f>SUM(D283:D286)</f>
        <v>1099205.8148139999</v>
      </c>
      <c r="E287" s="403">
        <f>SUM(E283:E285)</f>
        <v>936194.41080075002</v>
      </c>
      <c r="F287" s="403">
        <f>SUM(F283:F285)</f>
        <v>349271.57965659816</v>
      </c>
      <c r="G287" s="403">
        <f t="shared" si="12"/>
        <v>1285465.9904573481</v>
      </c>
      <c r="H287" s="402">
        <f>G287</f>
        <v>1285465.9904573481</v>
      </c>
      <c r="I287" s="402">
        <f>H287-D287</f>
        <v>186260.17564334814</v>
      </c>
      <c r="J287" s="390"/>
    </row>
    <row r="288" spans="1:10">
      <c r="A288" s="392" t="s">
        <v>33</v>
      </c>
      <c r="B288" s="392" t="s">
        <v>107</v>
      </c>
      <c r="C288" s="391">
        <v>1204414.03</v>
      </c>
      <c r="D288" s="391">
        <f>C288*$M$3</f>
        <v>143445.71097300001</v>
      </c>
      <c r="E288" s="400">
        <f>C288*$M$2*0.75</f>
        <v>122579.23790324997</v>
      </c>
      <c r="F288" s="400">
        <f>C288*($M$2*$N$15)*0.25</f>
        <v>45995.362382310996</v>
      </c>
      <c r="G288" s="400">
        <f t="shared" si="12"/>
        <v>168574.60028556097</v>
      </c>
      <c r="H288" s="401"/>
      <c r="I288" s="401"/>
      <c r="J288" s="390"/>
    </row>
    <row r="289" spans="1:10">
      <c r="A289" s="392" t="s">
        <v>33</v>
      </c>
      <c r="B289" s="392" t="s">
        <v>108</v>
      </c>
      <c r="C289" s="391">
        <v>180819.85</v>
      </c>
      <c r="D289" s="391">
        <f>C289*$O$3</f>
        <v>57084.826645000001</v>
      </c>
      <c r="E289" s="400">
        <f>C289*$O$2*0.75</f>
        <v>46814.259165000003</v>
      </c>
      <c r="F289" s="400">
        <f>C289*($O$2*$P$15)*0.25</f>
        <v>16848.069338564823</v>
      </c>
      <c r="G289" s="400">
        <f t="shared" si="12"/>
        <v>63662.32850356483</v>
      </c>
      <c r="H289" s="401"/>
      <c r="I289" s="401"/>
      <c r="J289" s="390"/>
    </row>
    <row r="290" spans="1:10">
      <c r="A290" s="392" t="s">
        <v>33</v>
      </c>
      <c r="B290" s="392" t="s">
        <v>109</v>
      </c>
      <c r="C290" s="391">
        <v>223603.11</v>
      </c>
      <c r="D290" s="391">
        <f>C290*$Q$3</f>
        <v>41590.178459999996</v>
      </c>
      <c r="E290" s="400">
        <f>C290*$Q$2*0.75</f>
        <v>35435.502857250001</v>
      </c>
      <c r="F290" s="400">
        <f>C290*($Q$2*$R$15)*0.25</f>
        <v>12973.250891780037</v>
      </c>
      <c r="G290" s="400">
        <f t="shared" si="12"/>
        <v>48408.753749030038</v>
      </c>
      <c r="H290" s="401"/>
      <c r="I290" s="401"/>
      <c r="J290" s="390"/>
    </row>
    <row r="291" spans="1:10">
      <c r="A291" s="392" t="s">
        <v>33</v>
      </c>
      <c r="B291" s="392" t="s">
        <v>110</v>
      </c>
      <c r="C291" s="391">
        <v>71902.05</v>
      </c>
      <c r="D291" s="391">
        <f>C291*$S$3</f>
        <v>40984.1685</v>
      </c>
      <c r="E291" s="400">
        <f>C291*$S$2*0.75</f>
        <v>31644.092205000001</v>
      </c>
      <c r="F291" s="400">
        <f>C291*($S$2*$T$15)*0.25</f>
        <v>11051.469170903292</v>
      </c>
      <c r="G291" s="400">
        <f t="shared" si="12"/>
        <v>42695.561375903293</v>
      </c>
      <c r="H291" s="401"/>
      <c r="I291" s="401"/>
      <c r="J291" s="390"/>
    </row>
    <row r="292" spans="1:10">
      <c r="A292" s="389" t="s">
        <v>164</v>
      </c>
      <c r="B292" s="389"/>
      <c r="C292" s="387">
        <f>SUM(C288:C291)</f>
        <v>1680739.0400000003</v>
      </c>
      <c r="D292" s="387">
        <f>SUM(D288:D291)</f>
        <v>283104.884578</v>
      </c>
      <c r="E292" s="403">
        <f>SUM(E288:E291)</f>
        <v>236473.09213049995</v>
      </c>
      <c r="F292" s="403">
        <f>SUM(F288:F291)</f>
        <v>86868.151783559151</v>
      </c>
      <c r="G292" s="403">
        <f t="shared" si="12"/>
        <v>323341.24391405913</v>
      </c>
      <c r="H292" s="402">
        <f>G292</f>
        <v>323341.24391405913</v>
      </c>
      <c r="I292" s="402">
        <f>H292-D292</f>
        <v>40236.359336059133</v>
      </c>
      <c r="J292" s="390"/>
    </row>
    <row r="293" spans="1:10">
      <c r="A293" s="392" t="s">
        <v>44</v>
      </c>
      <c r="B293" s="392" t="s">
        <v>107</v>
      </c>
      <c r="C293" s="391">
        <v>2205882.79</v>
      </c>
      <c r="D293" s="391">
        <f>C293*$M$3</f>
        <v>262720.640289</v>
      </c>
      <c r="E293" s="400">
        <f>C293*$M$2*0.75</f>
        <v>224503.72095225001</v>
      </c>
      <c r="F293" s="400">
        <f>C293*($M$2*$N$15)*0.25</f>
        <v>84240.448692675243</v>
      </c>
      <c r="G293" s="400">
        <f t="shared" si="12"/>
        <v>308744.16964492528</v>
      </c>
      <c r="H293" s="401"/>
      <c r="I293" s="401"/>
      <c r="J293" s="390"/>
    </row>
    <row r="294" spans="1:10">
      <c r="A294" s="392" t="s">
        <v>44</v>
      </c>
      <c r="B294" s="392" t="s">
        <v>108</v>
      </c>
      <c r="C294" s="391">
        <v>87000.304999999993</v>
      </c>
      <c r="D294" s="391">
        <f>C294*$O$3</f>
        <v>27465.996288499995</v>
      </c>
      <c r="E294" s="400">
        <f>C294*$O$2*0.75</f>
        <v>22524.3789645</v>
      </c>
      <c r="F294" s="400">
        <f>C294*($O$2*$P$15)*0.25</f>
        <v>8106.3399351138041</v>
      </c>
      <c r="G294" s="400">
        <f t="shared" si="12"/>
        <v>30630.718899613803</v>
      </c>
      <c r="H294" s="401"/>
      <c r="I294" s="401"/>
      <c r="J294" s="390"/>
    </row>
    <row r="295" spans="1:10">
      <c r="A295" s="392" t="s">
        <v>44</v>
      </c>
      <c r="B295" s="392" t="s">
        <v>109</v>
      </c>
      <c r="C295" s="393">
        <v>214364.79999999999</v>
      </c>
      <c r="D295" s="391">
        <f>C295*$Q$3</f>
        <v>39871.852800000001</v>
      </c>
      <c r="E295" s="400">
        <f>C295*$Q$2*0.75</f>
        <v>33971.461679999993</v>
      </c>
      <c r="F295" s="400">
        <f>C295*($Q$2*$R$15)*0.25</f>
        <v>12437.252472768601</v>
      </c>
      <c r="G295" s="404">
        <f t="shared" si="12"/>
        <v>46408.714152768596</v>
      </c>
      <c r="H295" s="401"/>
      <c r="I295" s="401"/>
      <c r="J295" s="390"/>
    </row>
    <row r="296" spans="1:10">
      <c r="A296" s="392" t="s">
        <v>44</v>
      </c>
      <c r="B296" s="392" t="s">
        <v>110</v>
      </c>
      <c r="C296" s="391">
        <v>91972.797696000009</v>
      </c>
      <c r="D296" s="391">
        <f>C296*$S$3</f>
        <v>52424.494686719998</v>
      </c>
      <c r="E296" s="400">
        <f>C296*$S$2*0.75</f>
        <v>40477.228266009603</v>
      </c>
      <c r="F296" s="400">
        <f>C296*($S$2*$T$15)*0.25</f>
        <v>14136.377729133863</v>
      </c>
      <c r="G296" s="400">
        <f t="shared" si="12"/>
        <v>54613.605995143465</v>
      </c>
      <c r="H296" s="401"/>
      <c r="I296" s="401"/>
      <c r="J296" s="390"/>
    </row>
    <row r="297" spans="1:10">
      <c r="A297" s="389" t="s">
        <v>167</v>
      </c>
      <c r="B297" s="389"/>
      <c r="C297" s="387">
        <f>SUM(C293:C296)</f>
        <v>2599220.692696</v>
      </c>
      <c r="D297" s="387">
        <f>SUM(D293:D296)</f>
        <v>382482.98406421999</v>
      </c>
      <c r="E297" s="403">
        <f>SUM(E293:E296)</f>
        <v>321476.78986275959</v>
      </c>
      <c r="F297" s="403">
        <f>SUM(F293:F296)</f>
        <v>118920.41882969151</v>
      </c>
      <c r="G297" s="403">
        <f t="shared" ref="G297:G356" si="13">E297+F297</f>
        <v>440397.20869245112</v>
      </c>
      <c r="H297" s="402">
        <f>G297</f>
        <v>440397.20869245112</v>
      </c>
      <c r="I297" s="402">
        <f>H297-D297</f>
        <v>57914.224628231139</v>
      </c>
      <c r="J297" s="390"/>
    </row>
    <row r="298" spans="1:10">
      <c r="A298" s="392" t="s">
        <v>56</v>
      </c>
      <c r="B298" s="392" t="s">
        <v>107</v>
      </c>
      <c r="C298" s="391">
        <v>4694651.3499999996</v>
      </c>
      <c r="D298" s="391">
        <f>C298*$M$3</f>
        <v>559132.9757849999</v>
      </c>
      <c r="E298" s="400">
        <f>C298*$M$2*0.75</f>
        <v>477798.14114624995</v>
      </c>
      <c r="F298" s="400">
        <f>C298*($M$2*$N$15)*0.25</f>
        <v>179284.02087931131</v>
      </c>
      <c r="G298" s="400">
        <f t="shared" si="13"/>
        <v>657082.16202556132</v>
      </c>
      <c r="H298" s="401"/>
      <c r="I298" s="401"/>
      <c r="J298" s="390"/>
    </row>
    <row r="299" spans="1:10">
      <c r="A299" s="392" t="s">
        <v>56</v>
      </c>
      <c r="B299" s="392" t="s">
        <v>108</v>
      </c>
      <c r="C299" s="391">
        <v>300975.94</v>
      </c>
      <c r="D299" s="391">
        <f>C299*$O$3</f>
        <v>95018.104257999992</v>
      </c>
      <c r="E299" s="400">
        <f>C299*$O$2*0.75</f>
        <v>77922.670866</v>
      </c>
      <c r="F299" s="400">
        <f>C299*($O$2*$P$15)*0.25</f>
        <v>28043.732512551724</v>
      </c>
      <c r="G299" s="400">
        <f t="shared" si="13"/>
        <v>105966.40337855172</v>
      </c>
      <c r="H299" s="401"/>
      <c r="I299" s="401"/>
      <c r="J299" s="390"/>
    </row>
    <row r="300" spans="1:10">
      <c r="A300" s="392" t="s">
        <v>56</v>
      </c>
      <c r="B300" s="392" t="s">
        <v>109</v>
      </c>
      <c r="C300" s="391">
        <v>437251.56</v>
      </c>
      <c r="D300" s="391">
        <f>C300*$Q$3</f>
        <v>81328.790160000004</v>
      </c>
      <c r="E300" s="400">
        <f>C300*$Q$2*0.75</f>
        <v>69293.440971000004</v>
      </c>
      <c r="F300" s="400">
        <f>C300*($Q$2*$R$15)*0.25</f>
        <v>25368.941383249155</v>
      </c>
      <c r="G300" s="400">
        <f t="shared" si="13"/>
        <v>94662.382354249159</v>
      </c>
      <c r="H300" s="401"/>
      <c r="I300" s="401"/>
      <c r="J300" s="390"/>
    </row>
    <row r="301" spans="1:10">
      <c r="A301" s="392" t="s">
        <v>56</v>
      </c>
      <c r="B301" s="392" t="s">
        <v>110</v>
      </c>
      <c r="C301" s="391">
        <v>54310.079999999994</v>
      </c>
      <c r="D301" s="391">
        <f>C301*$S$3</f>
        <v>30956.745599999995</v>
      </c>
      <c r="E301" s="400">
        <f>C301*$S$2*0.75</f>
        <v>23901.866207999996</v>
      </c>
      <c r="F301" s="400">
        <f>C301*($S$2*$T$15)*0.25</f>
        <v>8347.5530223309543</v>
      </c>
      <c r="G301" s="400">
        <f t="shared" si="13"/>
        <v>32249.41923033095</v>
      </c>
      <c r="H301" s="401"/>
      <c r="I301" s="401"/>
      <c r="J301" s="390"/>
    </row>
    <row r="302" spans="1:10">
      <c r="A302" s="389" t="s">
        <v>168</v>
      </c>
      <c r="B302" s="389"/>
      <c r="C302" s="387">
        <f>SUM(C298:C301)</f>
        <v>5487188.9299999997</v>
      </c>
      <c r="D302" s="387">
        <f>SUM(D298:D301)</f>
        <v>766436.61580299994</v>
      </c>
      <c r="E302" s="403">
        <f>SUM(E298:E301)</f>
        <v>648916.11919124995</v>
      </c>
      <c r="F302" s="403">
        <f>SUM(F298:F301)</f>
        <v>241044.24779744312</v>
      </c>
      <c r="G302" s="403">
        <f t="shared" si="13"/>
        <v>889960.36698869313</v>
      </c>
      <c r="H302" s="402">
        <f>G302</f>
        <v>889960.36698869313</v>
      </c>
      <c r="I302" s="402">
        <f>H302-D302</f>
        <v>123523.7511856932</v>
      </c>
      <c r="J302" s="390"/>
    </row>
    <row r="303" spans="1:10">
      <c r="A303" s="392" t="s">
        <v>57</v>
      </c>
      <c r="B303" s="392" t="s">
        <v>107</v>
      </c>
      <c r="C303" s="391">
        <v>5320852.88</v>
      </c>
      <c r="D303" s="391">
        <f>C303*$M$3</f>
        <v>633713.57800799992</v>
      </c>
      <c r="E303" s="400">
        <f>C303*$M$2*0.75</f>
        <v>541529.80186199991</v>
      </c>
      <c r="F303" s="400">
        <f>C303*($M$2*$N$15)*0.25</f>
        <v>203198.02850400464</v>
      </c>
      <c r="G303" s="400">
        <f t="shared" si="13"/>
        <v>744727.83036600449</v>
      </c>
      <c r="H303" s="401"/>
      <c r="I303" s="401"/>
      <c r="J303" s="390"/>
    </row>
    <row r="304" spans="1:10">
      <c r="A304" s="392" t="s">
        <v>57</v>
      </c>
      <c r="B304" s="392" t="s">
        <v>108</v>
      </c>
      <c r="C304" s="391">
        <v>291656.59999999998</v>
      </c>
      <c r="D304" s="391">
        <f>C304*$O$3</f>
        <v>92075.988619999989</v>
      </c>
      <c r="E304" s="400">
        <f>C304*$O$2*0.75</f>
        <v>75509.89374</v>
      </c>
      <c r="F304" s="400">
        <f>C304*($O$2*$P$15)*0.25</f>
        <v>27175.393740510597</v>
      </c>
      <c r="G304" s="400">
        <f t="shared" si="13"/>
        <v>102685.2874805106</v>
      </c>
      <c r="H304" s="401"/>
      <c r="I304" s="401"/>
      <c r="J304" s="390"/>
    </row>
    <row r="305" spans="1:10">
      <c r="A305" s="392" t="s">
        <v>57</v>
      </c>
      <c r="B305" s="392" t="s">
        <v>109</v>
      </c>
      <c r="C305" s="391">
        <v>268518.57</v>
      </c>
      <c r="D305" s="391">
        <f>C305*$Q$3</f>
        <v>49944.454019999997</v>
      </c>
      <c r="E305" s="400">
        <f>C305*$Q$2*0.75</f>
        <v>42553.480380749999</v>
      </c>
      <c r="F305" s="400">
        <f>C305*($Q$2*$R$15)*0.25</f>
        <v>15579.205395273799</v>
      </c>
      <c r="G305" s="400">
        <f t="shared" si="13"/>
        <v>58132.685776023798</v>
      </c>
      <c r="H305" s="401"/>
      <c r="I305" s="401"/>
      <c r="J305" s="390"/>
    </row>
    <row r="306" spans="1:10">
      <c r="A306" s="392" t="s">
        <v>57</v>
      </c>
      <c r="B306" s="392" t="s">
        <v>110</v>
      </c>
      <c r="C306" s="391">
        <v>126516.60979999999</v>
      </c>
      <c r="D306" s="391">
        <f>C306*$S$3</f>
        <v>72114.467585999984</v>
      </c>
      <c r="E306" s="400">
        <f>C306*$S$2*0.75</f>
        <v>55679.959972979996</v>
      </c>
      <c r="F306" s="400">
        <f>C306*($S$2*$T$15)*0.25</f>
        <v>19445.821263954243</v>
      </c>
      <c r="G306" s="400">
        <f t="shared" si="13"/>
        <v>75125.781236934243</v>
      </c>
      <c r="H306" s="401"/>
      <c r="I306" s="401"/>
      <c r="J306" s="390"/>
    </row>
    <row r="307" spans="1:10">
      <c r="A307" s="389" t="s">
        <v>169</v>
      </c>
      <c r="B307" s="389"/>
      <c r="C307" s="387">
        <f>SUM(C303:C306)</f>
        <v>6007544.6597999996</v>
      </c>
      <c r="D307" s="387">
        <f>SUM(D303:D306)</f>
        <v>847848.48823399981</v>
      </c>
      <c r="E307" s="403">
        <f>SUM(E303:E306)</f>
        <v>715273.13595572987</v>
      </c>
      <c r="F307" s="403">
        <f>SUM(F303:F306)</f>
        <v>265398.44890374329</v>
      </c>
      <c r="G307" s="403">
        <f t="shared" si="13"/>
        <v>980671.58485947317</v>
      </c>
      <c r="H307" s="402">
        <f>G307</f>
        <v>980671.58485947317</v>
      </c>
      <c r="I307" s="402">
        <f>H307-D307</f>
        <v>132823.09662547335</v>
      </c>
      <c r="J307" s="390"/>
    </row>
    <row r="308" spans="1:10">
      <c r="A308" s="392" t="s">
        <v>237</v>
      </c>
      <c r="B308" s="392" t="s">
        <v>107</v>
      </c>
      <c r="C308" s="391">
        <v>2413460.61</v>
      </c>
      <c r="D308" s="391">
        <f>C308*$M$3</f>
        <v>287443.15865100001</v>
      </c>
      <c r="E308" s="400">
        <f>C308*$M$2*0.75</f>
        <v>245629.95358274999</v>
      </c>
      <c r="F308" s="400">
        <f>C308*($M$2*$N$15)*0.25</f>
        <v>92167.63719730443</v>
      </c>
      <c r="G308" s="400">
        <f t="shared" si="13"/>
        <v>337797.59078005445</v>
      </c>
      <c r="H308" s="401"/>
      <c r="I308" s="401"/>
      <c r="J308" s="390"/>
    </row>
    <row r="309" spans="1:10">
      <c r="A309" s="392" t="s">
        <v>237</v>
      </c>
      <c r="B309" s="392" t="s">
        <v>108</v>
      </c>
      <c r="C309" s="391">
        <v>147314.54</v>
      </c>
      <c r="D309" s="391">
        <f>C309*$O$3</f>
        <v>46507.200277999997</v>
      </c>
      <c r="E309" s="400">
        <f>C309*$O$2*0.75</f>
        <v>38139.734406000003</v>
      </c>
      <c r="F309" s="400">
        <f>C309*($O$2*$P$15)*0.25</f>
        <v>13726.178760234461</v>
      </c>
      <c r="G309" s="400">
        <f t="shared" si="13"/>
        <v>51865.913166234466</v>
      </c>
      <c r="H309" s="401"/>
      <c r="I309" s="401"/>
      <c r="J309" s="390"/>
    </row>
    <row r="310" spans="1:10">
      <c r="A310" s="392" t="s">
        <v>237</v>
      </c>
      <c r="B310" s="392" t="s">
        <v>109</v>
      </c>
      <c r="C310" s="391">
        <v>245676.6</v>
      </c>
      <c r="D310" s="391">
        <f>C310*$Q$3</f>
        <v>45695.847600000001</v>
      </c>
      <c r="E310" s="400">
        <f>C310*$Q$2*0.75</f>
        <v>38933.599184999999</v>
      </c>
      <c r="F310" s="400">
        <f>C310*($Q$2*$R$15)*0.25</f>
        <v>14253.934885071536</v>
      </c>
      <c r="G310" s="400">
        <f t="shared" si="13"/>
        <v>53187.534070071531</v>
      </c>
      <c r="H310" s="401"/>
      <c r="I310" s="401"/>
      <c r="J310" s="390"/>
    </row>
    <row r="311" spans="1:10">
      <c r="A311" s="392" t="s">
        <v>237</v>
      </c>
      <c r="B311" s="392" t="s">
        <v>110</v>
      </c>
      <c r="C311" s="391">
        <v>16116.193999999996</v>
      </c>
      <c r="D311" s="391">
        <f>C311*$S$3</f>
        <v>9186.2305799999976</v>
      </c>
      <c r="E311" s="400">
        <f>C311*$S$2*0.75</f>
        <v>7092.7369793999987</v>
      </c>
      <c r="F311" s="400">
        <f>C311*($S$2*$T$15)*0.25</f>
        <v>2477.0868305326003</v>
      </c>
      <c r="G311" s="400">
        <f t="shared" si="13"/>
        <v>9569.823809932599</v>
      </c>
      <c r="H311" s="401"/>
      <c r="I311" s="401"/>
      <c r="J311" s="390"/>
    </row>
    <row r="312" spans="1:10">
      <c r="A312" s="389" t="s">
        <v>165</v>
      </c>
      <c r="B312" s="389"/>
      <c r="C312" s="387">
        <f>SUM(C308:C311)</f>
        <v>2822567.9440000001</v>
      </c>
      <c r="D312" s="387">
        <f>SUM(D308:D311)</f>
        <v>388832.43710899993</v>
      </c>
      <c r="E312" s="403">
        <f>SUM(E308:E311)</f>
        <v>329796.02415314998</v>
      </c>
      <c r="F312" s="403">
        <f>SUM(F308:F311)</f>
        <v>122624.83767314302</v>
      </c>
      <c r="G312" s="403">
        <f t="shared" si="13"/>
        <v>452420.861826293</v>
      </c>
      <c r="H312" s="402">
        <f>G312</f>
        <v>452420.861826293</v>
      </c>
      <c r="I312" s="402">
        <f>H312-D312</f>
        <v>63588.424717293063</v>
      </c>
      <c r="J312" s="390"/>
    </row>
    <row r="313" spans="1:10">
      <c r="A313" s="392" t="s">
        <v>263</v>
      </c>
      <c r="B313" s="392" t="s">
        <v>107</v>
      </c>
      <c r="C313" s="391">
        <v>3885508.27</v>
      </c>
      <c r="D313" s="391">
        <f>C313*$M$3</f>
        <v>462764.034957</v>
      </c>
      <c r="E313" s="400">
        <f>C313*$M$2*0.75</f>
        <v>395447.60417924996</v>
      </c>
      <c r="F313" s="400">
        <f>C313*($M$2*$N$15)*0.25</f>
        <v>148383.65916255247</v>
      </c>
      <c r="G313" s="400">
        <f t="shared" si="13"/>
        <v>543831.26334180241</v>
      </c>
      <c r="H313" s="401"/>
      <c r="I313" s="401"/>
      <c r="J313" s="390"/>
    </row>
    <row r="314" spans="1:10">
      <c r="A314" s="392" t="s">
        <v>263</v>
      </c>
      <c r="B314" s="392" t="s">
        <v>108</v>
      </c>
      <c r="C314" s="391">
        <v>78616.595399999991</v>
      </c>
      <c r="D314" s="391">
        <f>C314*$O$3</f>
        <v>24819.259167779997</v>
      </c>
      <c r="E314" s="400">
        <f>C314*$O$2*0.75</f>
        <v>20353.836549059997</v>
      </c>
      <c r="F314" s="400">
        <f>C314*($O$2*$P$15)*0.25</f>
        <v>7325.1794560226444</v>
      </c>
      <c r="G314" s="400">
        <f t="shared" si="13"/>
        <v>27679.016005082642</v>
      </c>
      <c r="H314" s="401"/>
      <c r="I314" s="401"/>
      <c r="J314" s="390"/>
    </row>
    <row r="315" spans="1:10">
      <c r="A315" s="392" t="s">
        <v>263</v>
      </c>
      <c r="B315" s="392" t="s">
        <v>109</v>
      </c>
      <c r="C315" s="391">
        <v>0</v>
      </c>
      <c r="D315" s="391">
        <f>C315*$Q$3</f>
        <v>0</v>
      </c>
      <c r="E315" s="400">
        <f>C315*$Q$2*0.75</f>
        <v>0</v>
      </c>
      <c r="F315" s="400">
        <f>C315*($Q$2*$R$15)*0.25</f>
        <v>0</v>
      </c>
      <c r="G315" s="400">
        <f t="shared" si="13"/>
        <v>0</v>
      </c>
      <c r="H315" s="401"/>
      <c r="I315" s="401"/>
      <c r="J315" s="390"/>
    </row>
    <row r="316" spans="1:10">
      <c r="A316" s="392" t="s">
        <v>263</v>
      </c>
      <c r="B316" s="392" t="s">
        <v>110</v>
      </c>
      <c r="C316" s="391">
        <v>102059.46149999999</v>
      </c>
      <c r="D316" s="391">
        <f>C316*$S$3</f>
        <v>58173.893054999986</v>
      </c>
      <c r="E316" s="400">
        <f>C316*$S$2*0.75</f>
        <v>44916.369006149995</v>
      </c>
      <c r="F316" s="400">
        <f>C316*($S$2*$T$15)*0.25</f>
        <v>15686.715363000656</v>
      </c>
      <c r="G316" s="400">
        <f t="shared" si="13"/>
        <v>60603.084369150652</v>
      </c>
      <c r="H316" s="401"/>
      <c r="I316" s="401"/>
      <c r="J316" s="390"/>
    </row>
    <row r="317" spans="1:10">
      <c r="A317" s="389" t="s">
        <v>166</v>
      </c>
      <c r="B317" s="389"/>
      <c r="C317" s="387">
        <f>SUM(C313:C316)</f>
        <v>4066184.3269000002</v>
      </c>
      <c r="D317" s="387">
        <f>SUM(D313:D316)</f>
        <v>545757.18717977998</v>
      </c>
      <c r="E317" s="403">
        <f>SUM(E313:E316)</f>
        <v>460717.80973445997</v>
      </c>
      <c r="F317" s="403">
        <f>SUM(F313:F316)</f>
        <v>171395.55398157579</v>
      </c>
      <c r="G317" s="403">
        <f t="shared" si="13"/>
        <v>632113.36371603573</v>
      </c>
      <c r="H317" s="402">
        <f>G317</f>
        <v>632113.36371603573</v>
      </c>
      <c r="I317" s="402">
        <f>H317-D317</f>
        <v>86356.176536255749</v>
      </c>
      <c r="J317" s="390"/>
    </row>
    <row r="318" spans="1:10">
      <c r="A318" s="392" t="s">
        <v>34</v>
      </c>
      <c r="B318" s="392" t="s">
        <v>107</v>
      </c>
      <c r="C318" s="391">
        <v>1497600</v>
      </c>
      <c r="D318" s="391">
        <f>C318*$M$3</f>
        <v>178364.16</v>
      </c>
      <c r="E318" s="400">
        <f>C318*$M$2*0.75</f>
        <v>152418.23999999999</v>
      </c>
      <c r="F318" s="400">
        <f>C318*($M$2*$N$15)*0.25</f>
        <v>57191.840171231597</v>
      </c>
      <c r="G318" s="400">
        <f t="shared" si="13"/>
        <v>209610.08017123159</v>
      </c>
      <c r="H318" s="401"/>
      <c r="I318" s="401"/>
      <c r="J318" s="390"/>
    </row>
    <row r="319" spans="1:10">
      <c r="A319" s="392" t="s">
        <v>34</v>
      </c>
      <c r="B319" s="392" t="s">
        <v>108</v>
      </c>
      <c r="C319" s="391">
        <v>120500</v>
      </c>
      <c r="D319" s="391">
        <f>C319*$O$3</f>
        <v>38041.85</v>
      </c>
      <c r="E319" s="400">
        <f>C319*$O$2*0.75</f>
        <v>31197.449999999997</v>
      </c>
      <c r="F319" s="400">
        <f>C319*($O$2*$P$15)*0.25</f>
        <v>11227.707330235377</v>
      </c>
      <c r="G319" s="400">
        <f t="shared" si="13"/>
        <v>42425.157330235372</v>
      </c>
      <c r="H319" s="401"/>
      <c r="I319" s="401"/>
      <c r="J319" s="390"/>
    </row>
    <row r="320" spans="1:10">
      <c r="A320" s="392" t="s">
        <v>34</v>
      </c>
      <c r="B320" s="392" t="s">
        <v>109</v>
      </c>
      <c r="C320" s="391">
        <v>0</v>
      </c>
      <c r="D320" s="391">
        <f>C320*$Q$3</f>
        <v>0</v>
      </c>
      <c r="E320" s="400">
        <f>C320*$Q$2*0.75</f>
        <v>0</v>
      </c>
      <c r="F320" s="400">
        <f>C320*($Q$2*$R$15)*0.25</f>
        <v>0</v>
      </c>
      <c r="G320" s="400">
        <f t="shared" si="13"/>
        <v>0</v>
      </c>
      <c r="H320" s="401"/>
      <c r="I320" s="401"/>
      <c r="J320" s="390"/>
    </row>
    <row r="321" spans="1:10">
      <c r="A321" s="392" t="s">
        <v>34</v>
      </c>
      <c r="B321" s="392" t="s">
        <v>110</v>
      </c>
      <c r="C321" s="391">
        <v>72845.5</v>
      </c>
      <c r="D321" s="391">
        <f>C321*$S$3</f>
        <v>41521.934999999998</v>
      </c>
      <c r="E321" s="400">
        <f>C321*$S$2*0.75</f>
        <v>32059.304550000001</v>
      </c>
      <c r="F321" s="400">
        <f>C321*($S$2*$T$15)*0.25</f>
        <v>11196.47906407447</v>
      </c>
      <c r="G321" s="400">
        <f t="shared" si="13"/>
        <v>43255.783614074469</v>
      </c>
      <c r="H321" s="401"/>
      <c r="I321" s="401"/>
      <c r="J321" s="390"/>
    </row>
    <row r="322" spans="1:10">
      <c r="A322" s="389" t="s">
        <v>170</v>
      </c>
      <c r="B322" s="389"/>
      <c r="C322" s="388">
        <f>SUM(C318:C321)</f>
        <v>1690945.5</v>
      </c>
      <c r="D322" s="387">
        <f>SUM(D318:D321)</f>
        <v>257927.94500000001</v>
      </c>
      <c r="E322" s="403">
        <f>SUM(E318:E321)</f>
        <v>215674.99455</v>
      </c>
      <c r="F322" s="403">
        <f>SUM(F318:F321)</f>
        <v>79616.026565541455</v>
      </c>
      <c r="G322" s="403">
        <f t="shared" si="13"/>
        <v>295291.02111554146</v>
      </c>
      <c r="H322" s="402">
        <f>G322</f>
        <v>295291.02111554146</v>
      </c>
      <c r="I322" s="402">
        <f>H322-D322</f>
        <v>37363.076115541451</v>
      </c>
      <c r="J322" s="390"/>
    </row>
    <row r="323" spans="1:10">
      <c r="A323" s="392" t="s">
        <v>25</v>
      </c>
      <c r="B323" s="392" t="s">
        <v>107</v>
      </c>
      <c r="C323" s="391">
        <v>739176.18</v>
      </c>
      <c r="D323" s="391">
        <f>C323*$M$3</f>
        <v>88035.883038</v>
      </c>
      <c r="E323" s="400">
        <f>C323*$M$2*0.75</f>
        <v>75229.655719500006</v>
      </c>
      <c r="F323" s="400">
        <f>C323*($M$2*$N$15)*0.25</f>
        <v>28228.396063662876</v>
      </c>
      <c r="G323" s="400">
        <f t="shared" si="13"/>
        <v>103458.05178316288</v>
      </c>
      <c r="H323" s="401"/>
      <c r="I323" s="401"/>
      <c r="J323" s="390"/>
    </row>
    <row r="324" spans="1:10">
      <c r="A324" s="392" t="s">
        <v>25</v>
      </c>
      <c r="B324" s="392" t="s">
        <v>108</v>
      </c>
      <c r="C324" s="391">
        <v>192421.69</v>
      </c>
      <c r="D324" s="391">
        <f>C324*$O$3</f>
        <v>60747.527533</v>
      </c>
      <c r="E324" s="400">
        <f>C324*$O$2*0.75</f>
        <v>49817.975541000007</v>
      </c>
      <c r="F324" s="400">
        <f>C324*($O$2*$P$15)*0.25</f>
        <v>17929.082317919328</v>
      </c>
      <c r="G324" s="400">
        <f t="shared" si="13"/>
        <v>67747.057858919332</v>
      </c>
      <c r="H324" s="401"/>
      <c r="I324" s="401"/>
      <c r="J324" s="390"/>
    </row>
    <row r="325" spans="1:10">
      <c r="A325" s="392" t="s">
        <v>25</v>
      </c>
      <c r="B325" s="392" t="s">
        <v>109</v>
      </c>
      <c r="C325" s="391">
        <v>0</v>
      </c>
      <c r="D325" s="391">
        <f>C325*$Q$3</f>
        <v>0</v>
      </c>
      <c r="E325" s="400">
        <f>C325*$Q$2*0.75</f>
        <v>0</v>
      </c>
      <c r="F325" s="400">
        <f>C325*($Q$2*$R$15)*0.25</f>
        <v>0</v>
      </c>
      <c r="G325" s="400">
        <f t="shared" si="13"/>
        <v>0</v>
      </c>
      <c r="H325" s="401"/>
      <c r="I325" s="401"/>
      <c r="J325" s="390"/>
    </row>
    <row r="326" spans="1:10">
      <c r="A326" s="392" t="s">
        <v>25</v>
      </c>
      <c r="B326" s="392" t="s">
        <v>110</v>
      </c>
      <c r="C326" s="391">
        <v>41794.829999999994</v>
      </c>
      <c r="D326" s="391">
        <f>C326*$S$3</f>
        <v>23823.053099999994</v>
      </c>
      <c r="E326" s="400">
        <f>C326*$S$2*0.75</f>
        <v>18393.904682999997</v>
      </c>
      <c r="F326" s="400">
        <f>C326*($S$2*$T$15)*0.25</f>
        <v>6423.9374989745629</v>
      </c>
      <c r="G326" s="400">
        <f t="shared" si="13"/>
        <v>24817.84218197456</v>
      </c>
      <c r="H326" s="401"/>
      <c r="I326" s="401"/>
      <c r="J326" s="390"/>
    </row>
    <row r="327" spans="1:10">
      <c r="A327" s="389" t="s">
        <v>171</v>
      </c>
      <c r="B327" s="389"/>
      <c r="C327" s="388">
        <f>SUM(C323:C326)</f>
        <v>973392.70000000007</v>
      </c>
      <c r="D327" s="387">
        <f>SUM(D323:D326)</f>
        <v>172606.463671</v>
      </c>
      <c r="E327" s="403">
        <f>SUM(E323:E326)</f>
        <v>143441.5359435</v>
      </c>
      <c r="F327" s="403">
        <f>SUM(F323:F326)</f>
        <v>52581.415880556764</v>
      </c>
      <c r="G327" s="403">
        <f t="shared" si="13"/>
        <v>196022.95182405677</v>
      </c>
      <c r="H327" s="402">
        <f>G327</f>
        <v>196022.95182405677</v>
      </c>
      <c r="I327" s="402">
        <f>H327-D327</f>
        <v>23416.488153056765</v>
      </c>
      <c r="J327" s="390"/>
    </row>
    <row r="328" spans="1:10">
      <c r="A328" s="392" t="s">
        <v>14</v>
      </c>
      <c r="B328" s="392" t="s">
        <v>107</v>
      </c>
      <c r="C328" s="391">
        <v>290457.59000000003</v>
      </c>
      <c r="D328" s="391">
        <f>C328*$M$3</f>
        <v>34593.498969</v>
      </c>
      <c r="E328" s="400">
        <f>C328*$M$2*0.75</f>
        <v>29561.321222250001</v>
      </c>
      <c r="F328" s="400">
        <f>C328*($M$2*$N$15)*0.25</f>
        <v>11092.283696448398</v>
      </c>
      <c r="G328" s="400">
        <f t="shared" si="13"/>
        <v>40653.604918698402</v>
      </c>
      <c r="H328" s="401"/>
      <c r="I328" s="401"/>
      <c r="J328" s="390"/>
    </row>
    <row r="329" spans="1:10">
      <c r="A329" s="392" t="s">
        <v>14</v>
      </c>
      <c r="B329" s="392" t="s">
        <v>108</v>
      </c>
      <c r="C329" s="391">
        <v>0</v>
      </c>
      <c r="D329" s="391">
        <f>C329*$O$3</f>
        <v>0</v>
      </c>
      <c r="E329" s="400">
        <f>C329*$O$2*0.75</f>
        <v>0</v>
      </c>
      <c r="F329" s="400">
        <f>C329*($O$2*$P$15)*0.25</f>
        <v>0</v>
      </c>
      <c r="G329" s="400">
        <f t="shared" si="13"/>
        <v>0</v>
      </c>
      <c r="H329" s="401"/>
      <c r="I329" s="401"/>
      <c r="J329" s="390"/>
    </row>
    <row r="330" spans="1:10">
      <c r="A330" s="392" t="s">
        <v>14</v>
      </c>
      <c r="B330" s="392" t="s">
        <v>109</v>
      </c>
      <c r="C330" s="391">
        <v>44927.44</v>
      </c>
      <c r="D330" s="391">
        <f>C330*$Q$3</f>
        <v>8356.5038400000012</v>
      </c>
      <c r="E330" s="400">
        <f>C330*$Q$2*0.75</f>
        <v>7119.8760540000003</v>
      </c>
      <c r="F330" s="400">
        <f>C330*($Q$2*$R$15)*0.25</f>
        <v>2606.6495722952791</v>
      </c>
      <c r="G330" s="400">
        <f t="shared" si="13"/>
        <v>9726.5256262952789</v>
      </c>
      <c r="H330" s="401"/>
      <c r="I330" s="401"/>
      <c r="J330" s="390"/>
    </row>
    <row r="331" spans="1:10">
      <c r="A331" s="392" t="s">
        <v>14</v>
      </c>
      <c r="B331" s="392" t="s">
        <v>110</v>
      </c>
      <c r="C331" s="391">
        <v>38157.569999999992</v>
      </c>
      <c r="D331" s="391">
        <f>C331*$S$3</f>
        <v>21749.814899999994</v>
      </c>
      <c r="E331" s="400">
        <f>C331*$S$2*0.75</f>
        <v>16793.146556999996</v>
      </c>
      <c r="F331" s="400">
        <f>C331*($S$2*$T$15)*0.25</f>
        <v>5864.8843599255415</v>
      </c>
      <c r="G331" s="400">
        <f t="shared" si="13"/>
        <v>22658.030916925538</v>
      </c>
      <c r="H331" s="401"/>
      <c r="I331" s="401"/>
      <c r="J331" s="390"/>
    </row>
    <row r="332" spans="1:10">
      <c r="A332" s="389" t="s">
        <v>172</v>
      </c>
      <c r="B332" s="389"/>
      <c r="C332" s="388">
        <f>SUM(C328:C331)</f>
        <v>373542.60000000003</v>
      </c>
      <c r="D332" s="387">
        <f>SUM(D328:D331)</f>
        <v>64699.817708999995</v>
      </c>
      <c r="E332" s="403">
        <f>SUM(E328:E331)</f>
        <v>53474.343833249994</v>
      </c>
      <c r="F332" s="403">
        <f>SUM(F328:F331)</f>
        <v>19563.817628669218</v>
      </c>
      <c r="G332" s="403">
        <f t="shared" si="13"/>
        <v>73038.161461919211</v>
      </c>
      <c r="H332" s="402">
        <f>G332</f>
        <v>73038.161461919211</v>
      </c>
      <c r="I332" s="402">
        <f>H332-D332</f>
        <v>8338.3437529192161</v>
      </c>
      <c r="J332" s="390"/>
    </row>
    <row r="333" spans="1:10">
      <c r="A333" s="392" t="s">
        <v>4</v>
      </c>
      <c r="B333" s="392" t="s">
        <v>107</v>
      </c>
      <c r="C333" s="391">
        <v>263222.38</v>
      </c>
      <c r="D333" s="391">
        <f>C333*$M$3</f>
        <v>31349.785457999998</v>
      </c>
      <c r="E333" s="400">
        <f>C333*$M$2*0.75</f>
        <v>26789.457724499996</v>
      </c>
      <c r="F333" s="400">
        <f>C333*($M$2*$N$15)*0.25</f>
        <v>10052.198375034181</v>
      </c>
      <c r="G333" s="400">
        <f t="shared" si="13"/>
        <v>36841.656099534179</v>
      </c>
      <c r="H333" s="401"/>
      <c r="I333" s="401"/>
      <c r="J333" s="390"/>
    </row>
    <row r="334" spans="1:10">
      <c r="A334" s="392" t="s">
        <v>4</v>
      </c>
      <c r="B334" s="392" t="s">
        <v>108</v>
      </c>
      <c r="C334" s="391">
        <v>0</v>
      </c>
      <c r="D334" s="391">
        <f>C334*$O$3</f>
        <v>0</v>
      </c>
      <c r="E334" s="400">
        <f>C334*$O$2*0.75</f>
        <v>0</v>
      </c>
      <c r="F334" s="400">
        <f>C334*($O$2*$P$15)*0.25</f>
        <v>0</v>
      </c>
      <c r="G334" s="400">
        <f t="shared" si="13"/>
        <v>0</v>
      </c>
      <c r="H334" s="401"/>
      <c r="I334" s="401"/>
      <c r="J334" s="390"/>
    </row>
    <row r="335" spans="1:10">
      <c r="A335" s="392" t="s">
        <v>4</v>
      </c>
      <c r="B335" s="392" t="s">
        <v>109</v>
      </c>
      <c r="C335" s="391">
        <v>54500.419908000003</v>
      </c>
      <c r="D335" s="391">
        <f>C335*$Q$3</f>
        <v>10137.078102888001</v>
      </c>
      <c r="E335" s="400">
        <f>C335*$Q$2*0.75</f>
        <v>8636.9540449202996</v>
      </c>
      <c r="F335" s="400">
        <f>C335*($Q$2*$R$15)*0.25</f>
        <v>3162.065237705538</v>
      </c>
      <c r="G335" s="400">
        <f t="shared" si="13"/>
        <v>11799.019282625837</v>
      </c>
      <c r="H335" s="401"/>
      <c r="I335" s="401"/>
      <c r="J335" s="390"/>
    </row>
    <row r="336" spans="1:10">
      <c r="A336" s="392" t="s">
        <v>4</v>
      </c>
      <c r="B336" s="392" t="s">
        <v>110</v>
      </c>
      <c r="C336" s="391">
        <v>82787.004199999996</v>
      </c>
      <c r="D336" s="391">
        <f>C336*$S$3</f>
        <v>47188.592393999992</v>
      </c>
      <c r="E336" s="400">
        <f>C336*$S$2*0.75</f>
        <v>36434.560548419999</v>
      </c>
      <c r="F336" s="400">
        <f>C336*($S$2*$T$15)*0.25</f>
        <v>12724.505416295382</v>
      </c>
      <c r="G336" s="400">
        <f t="shared" si="13"/>
        <v>49159.065964715381</v>
      </c>
      <c r="H336" s="401"/>
      <c r="I336" s="401"/>
      <c r="J336" s="390"/>
    </row>
    <row r="337" spans="1:10">
      <c r="A337" s="389" t="s">
        <v>173</v>
      </c>
      <c r="B337" s="389"/>
      <c r="C337" s="388">
        <f>SUM(C333:C336)</f>
        <v>400509.80410800001</v>
      </c>
      <c r="D337" s="387">
        <f>SUM(D333:D336)</f>
        <v>88675.455954887992</v>
      </c>
      <c r="E337" s="403">
        <f>SUM(E333:E336)</f>
        <v>71860.972317840293</v>
      </c>
      <c r="F337" s="403">
        <f>SUM(F333:F336)</f>
        <v>25938.769029035102</v>
      </c>
      <c r="G337" s="403">
        <f t="shared" si="13"/>
        <v>97799.741346875395</v>
      </c>
      <c r="H337" s="402">
        <f>G337</f>
        <v>97799.741346875395</v>
      </c>
      <c r="I337" s="402">
        <f>H337-D337</f>
        <v>9124.2853919874033</v>
      </c>
      <c r="J337" s="390"/>
    </row>
    <row r="338" spans="1:10">
      <c r="A338" s="392" t="s">
        <v>62</v>
      </c>
      <c r="B338" s="392" t="s">
        <v>107</v>
      </c>
      <c r="C338" s="391">
        <v>6489817.8099999996</v>
      </c>
      <c r="D338" s="391">
        <f>C338*$M$3</f>
        <v>772937.30117099988</v>
      </c>
      <c r="E338" s="400">
        <f>C338*$M$2*0.75</f>
        <v>660501.20761274989</v>
      </c>
      <c r="F338" s="400">
        <f>C338*($M$2*$N$15)*0.25</f>
        <v>247839.62535385435</v>
      </c>
      <c r="G338" s="400">
        <f t="shared" si="13"/>
        <v>908340.83296660427</v>
      </c>
      <c r="H338" s="401"/>
      <c r="I338" s="401"/>
      <c r="J338" s="390"/>
    </row>
    <row r="339" spans="1:10">
      <c r="A339" s="392" t="s">
        <v>62</v>
      </c>
      <c r="B339" s="392" t="s">
        <v>108</v>
      </c>
      <c r="C339" s="391">
        <v>539814.66</v>
      </c>
      <c r="D339" s="391">
        <f>C339*$O$3</f>
        <v>170419.48816199999</v>
      </c>
      <c r="E339" s="400">
        <f>C339*$O$2*0.75</f>
        <v>139758.01547400001</v>
      </c>
      <c r="F339" s="400">
        <f>C339*($O$2*$P$15)*0.25</f>
        <v>50297.767759755334</v>
      </c>
      <c r="G339" s="400">
        <f t="shared" si="13"/>
        <v>190055.78323375536</v>
      </c>
      <c r="H339" s="401"/>
      <c r="I339" s="401"/>
      <c r="J339" s="390"/>
    </row>
    <row r="340" spans="1:10">
      <c r="A340" s="392" t="s">
        <v>62</v>
      </c>
      <c r="B340" s="392" t="s">
        <v>109</v>
      </c>
      <c r="C340" s="391">
        <v>374181.41</v>
      </c>
      <c r="D340" s="391">
        <f>C340*$Q$3</f>
        <v>69597.742259999999</v>
      </c>
      <c r="E340" s="400">
        <f>C340*$Q$2*0.75</f>
        <v>59298.398949749993</v>
      </c>
      <c r="F340" s="400">
        <f>C340*($Q$2*$R$15)*0.25</f>
        <v>21709.668130152626</v>
      </c>
      <c r="G340" s="400">
        <f t="shared" si="13"/>
        <v>81008.067079902627</v>
      </c>
      <c r="H340" s="401"/>
      <c r="I340" s="401"/>
      <c r="J340" s="390"/>
    </row>
    <row r="341" spans="1:10">
      <c r="A341" s="392" t="s">
        <v>62</v>
      </c>
      <c r="B341" s="392" t="s">
        <v>110</v>
      </c>
      <c r="C341" s="391">
        <v>169534.53</v>
      </c>
      <c r="D341" s="391">
        <f>C341*$S$3</f>
        <v>96634.682099999991</v>
      </c>
      <c r="E341" s="400">
        <f>C341*$S$2*0.75</f>
        <v>74612.146653000003</v>
      </c>
      <c r="F341" s="400">
        <f>C341*($S$2*$T$15)*0.25</f>
        <v>26057.749837432719</v>
      </c>
      <c r="G341" s="400">
        <f t="shared" si="13"/>
        <v>100669.89649043273</v>
      </c>
      <c r="H341" s="401"/>
      <c r="I341" s="401"/>
      <c r="J341" s="390"/>
    </row>
    <row r="342" spans="1:10">
      <c r="A342" s="389" t="s">
        <v>174</v>
      </c>
      <c r="B342" s="389"/>
      <c r="C342" s="388">
        <f>SUM(C338:C341)</f>
        <v>7573348.4100000001</v>
      </c>
      <c r="D342" s="387">
        <f>SUM(D338:D341)</f>
        <v>1109589.2136929999</v>
      </c>
      <c r="E342" s="403">
        <f>SUM(E338:E341)</f>
        <v>934169.76868949994</v>
      </c>
      <c r="F342" s="403">
        <f>SUM(F338:F341)</f>
        <v>345904.81108119502</v>
      </c>
      <c r="G342" s="403">
        <f t="shared" si="13"/>
        <v>1280074.579770695</v>
      </c>
      <c r="H342" s="402">
        <f>G342</f>
        <v>1280074.579770695</v>
      </c>
      <c r="I342" s="402">
        <f>H342-D342</f>
        <v>170485.36607769504</v>
      </c>
      <c r="J342" s="390"/>
    </row>
    <row r="343" spans="1:10">
      <c r="A343" s="392" t="s">
        <v>26</v>
      </c>
      <c r="B343" s="392" t="s">
        <v>107</v>
      </c>
      <c r="C343" s="391">
        <v>375490.59</v>
      </c>
      <c r="D343" s="391">
        <f>C343*$M$3</f>
        <v>44720.929269</v>
      </c>
      <c r="E343" s="400">
        <f>C343*$M$2*0.75</f>
        <v>38215.554797249999</v>
      </c>
      <c r="F343" s="400">
        <f>C343*($M$2*$N$15)*0.25</f>
        <v>14339.608579781956</v>
      </c>
      <c r="G343" s="400">
        <f t="shared" si="13"/>
        <v>52555.163377031953</v>
      </c>
      <c r="H343" s="401"/>
      <c r="I343" s="401"/>
      <c r="J343" s="390"/>
    </row>
    <row r="344" spans="1:10">
      <c r="A344" s="392" t="s">
        <v>26</v>
      </c>
      <c r="B344" s="392" t="s">
        <v>108</v>
      </c>
      <c r="C344" s="391">
        <v>53128.68</v>
      </c>
      <c r="D344" s="391">
        <f>C344*$O$3</f>
        <v>16772.724276000001</v>
      </c>
      <c r="E344" s="400">
        <f>C344*$O$2*0.75</f>
        <v>13755.015252000001</v>
      </c>
      <c r="F344" s="400">
        <f>C344*($O$2*$P$15)*0.25</f>
        <v>4950.3175923794988</v>
      </c>
      <c r="G344" s="400">
        <f t="shared" si="13"/>
        <v>18705.3328443795</v>
      </c>
      <c r="H344" s="401"/>
      <c r="I344" s="401"/>
      <c r="J344" s="390"/>
    </row>
    <row r="345" spans="1:10">
      <c r="A345" s="392" t="s">
        <v>26</v>
      </c>
      <c r="B345" s="392" t="s">
        <v>109</v>
      </c>
      <c r="C345" s="391">
        <v>0</v>
      </c>
      <c r="D345" s="391">
        <f>C345*$Q$3</f>
        <v>0</v>
      </c>
      <c r="E345" s="400">
        <f>C345*$Q$2*0.75</f>
        <v>0</v>
      </c>
      <c r="F345" s="400">
        <f>C345*($Q$2*$R$15)*0.25</f>
        <v>0</v>
      </c>
      <c r="G345" s="400">
        <f t="shared" si="13"/>
        <v>0</v>
      </c>
      <c r="H345" s="401"/>
      <c r="I345" s="401"/>
      <c r="J345" s="390"/>
    </row>
    <row r="346" spans="1:10">
      <c r="A346" s="392" t="s">
        <v>26</v>
      </c>
      <c r="B346" s="392" t="s">
        <v>110</v>
      </c>
      <c r="C346" s="391">
        <v>61674.81</v>
      </c>
      <c r="D346" s="391">
        <f>C346*$S$3</f>
        <v>35154.641699999993</v>
      </c>
      <c r="E346" s="400">
        <f>C346*$S$2*0.75</f>
        <v>27143.083880999999</v>
      </c>
      <c r="F346" s="400">
        <f>C346*($S$2*$T$15)*0.25</f>
        <v>9479.5247331100854</v>
      </c>
      <c r="G346" s="400">
        <f t="shared" si="13"/>
        <v>36622.608614110082</v>
      </c>
      <c r="H346" s="401"/>
      <c r="I346" s="401"/>
      <c r="J346" s="390"/>
    </row>
    <row r="347" spans="1:10">
      <c r="A347" s="389" t="s">
        <v>175</v>
      </c>
      <c r="B347" s="389"/>
      <c r="C347" s="388">
        <f>SUM(C343:C346)</f>
        <v>490294.08</v>
      </c>
      <c r="D347" s="387">
        <f>SUM(D343:D346)</f>
        <v>96648.295244999987</v>
      </c>
      <c r="E347" s="403">
        <f>SUM(E343:E346)</f>
        <v>79113.653930250002</v>
      </c>
      <c r="F347" s="403">
        <f>SUM(F343:F346)</f>
        <v>28769.450905271537</v>
      </c>
      <c r="G347" s="403">
        <f t="shared" si="13"/>
        <v>107883.10483552155</v>
      </c>
      <c r="H347" s="402">
        <f>G347</f>
        <v>107883.10483552155</v>
      </c>
      <c r="I347" s="402">
        <f>H347-D347</f>
        <v>11234.80959052156</v>
      </c>
      <c r="J347" s="390"/>
    </row>
    <row r="348" spans="1:10">
      <c r="A348" s="392" t="s">
        <v>35</v>
      </c>
      <c r="B348" s="392" t="s">
        <v>107</v>
      </c>
      <c r="C348" s="391">
        <v>1024438.3</v>
      </c>
      <c r="D348" s="391">
        <f>C348*$M$3</f>
        <v>122010.60153</v>
      </c>
      <c r="E348" s="400">
        <f>C348*$M$2*0.75</f>
        <v>104262.2079825</v>
      </c>
      <c r="F348" s="400">
        <f>C348*($M$2*$N$15)*0.25</f>
        <v>39122.269977890101</v>
      </c>
      <c r="G348" s="400">
        <f t="shared" si="13"/>
        <v>143384.4779603901</v>
      </c>
      <c r="H348" s="401"/>
      <c r="I348" s="401"/>
      <c r="J348" s="390"/>
    </row>
    <row r="349" spans="1:10">
      <c r="A349" s="392" t="s">
        <v>35</v>
      </c>
      <c r="B349" s="392" t="s">
        <v>108</v>
      </c>
      <c r="C349" s="391">
        <v>167789.6</v>
      </c>
      <c r="D349" s="391">
        <f>C349*$O$3</f>
        <v>52971.176719999996</v>
      </c>
      <c r="E349" s="400">
        <f>C349*$O$2*0.75</f>
        <v>43440.727440000002</v>
      </c>
      <c r="F349" s="400">
        <f>C349*($O$2*$P$15)*0.25</f>
        <v>15633.962836989724</v>
      </c>
      <c r="G349" s="400">
        <f t="shared" si="13"/>
        <v>59074.690276989728</v>
      </c>
      <c r="H349" s="401"/>
      <c r="I349" s="401"/>
      <c r="J349" s="390"/>
    </row>
    <row r="350" spans="1:10">
      <c r="A350" s="392" t="s">
        <v>35</v>
      </c>
      <c r="B350" s="392" t="s">
        <v>109</v>
      </c>
      <c r="C350" s="391">
        <v>0</v>
      </c>
      <c r="D350" s="391">
        <f>C350*$Q$3</f>
        <v>0</v>
      </c>
      <c r="E350" s="400">
        <f>C350*$Q$2*0.75</f>
        <v>0</v>
      </c>
      <c r="F350" s="400">
        <f>C350*($Q$2*$R$15)*0.25</f>
        <v>0</v>
      </c>
      <c r="G350" s="400">
        <f t="shared" si="13"/>
        <v>0</v>
      </c>
      <c r="H350" s="401"/>
      <c r="I350" s="401"/>
      <c r="J350" s="390"/>
    </row>
    <row r="351" spans="1:10">
      <c r="A351" s="392" t="s">
        <v>35</v>
      </c>
      <c r="B351" s="392" t="s">
        <v>110</v>
      </c>
      <c r="C351" s="391">
        <v>50466.8</v>
      </c>
      <c r="D351" s="391">
        <f>C351*$S$3</f>
        <v>28766.076000000001</v>
      </c>
      <c r="E351" s="400">
        <f>C351*$S$2*0.75</f>
        <v>22210.438680000003</v>
      </c>
      <c r="F351" s="400">
        <f>C351*($S$2*$T$15)*0.25</f>
        <v>7756.8342537402241</v>
      </c>
      <c r="G351" s="400">
        <f t="shared" si="13"/>
        <v>29967.272933740227</v>
      </c>
      <c r="H351" s="401"/>
      <c r="I351" s="401"/>
      <c r="J351" s="390"/>
    </row>
    <row r="352" spans="1:10">
      <c r="A352" s="389" t="s">
        <v>176</v>
      </c>
      <c r="B352" s="389"/>
      <c r="C352" s="388">
        <f>SUM(C348:C351)</f>
        <v>1242694.7000000002</v>
      </c>
      <c r="D352" s="387">
        <f>SUM(D348:D351)</f>
        <v>203747.85425</v>
      </c>
      <c r="E352" s="403">
        <f>SUM(E348:E351)</f>
        <v>169913.37410250001</v>
      </c>
      <c r="F352" s="403">
        <f>SUM(F348:F351)</f>
        <v>62513.067068620046</v>
      </c>
      <c r="G352" s="403">
        <f t="shared" si="13"/>
        <v>232426.44117112004</v>
      </c>
      <c r="H352" s="402">
        <f>G352</f>
        <v>232426.44117112004</v>
      </c>
      <c r="I352" s="402">
        <f>H352-D352</f>
        <v>28678.586921120033</v>
      </c>
      <c r="J352" s="390"/>
    </row>
    <row r="353" spans="1:10">
      <c r="A353" s="392" t="s">
        <v>15</v>
      </c>
      <c r="B353" s="392" t="s">
        <v>107</v>
      </c>
      <c r="C353" s="391">
        <v>352960</v>
      </c>
      <c r="D353" s="391">
        <f>C353*$M$3</f>
        <v>42037.536</v>
      </c>
      <c r="E353" s="400">
        <f>C353*$M$2*0.75</f>
        <v>35922.504000000001</v>
      </c>
      <c r="F353" s="400">
        <f>C353*($M$2*$N$15)*0.25</f>
        <v>13479.187971980438</v>
      </c>
      <c r="G353" s="400">
        <f t="shared" si="13"/>
        <v>49401.691971980443</v>
      </c>
      <c r="H353" s="401"/>
      <c r="I353" s="401"/>
      <c r="J353" s="390"/>
    </row>
    <row r="354" spans="1:10">
      <c r="A354" s="392" t="s">
        <v>15</v>
      </c>
      <c r="B354" s="392" t="s">
        <v>108</v>
      </c>
      <c r="C354" s="391">
        <v>88920</v>
      </c>
      <c r="D354" s="391">
        <f>C354*$O$3</f>
        <v>28072.043999999998</v>
      </c>
      <c r="E354" s="400">
        <f>C354*$O$2*0.75</f>
        <v>23021.387999999999</v>
      </c>
      <c r="F354" s="400">
        <f>C354*($O$2*$P$15)*0.25</f>
        <v>8285.2094257637309</v>
      </c>
      <c r="G354" s="400">
        <f t="shared" si="13"/>
        <v>31306.597425763728</v>
      </c>
      <c r="H354" s="401"/>
      <c r="I354" s="401"/>
      <c r="J354" s="390"/>
    </row>
    <row r="355" spans="1:10">
      <c r="A355" s="392" t="s">
        <v>15</v>
      </c>
      <c r="B355" s="392" t="s">
        <v>109</v>
      </c>
      <c r="C355" s="391">
        <v>47406.46</v>
      </c>
      <c r="D355" s="391">
        <f>C355*$Q$3</f>
        <v>8817.6015599999992</v>
      </c>
      <c r="E355" s="400">
        <f>C355*$Q$2*0.75</f>
        <v>7512.7387484999999</v>
      </c>
      <c r="F355" s="400">
        <f>C355*($Q$2*$R$15)*0.25</f>
        <v>2750.4800781667782</v>
      </c>
      <c r="G355" s="400">
        <f t="shared" si="13"/>
        <v>10263.218826666778</v>
      </c>
      <c r="H355" s="401"/>
      <c r="I355" s="401"/>
      <c r="J355" s="390"/>
    </row>
    <row r="356" spans="1:10">
      <c r="A356" s="392" t="s">
        <v>15</v>
      </c>
      <c r="B356" s="392" t="s">
        <v>110</v>
      </c>
      <c r="C356" s="391">
        <v>71541</v>
      </c>
      <c r="D356" s="391">
        <f>C356*$S$3</f>
        <v>40778.369999999995</v>
      </c>
      <c r="E356" s="400">
        <f>C356*$S$2*0.75</f>
        <v>31485.194099999997</v>
      </c>
      <c r="F356" s="400">
        <f>C356*($S$2*$T$15)*0.25</f>
        <v>10995.975162816532</v>
      </c>
      <c r="G356" s="400">
        <f t="shared" si="13"/>
        <v>42481.169262816533</v>
      </c>
      <c r="H356" s="401"/>
      <c r="I356" s="401"/>
      <c r="J356" s="390"/>
    </row>
    <row r="357" spans="1:10">
      <c r="A357" s="389" t="s">
        <v>177</v>
      </c>
      <c r="B357" s="389"/>
      <c r="C357" s="388">
        <f>SUM(C353:C356)</f>
        <v>560827.46</v>
      </c>
      <c r="D357" s="387">
        <f>SUM(D353:D356)</f>
        <v>119705.55155999999</v>
      </c>
      <c r="E357" s="403">
        <f>SUM(E353:E356)</f>
        <v>97941.824848499993</v>
      </c>
      <c r="F357" s="403">
        <f>SUM(F353:F356)</f>
        <v>35510.852638727483</v>
      </c>
      <c r="G357" s="403">
        <f>SUM(G353:G356)</f>
        <v>133452.67748722748</v>
      </c>
      <c r="H357" s="402">
        <f>G357</f>
        <v>133452.67748722748</v>
      </c>
      <c r="I357" s="402">
        <f>H357-D357</f>
        <v>13747.125927227491</v>
      </c>
    </row>
    <row r="358" spans="1:10" ht="15.75" thickBot="1"/>
    <row r="359" spans="1:10" ht="15.75" thickBot="1">
      <c r="A359" s="386" t="s">
        <v>262</v>
      </c>
      <c r="H359" s="405">
        <f>SUM(H27:H357)</f>
        <v>49490753.603187777</v>
      </c>
      <c r="I359" s="405">
        <f>SUM(I27:I357)</f>
        <v>6769821.8891393747</v>
      </c>
      <c r="J359" s="385">
        <f>I359-5404099.49</f>
        <v>1365722.3991393745</v>
      </c>
    </row>
    <row r="362" spans="1:10">
      <c r="I362"/>
    </row>
  </sheetData>
  <dataValidations count="1">
    <dataValidation type="decimal" operator="greaterThanOrEqual" allowBlank="1" showInputMessage="1" showErrorMessage="1" sqref="B144:C145 B295:C295" xr:uid="{00000000-0002-0000-0000-000000000000}">
      <formula1>0</formula1>
    </dataValidation>
  </dataValidations>
  <printOptions horizontalCentered="1"/>
  <pageMargins left="0.4" right="0.4" top="0.5" bottom="0.3" header="0.3" footer="0.3"/>
  <pageSetup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8E93-6003-4E2E-AC82-D755E6BAD6FE}">
  <sheetPr>
    <pageSetUpPr fitToPage="1"/>
  </sheetPr>
  <dimension ref="A1:O75"/>
  <sheetViews>
    <sheetView zoomScale="120" zoomScaleNormal="120" zoomScalePageLayoutView="5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C73" sqref="C73"/>
    </sheetView>
  </sheetViews>
  <sheetFormatPr defaultColWidth="2.28515625" defaultRowHeight="13.5"/>
  <cols>
    <col min="1" max="1" width="14.7109375" style="6" customWidth="1"/>
    <col min="2" max="2" width="6.28515625" style="6" customWidth="1"/>
    <col min="3" max="3" width="17.7109375" style="6" customWidth="1"/>
    <col min="4" max="4" width="17.85546875" style="3" customWidth="1"/>
    <col min="5" max="5" width="18.42578125" style="6" customWidth="1"/>
    <col min="6" max="6" width="11.28515625" style="11" customWidth="1"/>
    <col min="7" max="7" width="17.28515625" style="4" customWidth="1"/>
    <col min="8" max="8" width="9.5703125" style="3" customWidth="1"/>
    <col min="9" max="16384" width="2.28515625" style="6"/>
  </cols>
  <sheetData>
    <row r="1" spans="1:15" s="38" customFormat="1" ht="14.25" hidden="1" thickBot="1">
      <c r="A1" s="12" t="s">
        <v>69</v>
      </c>
      <c r="B1" s="12"/>
      <c r="C1" s="12"/>
      <c r="E1" s="41">
        <f>C71</f>
        <v>453209796.99999994</v>
      </c>
      <c r="F1" s="40"/>
      <c r="G1" s="39"/>
      <c r="H1" s="359"/>
    </row>
    <row r="2" spans="1:15" s="32" customFormat="1" ht="41.25" thickBot="1">
      <c r="A2" s="14" t="s">
        <v>0</v>
      </c>
      <c r="B2" s="15" t="s">
        <v>71</v>
      </c>
      <c r="C2" s="138" t="s">
        <v>75</v>
      </c>
      <c r="D2" s="260" t="s">
        <v>232</v>
      </c>
      <c r="E2" s="339" t="s">
        <v>233</v>
      </c>
      <c r="F2" s="340" t="s">
        <v>74</v>
      </c>
      <c r="G2" s="341" t="s">
        <v>73</v>
      </c>
      <c r="H2" s="357" t="s">
        <v>235</v>
      </c>
      <c r="I2" s="6"/>
      <c r="J2" s="6"/>
      <c r="K2" s="6"/>
      <c r="L2" s="6"/>
      <c r="M2" s="6"/>
      <c r="N2" s="6"/>
      <c r="O2" s="6"/>
    </row>
    <row r="3" spans="1:15" s="26" customFormat="1">
      <c r="A3" s="31" t="s">
        <v>1</v>
      </c>
      <c r="B3" s="30">
        <v>1</v>
      </c>
      <c r="C3" s="252">
        <v>459014.59064273734</v>
      </c>
      <c r="D3" s="271">
        <v>13234</v>
      </c>
      <c r="E3" s="372">
        <f t="shared" ref="E3:E34" si="0">ROUND((D3/$D$71*$E$1),0)</f>
        <v>338068</v>
      </c>
      <c r="F3" s="342">
        <f t="shared" ref="F3:F34" si="1">E3/$E$1</f>
        <v>7.4594150929177734E-4</v>
      </c>
      <c r="G3" s="377">
        <f t="shared" ref="G3:G34" si="2">E3-C3</f>
        <v>-120946.59064273734</v>
      </c>
      <c r="H3" s="363">
        <f>G3/C3</f>
        <v>-0.26349182162898421</v>
      </c>
      <c r="I3" s="6"/>
      <c r="J3" s="6"/>
      <c r="K3" s="6"/>
      <c r="L3" s="6"/>
      <c r="M3" s="6"/>
      <c r="N3" s="6"/>
      <c r="O3" s="6"/>
    </row>
    <row r="4" spans="1:15" customFormat="1" ht="15">
      <c r="A4" s="16" t="s">
        <v>2</v>
      </c>
      <c r="B4" s="17">
        <v>1</v>
      </c>
      <c r="C4" s="253">
        <v>315036.79031373578</v>
      </c>
      <c r="D4" s="272">
        <v>4538</v>
      </c>
      <c r="E4" s="373">
        <f t="shared" si="0"/>
        <v>115925</v>
      </c>
      <c r="F4" s="343">
        <f t="shared" si="1"/>
        <v>2.5578661531008346E-4</v>
      </c>
      <c r="G4" s="376">
        <f t="shared" si="2"/>
        <v>-199111.79031373578</v>
      </c>
      <c r="H4" s="362">
        <f t="shared" ref="H4:H67" si="3">G4/C4</f>
        <v>-0.63202710424851094</v>
      </c>
    </row>
    <row r="5" spans="1:15" s="27" customFormat="1">
      <c r="A5" s="16" t="s">
        <v>3</v>
      </c>
      <c r="B5" s="17">
        <v>1</v>
      </c>
      <c r="C5" s="253">
        <v>322496.72759339341</v>
      </c>
      <c r="D5" s="272">
        <v>7148.5</v>
      </c>
      <c r="E5" s="373">
        <f t="shared" si="0"/>
        <v>182612</v>
      </c>
      <c r="F5" s="343">
        <f t="shared" si="1"/>
        <v>4.0293038943286575E-4</v>
      </c>
      <c r="G5" s="376">
        <f t="shared" si="2"/>
        <v>-139884.72759339341</v>
      </c>
      <c r="H5" s="362">
        <f t="shared" si="3"/>
        <v>-0.43375549462865015</v>
      </c>
      <c r="I5" s="6"/>
      <c r="J5" s="6"/>
      <c r="K5" s="6"/>
      <c r="L5" s="6"/>
      <c r="M5" s="6"/>
      <c r="N5" s="6"/>
      <c r="O5" s="6"/>
    </row>
    <row r="6" spans="1:15" s="26" customFormat="1">
      <c r="A6" s="16" t="s">
        <v>4</v>
      </c>
      <c r="B6" s="17">
        <v>1</v>
      </c>
      <c r="C6" s="253">
        <v>498165.1097184039</v>
      </c>
      <c r="D6" s="272">
        <v>7861.5</v>
      </c>
      <c r="E6" s="373">
        <f t="shared" si="0"/>
        <v>200826</v>
      </c>
      <c r="F6" s="343">
        <f t="shared" si="1"/>
        <v>4.4311928234861179E-4</v>
      </c>
      <c r="G6" s="376">
        <f t="shared" si="2"/>
        <v>-297339.1097184039</v>
      </c>
      <c r="H6" s="362">
        <f t="shared" si="3"/>
        <v>-0.59686859620995891</v>
      </c>
      <c r="I6" s="6"/>
      <c r="J6" s="6"/>
      <c r="K6" s="6"/>
      <c r="L6" s="6"/>
      <c r="M6" s="6"/>
      <c r="N6" s="6"/>
      <c r="O6" s="6"/>
    </row>
    <row r="7" spans="1:15" s="26" customFormat="1">
      <c r="A7" s="16" t="s">
        <v>5</v>
      </c>
      <c r="B7" s="17">
        <v>2</v>
      </c>
      <c r="C7" s="253">
        <v>725439.47801392386</v>
      </c>
      <c r="D7" s="272">
        <v>19595.5</v>
      </c>
      <c r="E7" s="373">
        <f t="shared" si="0"/>
        <v>500576</v>
      </c>
      <c r="F7" s="343">
        <f t="shared" si="1"/>
        <v>1.1045127517400073E-3</v>
      </c>
      <c r="G7" s="376">
        <f t="shared" si="2"/>
        <v>-224863.47801392386</v>
      </c>
      <c r="H7" s="362">
        <f t="shared" si="3"/>
        <v>-0.3099686256799053</v>
      </c>
      <c r="I7" s="6"/>
      <c r="J7" s="6"/>
      <c r="K7" s="6"/>
      <c r="L7" s="6"/>
      <c r="M7" s="6"/>
      <c r="N7" s="6"/>
      <c r="O7" s="6"/>
    </row>
    <row r="8" spans="1:15" s="26" customFormat="1">
      <c r="A8" s="16" t="s">
        <v>6</v>
      </c>
      <c r="B8" s="17">
        <v>2</v>
      </c>
      <c r="C8" s="253">
        <v>501450.31244996039</v>
      </c>
      <c r="D8" s="272">
        <v>12763.5</v>
      </c>
      <c r="E8" s="373">
        <f t="shared" si="0"/>
        <v>326049</v>
      </c>
      <c r="F8" s="343">
        <f t="shared" si="1"/>
        <v>7.194217824907259E-4</v>
      </c>
      <c r="G8" s="376">
        <f t="shared" si="2"/>
        <v>-175401.31244996039</v>
      </c>
      <c r="H8" s="362">
        <f t="shared" si="3"/>
        <v>-0.34978802105635071</v>
      </c>
      <c r="I8" s="6"/>
      <c r="J8" s="6"/>
      <c r="K8" s="6"/>
      <c r="L8" s="6"/>
      <c r="M8" s="6"/>
      <c r="N8" s="6"/>
      <c r="O8" s="6"/>
    </row>
    <row r="9" spans="1:15" s="26" customFormat="1">
      <c r="A9" s="16" t="s">
        <v>7</v>
      </c>
      <c r="B9" s="17">
        <v>2</v>
      </c>
      <c r="C9" s="253">
        <v>674134.71966310788</v>
      </c>
      <c r="D9" s="272">
        <v>12254</v>
      </c>
      <c r="E9" s="373">
        <f t="shared" si="0"/>
        <v>313034</v>
      </c>
      <c r="F9" s="343">
        <f t="shared" si="1"/>
        <v>6.9070439798987846E-4</v>
      </c>
      <c r="G9" s="376">
        <f t="shared" si="2"/>
        <v>-361100.71966310788</v>
      </c>
      <c r="H9" s="362">
        <f t="shared" si="3"/>
        <v>-0.53565067801813315</v>
      </c>
      <c r="I9" s="6"/>
      <c r="J9" s="6"/>
      <c r="K9" s="6"/>
      <c r="L9" s="6"/>
      <c r="M9" s="6"/>
      <c r="N9" s="6"/>
      <c r="O9" s="6"/>
    </row>
    <row r="10" spans="1:15" s="26" customFormat="1">
      <c r="A10" s="16" t="s">
        <v>8</v>
      </c>
      <c r="B10" s="17">
        <v>2</v>
      </c>
      <c r="C10" s="253">
        <v>557818.32633381232</v>
      </c>
      <c r="D10" s="272">
        <v>12406.5</v>
      </c>
      <c r="E10" s="373">
        <f t="shared" si="0"/>
        <v>316930</v>
      </c>
      <c r="F10" s="343">
        <f t="shared" si="1"/>
        <v>6.9930085822924085E-4</v>
      </c>
      <c r="G10" s="376">
        <f t="shared" si="2"/>
        <v>-240888.32633381232</v>
      </c>
      <c r="H10" s="362">
        <f t="shared" si="3"/>
        <v>-0.43184010808145945</v>
      </c>
      <c r="I10" s="6"/>
      <c r="J10" s="6"/>
      <c r="K10" s="6"/>
      <c r="L10" s="6"/>
      <c r="M10" s="6"/>
      <c r="N10" s="6"/>
      <c r="O10" s="6"/>
    </row>
    <row r="11" spans="1:15" s="26" customFormat="1">
      <c r="A11" s="16" t="s">
        <v>9</v>
      </c>
      <c r="B11" s="17">
        <v>2</v>
      </c>
      <c r="C11" s="253">
        <v>579027.5951687413</v>
      </c>
      <c r="D11" s="272">
        <v>11559.5</v>
      </c>
      <c r="E11" s="373">
        <f t="shared" si="0"/>
        <v>295293</v>
      </c>
      <c r="F11" s="343">
        <f t="shared" si="1"/>
        <v>6.5155917183317205E-4</v>
      </c>
      <c r="G11" s="376">
        <f t="shared" si="2"/>
        <v>-283734.5951687413</v>
      </c>
      <c r="H11" s="362">
        <f t="shared" si="3"/>
        <v>-0.49001912436669764</v>
      </c>
      <c r="I11" s="6"/>
      <c r="J11" s="6"/>
      <c r="K11" s="6"/>
      <c r="L11" s="6"/>
      <c r="M11" s="6"/>
      <c r="N11" s="6"/>
      <c r="O11" s="6"/>
    </row>
    <row r="12" spans="1:15" s="26" customFormat="1">
      <c r="A12" s="16" t="s">
        <v>10</v>
      </c>
      <c r="B12" s="17">
        <v>2</v>
      </c>
      <c r="C12" s="253">
        <v>502570.31387351878</v>
      </c>
      <c r="D12" s="272">
        <v>11107</v>
      </c>
      <c r="E12" s="373">
        <f t="shared" si="0"/>
        <v>283733</v>
      </c>
      <c r="F12" s="343">
        <f t="shared" si="1"/>
        <v>6.2605222102027954E-4</v>
      </c>
      <c r="G12" s="376">
        <f t="shared" si="2"/>
        <v>-218837.31387351878</v>
      </c>
      <c r="H12" s="362">
        <f t="shared" si="3"/>
        <v>-0.43543621227216633</v>
      </c>
      <c r="I12" s="6"/>
      <c r="J12" s="6"/>
      <c r="K12" s="6"/>
      <c r="L12" s="6"/>
      <c r="M12" s="6"/>
      <c r="N12" s="6"/>
      <c r="O12" s="6"/>
    </row>
    <row r="13" spans="1:15" s="26" customFormat="1" ht="12.75" customHeight="1">
      <c r="A13" s="16" t="s">
        <v>11</v>
      </c>
      <c r="B13" s="17">
        <v>2</v>
      </c>
      <c r="C13" s="253">
        <v>609838.75346430275</v>
      </c>
      <c r="D13" s="272">
        <v>15370.5</v>
      </c>
      <c r="E13" s="373">
        <f t="shared" si="0"/>
        <v>392646</v>
      </c>
      <c r="F13" s="343">
        <f t="shared" si="1"/>
        <v>8.6636697308641823E-4</v>
      </c>
      <c r="G13" s="376">
        <f t="shared" si="2"/>
        <v>-217192.75346430275</v>
      </c>
      <c r="H13" s="362">
        <f t="shared" si="3"/>
        <v>-0.35614783781860176</v>
      </c>
      <c r="I13" s="6"/>
      <c r="J13" s="6"/>
      <c r="K13" s="6"/>
      <c r="L13" s="6"/>
      <c r="M13" s="6"/>
      <c r="N13" s="6"/>
      <c r="O13" s="6"/>
    </row>
    <row r="14" spans="1:15" s="26" customFormat="1">
      <c r="A14" s="16" t="s">
        <v>12</v>
      </c>
      <c r="B14" s="17">
        <v>2</v>
      </c>
      <c r="C14" s="253">
        <v>604123.51154300408</v>
      </c>
      <c r="D14" s="272">
        <v>16678.5</v>
      </c>
      <c r="E14" s="373">
        <f t="shared" si="0"/>
        <v>426060</v>
      </c>
      <c r="F14" s="343">
        <f t="shared" si="1"/>
        <v>9.4009441724402984E-4</v>
      </c>
      <c r="G14" s="376">
        <f t="shared" si="2"/>
        <v>-178063.51154300408</v>
      </c>
      <c r="H14" s="362">
        <f t="shared" si="3"/>
        <v>-0.29474686573314862</v>
      </c>
      <c r="I14" s="6"/>
      <c r="J14" s="6"/>
      <c r="K14" s="6"/>
      <c r="L14" s="6"/>
      <c r="M14" s="6"/>
      <c r="N14" s="6"/>
      <c r="O14" s="6"/>
    </row>
    <row r="15" spans="1:15" s="26" customFormat="1">
      <c r="A15" s="16" t="s">
        <v>13</v>
      </c>
      <c r="B15" s="17">
        <v>2</v>
      </c>
      <c r="C15" s="253">
        <v>513901.73621836456</v>
      </c>
      <c r="D15" s="272">
        <v>12499</v>
      </c>
      <c r="E15" s="373">
        <f t="shared" si="0"/>
        <v>319292</v>
      </c>
      <c r="F15" s="343">
        <f t="shared" si="1"/>
        <v>7.0451257257353602E-4</v>
      </c>
      <c r="G15" s="376">
        <f t="shared" si="2"/>
        <v>-194609.73621836456</v>
      </c>
      <c r="H15" s="362">
        <f t="shared" si="3"/>
        <v>-0.37869055989270284</v>
      </c>
      <c r="I15" s="6"/>
      <c r="J15" s="6"/>
      <c r="K15" s="6"/>
      <c r="L15" s="6"/>
      <c r="M15" s="6"/>
      <c r="N15" s="6"/>
      <c r="O15" s="6"/>
    </row>
    <row r="16" spans="1:15" s="26" customFormat="1">
      <c r="A16" s="16" t="s">
        <v>14</v>
      </c>
      <c r="B16" s="17">
        <v>2</v>
      </c>
      <c r="C16" s="253">
        <v>574285.78408759309</v>
      </c>
      <c r="D16" s="272">
        <v>19523</v>
      </c>
      <c r="E16" s="373">
        <f t="shared" si="0"/>
        <v>498724</v>
      </c>
      <c r="F16" s="343">
        <f t="shared" si="1"/>
        <v>1.1004263440492221E-3</v>
      </c>
      <c r="G16" s="376">
        <f t="shared" si="2"/>
        <v>-75561.784087593085</v>
      </c>
      <c r="H16" s="362">
        <f t="shared" si="3"/>
        <v>-0.13157522993128454</v>
      </c>
      <c r="I16" s="6"/>
      <c r="J16" s="6"/>
      <c r="K16" s="6"/>
      <c r="L16" s="6"/>
      <c r="M16" s="6"/>
      <c r="N16" s="6"/>
      <c r="O16" s="6"/>
    </row>
    <row r="17" spans="1:15" s="26" customFormat="1">
      <c r="A17" s="16" t="s">
        <v>15</v>
      </c>
      <c r="B17" s="17">
        <v>2</v>
      </c>
      <c r="C17" s="253">
        <v>805837.99175540451</v>
      </c>
      <c r="D17" s="272">
        <v>20364</v>
      </c>
      <c r="E17" s="373">
        <f t="shared" si="0"/>
        <v>520207</v>
      </c>
      <c r="F17" s="343">
        <f t="shared" si="1"/>
        <v>1.1478282319656035E-3</v>
      </c>
      <c r="G17" s="376">
        <f t="shared" si="2"/>
        <v>-285630.99175540451</v>
      </c>
      <c r="H17" s="362">
        <f t="shared" si="3"/>
        <v>-0.35445212893623645</v>
      </c>
      <c r="I17" s="6"/>
      <c r="J17" s="6"/>
      <c r="K17" s="6"/>
      <c r="L17" s="6"/>
      <c r="M17" s="6"/>
      <c r="N17" s="6"/>
      <c r="O17" s="6"/>
    </row>
    <row r="18" spans="1:15" s="26" customFormat="1">
      <c r="A18" s="16" t="s">
        <v>16</v>
      </c>
      <c r="B18" s="17">
        <v>3</v>
      </c>
      <c r="C18" s="253">
        <v>873912.44651130447</v>
      </c>
      <c r="D18" s="272">
        <v>30987</v>
      </c>
      <c r="E18" s="373">
        <f t="shared" si="0"/>
        <v>791577</v>
      </c>
      <c r="F18" s="343">
        <f t="shared" si="1"/>
        <v>1.746601695814621E-3</v>
      </c>
      <c r="G18" s="376">
        <f t="shared" si="2"/>
        <v>-82335.446511304472</v>
      </c>
      <c r="H18" s="362">
        <f t="shared" si="3"/>
        <v>-9.421475439558169E-2</v>
      </c>
      <c r="I18" s="6"/>
      <c r="J18" s="6"/>
      <c r="K18" s="6"/>
      <c r="L18" s="6"/>
      <c r="M18" s="6"/>
      <c r="N18" s="6"/>
      <c r="O18" s="6"/>
    </row>
    <row r="19" spans="1:15" s="26" customFormat="1">
      <c r="A19" s="16" t="s">
        <v>17</v>
      </c>
      <c r="B19" s="17">
        <v>3</v>
      </c>
      <c r="C19" s="253">
        <v>823615.487275369</v>
      </c>
      <c r="D19" s="272">
        <v>26500.5</v>
      </c>
      <c r="E19" s="373">
        <f t="shared" si="0"/>
        <v>676967</v>
      </c>
      <c r="F19" s="343">
        <f t="shared" si="1"/>
        <v>1.4937166064836857E-3</v>
      </c>
      <c r="G19" s="376">
        <f t="shared" si="2"/>
        <v>-146648.487275369</v>
      </c>
      <c r="H19" s="362">
        <f t="shared" si="3"/>
        <v>-0.17805455281141197</v>
      </c>
      <c r="I19" s="6"/>
      <c r="J19" s="6"/>
      <c r="K19" s="6"/>
      <c r="L19" s="6"/>
      <c r="M19" s="6"/>
      <c r="N19" s="6"/>
      <c r="O19" s="6"/>
    </row>
    <row r="20" spans="1:15" s="26" customFormat="1">
      <c r="A20" s="16" t="s">
        <v>18</v>
      </c>
      <c r="B20" s="17">
        <v>3</v>
      </c>
      <c r="C20" s="253">
        <v>1365042.1682261289</v>
      </c>
      <c r="D20" s="272">
        <v>35454.5</v>
      </c>
      <c r="E20" s="373">
        <f t="shared" si="0"/>
        <v>905701</v>
      </c>
      <c r="F20" s="343">
        <f t="shared" si="1"/>
        <v>1.99841443409927E-3</v>
      </c>
      <c r="G20" s="376">
        <f t="shared" si="2"/>
        <v>-459341.16822612891</v>
      </c>
      <c r="H20" s="362">
        <f t="shared" si="3"/>
        <v>-0.33650328093749832</v>
      </c>
      <c r="I20" s="6"/>
      <c r="J20" s="6"/>
      <c r="K20" s="6"/>
      <c r="L20" s="6"/>
      <c r="M20" s="6"/>
      <c r="N20" s="6"/>
      <c r="O20" s="6"/>
    </row>
    <row r="21" spans="1:15" s="26" customFormat="1">
      <c r="A21" s="16" t="s">
        <v>19</v>
      </c>
      <c r="B21" s="17">
        <v>3</v>
      </c>
      <c r="C21" s="253">
        <v>924370.12797318376</v>
      </c>
      <c r="D21" s="272">
        <v>20386</v>
      </c>
      <c r="E21" s="373">
        <f t="shared" si="0"/>
        <v>520769</v>
      </c>
      <c r="F21" s="343">
        <f t="shared" si="1"/>
        <v>1.1490682757680987E-3</v>
      </c>
      <c r="G21" s="376">
        <f t="shared" si="2"/>
        <v>-403601.12797318376</v>
      </c>
      <c r="H21" s="362">
        <f t="shared" si="3"/>
        <v>-0.43662285891706393</v>
      </c>
      <c r="I21" s="6"/>
      <c r="J21" s="6"/>
      <c r="K21" s="6"/>
      <c r="L21" s="6"/>
      <c r="M21" s="6"/>
      <c r="N21" s="6"/>
      <c r="O21" s="6"/>
    </row>
    <row r="22" spans="1:15" s="26" customFormat="1">
      <c r="A22" s="16" t="s">
        <v>20</v>
      </c>
      <c r="B22" s="17">
        <v>3</v>
      </c>
      <c r="C22" s="253">
        <v>1306754.5851154381</v>
      </c>
      <c r="D22" s="272">
        <v>28223.5</v>
      </c>
      <c r="E22" s="373">
        <f t="shared" si="0"/>
        <v>720982</v>
      </c>
      <c r="F22" s="343">
        <f t="shared" si="1"/>
        <v>1.5908349836488644E-3</v>
      </c>
      <c r="G22" s="376">
        <f t="shared" si="2"/>
        <v>-585772.58511543809</v>
      </c>
      <c r="H22" s="362">
        <f t="shared" si="3"/>
        <v>-0.44826518444065089</v>
      </c>
      <c r="I22" s="6"/>
      <c r="J22" s="6"/>
      <c r="K22" s="6"/>
      <c r="L22" s="6"/>
      <c r="M22" s="6"/>
      <c r="N22" s="6"/>
      <c r="O22" s="6"/>
    </row>
    <row r="23" spans="1:15" s="26" customFormat="1">
      <c r="A23" s="16" t="s">
        <v>21</v>
      </c>
      <c r="B23" s="17">
        <v>3</v>
      </c>
      <c r="C23" s="253">
        <v>1128977.6082525733</v>
      </c>
      <c r="D23" s="272">
        <v>32334</v>
      </c>
      <c r="E23" s="373">
        <f t="shared" si="0"/>
        <v>825986</v>
      </c>
      <c r="F23" s="343">
        <f t="shared" si="1"/>
        <v>1.8225245911883941E-3</v>
      </c>
      <c r="G23" s="376">
        <f t="shared" si="2"/>
        <v>-302991.60825257329</v>
      </c>
      <c r="H23" s="362">
        <f t="shared" si="3"/>
        <v>-0.26837698643247887</v>
      </c>
      <c r="I23" s="6"/>
      <c r="J23" s="6"/>
      <c r="K23" s="6"/>
      <c r="L23" s="6"/>
      <c r="M23" s="6"/>
      <c r="N23" s="6"/>
      <c r="O23" s="6"/>
    </row>
    <row r="24" spans="1:15" s="26" customFormat="1">
      <c r="A24" s="16" t="s">
        <v>22</v>
      </c>
      <c r="B24" s="17">
        <v>3</v>
      </c>
      <c r="C24" s="253">
        <v>1148148.0297307179</v>
      </c>
      <c r="D24" s="272">
        <v>39743.5</v>
      </c>
      <c r="E24" s="373">
        <f t="shared" si="0"/>
        <v>1015265</v>
      </c>
      <c r="F24" s="343">
        <f t="shared" si="1"/>
        <v>2.2401656070113597E-3</v>
      </c>
      <c r="G24" s="376">
        <f t="shared" si="2"/>
        <v>-132883.02973071788</v>
      </c>
      <c r="H24" s="362">
        <f t="shared" si="3"/>
        <v>-0.11573684428294821</v>
      </c>
      <c r="I24" s="6"/>
      <c r="J24" s="6"/>
      <c r="K24" s="6"/>
      <c r="L24" s="6"/>
      <c r="M24" s="6"/>
      <c r="N24" s="6"/>
      <c r="O24" s="6"/>
    </row>
    <row r="25" spans="1:15" s="26" customFormat="1">
      <c r="A25" s="16" t="s">
        <v>23</v>
      </c>
      <c r="B25" s="17">
        <v>3</v>
      </c>
      <c r="C25" s="253">
        <v>568909.17075554712</v>
      </c>
      <c r="D25" s="272">
        <v>24042</v>
      </c>
      <c r="E25" s="373">
        <f t="shared" si="0"/>
        <v>614164</v>
      </c>
      <c r="F25" s="343">
        <f t="shared" si="1"/>
        <v>1.3551428147966539E-3</v>
      </c>
      <c r="G25" s="373">
        <f t="shared" si="2"/>
        <v>45254.829244452878</v>
      </c>
      <c r="H25" s="266">
        <f t="shared" si="3"/>
        <v>7.9546668555811148E-2</v>
      </c>
      <c r="I25" s="6"/>
      <c r="J25" s="6"/>
      <c r="K25" s="6"/>
      <c r="L25" s="6"/>
      <c r="M25" s="6"/>
      <c r="N25" s="6"/>
      <c r="O25" s="6"/>
    </row>
    <row r="26" spans="1:15" s="26" customFormat="1">
      <c r="A26" s="16" t="s">
        <v>24</v>
      </c>
      <c r="B26" s="17">
        <v>3</v>
      </c>
      <c r="C26" s="253">
        <v>1298780.1345464382</v>
      </c>
      <c r="D26" s="272">
        <v>34476</v>
      </c>
      <c r="E26" s="373">
        <f t="shared" si="0"/>
        <v>880705</v>
      </c>
      <c r="F26" s="343">
        <f t="shared" si="1"/>
        <v>1.9432611691754759E-3</v>
      </c>
      <c r="G26" s="376">
        <f t="shared" si="2"/>
        <v>-418075.13454643823</v>
      </c>
      <c r="H26" s="362">
        <f t="shared" si="3"/>
        <v>-0.32189831321406759</v>
      </c>
      <c r="I26" s="6"/>
      <c r="J26" s="6"/>
      <c r="K26" s="6"/>
      <c r="L26" s="6"/>
      <c r="M26" s="6"/>
      <c r="N26" s="6"/>
      <c r="O26" s="6"/>
    </row>
    <row r="27" spans="1:15" s="26" customFormat="1">
      <c r="A27" s="16" t="s">
        <v>25</v>
      </c>
      <c r="B27" s="17">
        <v>3</v>
      </c>
      <c r="C27" s="253">
        <v>1199403.2573326579</v>
      </c>
      <c r="D27" s="272">
        <v>30781</v>
      </c>
      <c r="E27" s="373">
        <f t="shared" si="0"/>
        <v>786314</v>
      </c>
      <c r="F27" s="343">
        <f t="shared" si="1"/>
        <v>1.734988972447125E-3</v>
      </c>
      <c r="G27" s="376">
        <f t="shared" si="2"/>
        <v>-413089.25733265793</v>
      </c>
      <c r="H27" s="362">
        <f t="shared" si="3"/>
        <v>-0.34441231904882719</v>
      </c>
      <c r="I27" s="6"/>
      <c r="J27" s="6"/>
      <c r="K27" s="6"/>
      <c r="L27" s="6"/>
      <c r="M27" s="6"/>
      <c r="N27" s="6"/>
      <c r="O27" s="6"/>
    </row>
    <row r="28" spans="1:15" s="26" customFormat="1">
      <c r="A28" s="16" t="s">
        <v>26</v>
      </c>
      <c r="B28" s="17">
        <v>3</v>
      </c>
      <c r="C28" s="253">
        <v>704723.49500453321</v>
      </c>
      <c r="D28" s="272">
        <v>23389.5</v>
      </c>
      <c r="E28" s="373">
        <f t="shared" si="0"/>
        <v>597495</v>
      </c>
      <c r="F28" s="343">
        <f t="shared" si="1"/>
        <v>1.3183629390959527E-3</v>
      </c>
      <c r="G28" s="376">
        <f t="shared" si="2"/>
        <v>-107228.49500453321</v>
      </c>
      <c r="H28" s="362">
        <f t="shared" si="3"/>
        <v>-0.15215683280694856</v>
      </c>
      <c r="I28" s="6"/>
      <c r="J28" s="6"/>
      <c r="K28" s="6"/>
      <c r="L28" s="6"/>
      <c r="M28" s="6"/>
      <c r="N28" s="6"/>
      <c r="O28" s="6"/>
    </row>
    <row r="29" spans="1:15" s="26" customFormat="1">
      <c r="A29" s="16" t="s">
        <v>27</v>
      </c>
      <c r="B29" s="17">
        <v>4</v>
      </c>
      <c r="C29" s="253">
        <v>3063819.4898824035</v>
      </c>
      <c r="D29" s="272">
        <v>102654.5</v>
      </c>
      <c r="E29" s="373">
        <f t="shared" si="0"/>
        <v>2622355</v>
      </c>
      <c r="F29" s="343">
        <f t="shared" si="1"/>
        <v>5.7861833909120027E-3</v>
      </c>
      <c r="G29" s="376">
        <f t="shared" si="2"/>
        <v>-441464.48988240352</v>
      </c>
      <c r="H29" s="362">
        <f t="shared" si="3"/>
        <v>-0.14408958861324692</v>
      </c>
      <c r="I29" s="6"/>
      <c r="J29" s="6"/>
      <c r="K29" s="6"/>
      <c r="L29" s="6"/>
      <c r="M29" s="6"/>
      <c r="N29" s="6"/>
      <c r="O29" s="6"/>
    </row>
    <row r="30" spans="1:15" s="26" customFormat="1">
      <c r="A30" s="16" t="s">
        <v>28</v>
      </c>
      <c r="B30" s="17">
        <v>4</v>
      </c>
      <c r="C30" s="253">
        <v>1557901.7635374721</v>
      </c>
      <c r="D30" s="272">
        <v>65278</v>
      </c>
      <c r="E30" s="373">
        <f t="shared" si="0"/>
        <v>1667555</v>
      </c>
      <c r="F30" s="343">
        <f t="shared" si="1"/>
        <v>3.6794328168506035E-3</v>
      </c>
      <c r="G30" s="373">
        <f t="shared" si="2"/>
        <v>109653.23646252789</v>
      </c>
      <c r="H30" s="266">
        <f t="shared" si="3"/>
        <v>7.0385205941061513E-2</v>
      </c>
      <c r="I30" s="6"/>
      <c r="J30" s="6"/>
      <c r="K30" s="6"/>
      <c r="L30" s="6"/>
      <c r="M30" s="6"/>
      <c r="N30" s="6"/>
      <c r="O30" s="6"/>
    </row>
    <row r="31" spans="1:15" s="26" customFormat="1">
      <c r="A31" s="16" t="s">
        <v>29</v>
      </c>
      <c r="B31" s="17">
        <v>4</v>
      </c>
      <c r="C31" s="253">
        <v>1857621.4224692769</v>
      </c>
      <c r="D31" s="272">
        <v>71591</v>
      </c>
      <c r="E31" s="373">
        <f t="shared" si="0"/>
        <v>1828824</v>
      </c>
      <c r="F31" s="343">
        <f t="shared" si="1"/>
        <v>4.0352702260758946E-3</v>
      </c>
      <c r="G31" s="376">
        <f t="shared" si="2"/>
        <v>-28797.422469276935</v>
      </c>
      <c r="H31" s="362">
        <f t="shared" si="3"/>
        <v>-1.550230963152731E-2</v>
      </c>
      <c r="I31" s="6"/>
      <c r="J31" s="6"/>
      <c r="K31" s="6"/>
      <c r="L31" s="6"/>
      <c r="M31" s="6"/>
      <c r="N31" s="6"/>
      <c r="O31" s="6"/>
    </row>
    <row r="32" spans="1:15" s="26" customFormat="1">
      <c r="A32" s="16" t="s">
        <v>30</v>
      </c>
      <c r="B32" s="17">
        <v>4</v>
      </c>
      <c r="C32" s="253">
        <v>2009733.3847616124</v>
      </c>
      <c r="D32" s="272">
        <v>61752.5</v>
      </c>
      <c r="E32" s="373">
        <f t="shared" si="0"/>
        <v>1577495</v>
      </c>
      <c r="F32" s="343">
        <f t="shared" si="1"/>
        <v>3.48071690074255E-3</v>
      </c>
      <c r="G32" s="376">
        <f t="shared" si="2"/>
        <v>-432238.3847616124</v>
      </c>
      <c r="H32" s="362">
        <f t="shared" si="3"/>
        <v>-0.21507250068042386</v>
      </c>
      <c r="I32" s="6"/>
      <c r="J32" s="6"/>
      <c r="K32" s="6"/>
      <c r="L32" s="6"/>
      <c r="M32" s="6"/>
      <c r="N32" s="6"/>
      <c r="O32" s="6"/>
    </row>
    <row r="33" spans="1:15" s="26" customFormat="1">
      <c r="A33" s="16" t="s">
        <v>31</v>
      </c>
      <c r="B33" s="17">
        <v>4</v>
      </c>
      <c r="C33" s="253">
        <v>3029669.554779971</v>
      </c>
      <c r="D33" s="272">
        <v>87914.5</v>
      </c>
      <c r="E33" s="373">
        <f t="shared" si="0"/>
        <v>2245815</v>
      </c>
      <c r="F33" s="343">
        <f t="shared" si="1"/>
        <v>4.9553540432401557E-3</v>
      </c>
      <c r="G33" s="376">
        <f t="shared" si="2"/>
        <v>-783854.55477997102</v>
      </c>
      <c r="H33" s="362">
        <f t="shared" si="3"/>
        <v>-0.25872608897008842</v>
      </c>
      <c r="I33" s="6"/>
      <c r="J33" s="6"/>
      <c r="K33" s="6"/>
      <c r="L33" s="6"/>
      <c r="M33" s="6"/>
      <c r="N33" s="6"/>
      <c r="O33" s="6"/>
    </row>
    <row r="34" spans="1:15" s="26" customFormat="1">
      <c r="A34" s="16" t="s">
        <v>32</v>
      </c>
      <c r="B34" s="17">
        <v>4</v>
      </c>
      <c r="C34" s="253">
        <v>1593029.1728064942</v>
      </c>
      <c r="D34" s="272">
        <v>53930</v>
      </c>
      <c r="E34" s="373">
        <f t="shared" si="0"/>
        <v>1377666</v>
      </c>
      <c r="F34" s="343">
        <f t="shared" si="1"/>
        <v>3.0397974825773686E-3</v>
      </c>
      <c r="G34" s="376">
        <f t="shared" si="2"/>
        <v>-215363.17280649417</v>
      </c>
      <c r="H34" s="362">
        <f t="shared" si="3"/>
        <v>-0.13519097859776258</v>
      </c>
      <c r="I34" s="6"/>
      <c r="J34" s="6"/>
      <c r="K34" s="6"/>
      <c r="L34" s="6"/>
      <c r="M34" s="6"/>
      <c r="N34" s="6"/>
      <c r="O34" s="6"/>
    </row>
    <row r="35" spans="1:15" s="26" customFormat="1">
      <c r="A35" s="16" t="s">
        <v>33</v>
      </c>
      <c r="B35" s="17">
        <v>4</v>
      </c>
      <c r="C35" s="253">
        <v>2193535.928849957</v>
      </c>
      <c r="D35" s="272">
        <v>59943.5</v>
      </c>
      <c r="E35" s="373">
        <f t="shared" ref="E35:E66" si="4">ROUND((D35/$D$71*$E$1),0)</f>
        <v>1531283</v>
      </c>
      <c r="F35" s="343">
        <f t="shared" ref="F35:F66" si="5">E35/$E$1</f>
        <v>3.3787508790327414E-3</v>
      </c>
      <c r="G35" s="376">
        <f t="shared" ref="G35:G69" si="6">E35-C35</f>
        <v>-662252.92884995695</v>
      </c>
      <c r="H35" s="362">
        <f t="shared" si="3"/>
        <v>-0.30191113814906501</v>
      </c>
      <c r="I35" s="6"/>
      <c r="J35" s="6"/>
      <c r="K35" s="6"/>
      <c r="L35" s="6"/>
      <c r="M35" s="6"/>
      <c r="N35" s="6"/>
      <c r="O35" s="6"/>
    </row>
    <row r="36" spans="1:15" s="26" customFormat="1">
      <c r="A36" s="16" t="s">
        <v>34</v>
      </c>
      <c r="B36" s="17">
        <v>4</v>
      </c>
      <c r="C36" s="253">
        <v>1941030.192744473</v>
      </c>
      <c r="D36" s="272">
        <v>72197.5</v>
      </c>
      <c r="E36" s="373">
        <f t="shared" si="4"/>
        <v>1844317</v>
      </c>
      <c r="F36" s="343">
        <f t="shared" si="5"/>
        <v>4.0694552770226197E-3</v>
      </c>
      <c r="G36" s="376">
        <f t="shared" si="6"/>
        <v>-96713.192744472995</v>
      </c>
      <c r="H36" s="362">
        <f t="shared" si="3"/>
        <v>-4.9825702405858874E-2</v>
      </c>
      <c r="I36" s="6"/>
      <c r="J36" s="6"/>
      <c r="K36" s="6"/>
      <c r="L36" s="6"/>
      <c r="M36" s="6"/>
      <c r="N36" s="6"/>
      <c r="O36" s="6"/>
    </row>
    <row r="37" spans="1:15" s="26" customFormat="1">
      <c r="A37" s="16" t="s">
        <v>35</v>
      </c>
      <c r="B37" s="17">
        <v>4</v>
      </c>
      <c r="C37" s="253">
        <v>1687871.4594191166</v>
      </c>
      <c r="D37" s="272">
        <v>70373.5</v>
      </c>
      <c r="E37" s="373">
        <f t="shared" si="4"/>
        <v>1797722</v>
      </c>
      <c r="F37" s="343">
        <f t="shared" si="5"/>
        <v>3.9666441720808609E-3</v>
      </c>
      <c r="G37" s="373">
        <f t="shared" si="6"/>
        <v>109850.54058088339</v>
      </c>
      <c r="H37" s="266">
        <f t="shared" si="3"/>
        <v>6.5082290459895928E-2</v>
      </c>
      <c r="I37" s="6"/>
      <c r="J37" s="6"/>
      <c r="K37" s="6"/>
      <c r="L37" s="6"/>
      <c r="M37" s="6"/>
      <c r="N37" s="6"/>
      <c r="O37" s="6"/>
    </row>
    <row r="38" spans="1:15" s="26" customFormat="1">
      <c r="A38" s="16" t="s">
        <v>36</v>
      </c>
      <c r="B38" s="17">
        <v>5</v>
      </c>
      <c r="C38" s="253">
        <v>5924258.6490596049</v>
      </c>
      <c r="D38" s="272">
        <v>185378</v>
      </c>
      <c r="E38" s="373">
        <f t="shared" si="4"/>
        <v>4735563</v>
      </c>
      <c r="F38" s="343">
        <f t="shared" si="5"/>
        <v>1.0448942258854128E-2</v>
      </c>
      <c r="G38" s="376">
        <f t="shared" si="6"/>
        <v>-1188695.6490596049</v>
      </c>
      <c r="H38" s="362">
        <f t="shared" si="3"/>
        <v>-0.20064884392721341</v>
      </c>
      <c r="I38" s="6"/>
      <c r="J38" s="6"/>
      <c r="K38" s="6"/>
      <c r="L38" s="6"/>
      <c r="M38" s="6"/>
      <c r="N38" s="6"/>
      <c r="O38" s="6"/>
    </row>
    <row r="39" spans="1:15" s="26" customFormat="1">
      <c r="A39" s="16" t="s">
        <v>37</v>
      </c>
      <c r="B39" s="17">
        <v>5</v>
      </c>
      <c r="C39" s="253">
        <v>3607348.7005813592</v>
      </c>
      <c r="D39" s="272">
        <v>140392.5</v>
      </c>
      <c r="E39" s="373">
        <f t="shared" si="4"/>
        <v>3586389</v>
      </c>
      <c r="F39" s="343">
        <f t="shared" si="5"/>
        <v>7.9133086348528343E-3</v>
      </c>
      <c r="G39" s="376">
        <f t="shared" si="6"/>
        <v>-20959.700581359211</v>
      </c>
      <c r="H39" s="362">
        <f t="shared" si="3"/>
        <v>-5.8102784956667354E-3</v>
      </c>
      <c r="I39" s="6"/>
      <c r="J39" s="6"/>
      <c r="K39" s="6"/>
      <c r="L39" s="6"/>
      <c r="M39" s="6"/>
      <c r="N39" s="6"/>
      <c r="O39" s="6"/>
    </row>
    <row r="40" spans="1:15" s="26" customFormat="1">
      <c r="A40" s="16" t="s">
        <v>38</v>
      </c>
      <c r="B40" s="17">
        <v>5</v>
      </c>
      <c r="C40" s="253">
        <v>3737552.9093964566</v>
      </c>
      <c r="D40" s="272">
        <v>142202</v>
      </c>
      <c r="E40" s="373">
        <f t="shared" si="4"/>
        <v>3632613</v>
      </c>
      <c r="F40" s="343">
        <f t="shared" si="5"/>
        <v>8.015301134366255E-3</v>
      </c>
      <c r="G40" s="376">
        <f t="shared" si="6"/>
        <v>-104939.90939645655</v>
      </c>
      <c r="H40" s="362">
        <f t="shared" si="3"/>
        <v>-2.807717026095621E-2</v>
      </c>
      <c r="I40" s="6"/>
      <c r="J40" s="6"/>
      <c r="K40" s="6"/>
      <c r="L40" s="6"/>
      <c r="M40" s="6"/>
      <c r="N40" s="6"/>
      <c r="O40" s="6"/>
    </row>
    <row r="41" spans="1:15" s="26" customFormat="1">
      <c r="A41" s="16" t="s">
        <v>39</v>
      </c>
      <c r="B41" s="17">
        <v>5</v>
      </c>
      <c r="C41" s="253">
        <v>3487927.0325470357</v>
      </c>
      <c r="D41" s="272">
        <v>128656.5</v>
      </c>
      <c r="E41" s="373">
        <f t="shared" si="4"/>
        <v>3286587</v>
      </c>
      <c r="F41" s="343">
        <f t="shared" si="5"/>
        <v>7.2518004283124542E-3</v>
      </c>
      <c r="G41" s="376">
        <f t="shared" si="6"/>
        <v>-201340.03254703572</v>
      </c>
      <c r="H41" s="362">
        <f t="shared" si="3"/>
        <v>-5.7724840763084567E-2</v>
      </c>
      <c r="I41" s="6"/>
      <c r="J41" s="6"/>
      <c r="K41" s="6"/>
      <c r="L41" s="6"/>
      <c r="M41" s="6"/>
      <c r="N41" s="6"/>
      <c r="O41" s="6"/>
    </row>
    <row r="42" spans="1:15" s="26" customFormat="1">
      <c r="A42" s="16" t="s">
        <v>40</v>
      </c>
      <c r="B42" s="17">
        <v>5</v>
      </c>
      <c r="C42" s="253">
        <v>3572364.8294009161</v>
      </c>
      <c r="D42" s="272">
        <v>104015</v>
      </c>
      <c r="E42" s="373">
        <f t="shared" si="4"/>
        <v>2657109</v>
      </c>
      <c r="F42" s="343">
        <f t="shared" si="5"/>
        <v>5.8628675231396209E-3</v>
      </c>
      <c r="G42" s="376">
        <f t="shared" si="6"/>
        <v>-915255.82940091612</v>
      </c>
      <c r="H42" s="362">
        <f t="shared" si="3"/>
        <v>-0.25620446765914556</v>
      </c>
      <c r="I42" s="6"/>
      <c r="J42" s="6"/>
      <c r="K42" s="6"/>
      <c r="L42" s="6"/>
      <c r="M42" s="6"/>
      <c r="N42" s="6"/>
      <c r="O42" s="6"/>
    </row>
    <row r="43" spans="1:15" s="26" customFormat="1">
      <c r="A43" s="16" t="s">
        <v>41</v>
      </c>
      <c r="B43" s="17">
        <v>5</v>
      </c>
      <c r="C43" s="253">
        <v>3577729.3127536457</v>
      </c>
      <c r="D43" s="272">
        <v>121354.5</v>
      </c>
      <c r="E43" s="373">
        <f t="shared" si="4"/>
        <v>3100055</v>
      </c>
      <c r="F43" s="343">
        <f t="shared" si="5"/>
        <v>6.8402206230330021E-3</v>
      </c>
      <c r="G43" s="376">
        <f t="shared" si="6"/>
        <v>-477674.3127536457</v>
      </c>
      <c r="H43" s="362">
        <f t="shared" si="3"/>
        <v>-0.13351326246255268</v>
      </c>
      <c r="I43" s="6"/>
      <c r="J43" s="6"/>
      <c r="K43" s="6"/>
      <c r="L43" s="6"/>
      <c r="M43" s="6"/>
      <c r="N43" s="6"/>
      <c r="O43" s="6"/>
    </row>
    <row r="44" spans="1:15" s="26" customFormat="1">
      <c r="A44" s="16" t="s">
        <v>42</v>
      </c>
      <c r="B44" s="17">
        <v>5</v>
      </c>
      <c r="C44" s="253">
        <v>3716894.5437888196</v>
      </c>
      <c r="D44" s="272">
        <v>154122.5</v>
      </c>
      <c r="E44" s="373">
        <f t="shared" si="4"/>
        <v>3937128</v>
      </c>
      <c r="F44" s="343">
        <f t="shared" si="5"/>
        <v>8.6872084982752493E-3</v>
      </c>
      <c r="G44" s="373">
        <f t="shared" si="6"/>
        <v>220233.45621118043</v>
      </c>
      <c r="H44" s="266">
        <f t="shared" si="3"/>
        <v>5.9252005569866199E-2</v>
      </c>
      <c r="I44" s="6"/>
      <c r="J44" s="6"/>
      <c r="K44" s="6"/>
      <c r="L44" s="6"/>
      <c r="M44" s="6"/>
      <c r="N44" s="6"/>
      <c r="O44" s="6"/>
    </row>
    <row r="45" spans="1:15" s="26" customFormat="1">
      <c r="A45" s="16" t="s">
        <v>43</v>
      </c>
      <c r="B45" s="17">
        <v>5</v>
      </c>
      <c r="C45" s="253">
        <v>3655584.574165097</v>
      </c>
      <c r="D45" s="272">
        <v>160469</v>
      </c>
      <c r="E45" s="373">
        <f t="shared" si="4"/>
        <v>4099252</v>
      </c>
      <c r="F45" s="343">
        <f t="shared" si="5"/>
        <v>9.0449324510078945E-3</v>
      </c>
      <c r="G45" s="373">
        <f t="shared" si="6"/>
        <v>443667.42583490303</v>
      </c>
      <c r="H45" s="266">
        <f t="shared" si="3"/>
        <v>0.12136702539189173</v>
      </c>
      <c r="I45" s="6"/>
      <c r="J45" s="6"/>
      <c r="K45" s="6"/>
      <c r="L45" s="6"/>
      <c r="M45" s="6"/>
      <c r="N45" s="6"/>
      <c r="O45" s="6"/>
    </row>
    <row r="46" spans="1:15" s="26" customFormat="1">
      <c r="A46" s="16" t="s">
        <v>44</v>
      </c>
      <c r="B46" s="17">
        <v>5</v>
      </c>
      <c r="C46" s="253">
        <v>3243588.8158480064</v>
      </c>
      <c r="D46" s="272">
        <v>119938.5</v>
      </c>
      <c r="E46" s="373">
        <f t="shared" si="4"/>
        <v>3063882</v>
      </c>
      <c r="F46" s="343">
        <f t="shared" si="5"/>
        <v>6.7604054905282653E-3</v>
      </c>
      <c r="G46" s="376">
        <f t="shared" si="6"/>
        <v>-179706.8158480064</v>
      </c>
      <c r="H46" s="362">
        <f t="shared" si="3"/>
        <v>-5.5403698203042334E-2</v>
      </c>
      <c r="I46" s="6"/>
      <c r="J46" s="6"/>
      <c r="K46" s="6"/>
      <c r="L46" s="6"/>
      <c r="M46" s="6"/>
      <c r="N46" s="6"/>
      <c r="O46" s="6"/>
    </row>
    <row r="47" spans="1:15" s="26" customFormat="1">
      <c r="A47" s="16" t="s">
        <v>45</v>
      </c>
      <c r="B47" s="17">
        <v>6</v>
      </c>
      <c r="C47" s="253">
        <v>3941758.0786951818</v>
      </c>
      <c r="D47" s="272">
        <v>194563</v>
      </c>
      <c r="E47" s="373">
        <f t="shared" si="4"/>
        <v>4970198</v>
      </c>
      <c r="F47" s="343">
        <f t="shared" si="5"/>
        <v>1.0966660546395912E-2</v>
      </c>
      <c r="G47" s="373">
        <f t="shared" si="6"/>
        <v>1028439.9213048182</v>
      </c>
      <c r="H47" s="266">
        <f t="shared" si="3"/>
        <v>0.26090893981125723</v>
      </c>
      <c r="I47" s="6"/>
      <c r="J47" s="6"/>
      <c r="K47" s="6"/>
      <c r="L47" s="6"/>
      <c r="M47" s="6"/>
      <c r="N47" s="6"/>
      <c r="O47" s="6"/>
    </row>
    <row r="48" spans="1:15" s="26" customFormat="1">
      <c r="A48" s="16" t="s">
        <v>46</v>
      </c>
      <c r="B48" s="17">
        <v>6</v>
      </c>
      <c r="C48" s="253">
        <v>11517991.535049893</v>
      </c>
      <c r="D48" s="272">
        <v>388680</v>
      </c>
      <c r="E48" s="373">
        <f t="shared" si="4"/>
        <v>9929003</v>
      </c>
      <c r="F48" s="343">
        <f t="shared" si="5"/>
        <v>2.1908182624745868E-2</v>
      </c>
      <c r="G48" s="376">
        <f t="shared" si="6"/>
        <v>-1588988.535049893</v>
      </c>
      <c r="H48" s="362">
        <f t="shared" si="3"/>
        <v>-0.13795708481070784</v>
      </c>
      <c r="I48" s="6"/>
      <c r="J48" s="6"/>
      <c r="K48" s="6"/>
      <c r="L48" s="6"/>
      <c r="M48" s="6"/>
      <c r="N48" s="6"/>
      <c r="O48" s="6"/>
    </row>
    <row r="49" spans="1:15" s="26" customFormat="1">
      <c r="A49" s="16" t="s">
        <v>47</v>
      </c>
      <c r="B49" s="17">
        <v>6</v>
      </c>
      <c r="C49" s="253">
        <v>6549606.5919116838</v>
      </c>
      <c r="D49" s="272">
        <v>230847.5</v>
      </c>
      <c r="E49" s="373">
        <f t="shared" si="4"/>
        <v>5897102</v>
      </c>
      <c r="F49" s="343">
        <f t="shared" si="5"/>
        <v>1.3011859052993952E-2</v>
      </c>
      <c r="G49" s="376">
        <f t="shared" si="6"/>
        <v>-652504.59191168379</v>
      </c>
      <c r="H49" s="362">
        <f t="shared" si="3"/>
        <v>-9.962500537322079E-2</v>
      </c>
      <c r="I49" s="6"/>
      <c r="J49" s="6"/>
      <c r="K49" s="6"/>
      <c r="L49" s="6"/>
      <c r="M49" s="6"/>
      <c r="N49" s="6"/>
      <c r="O49" s="6"/>
    </row>
    <row r="50" spans="1:15" s="26" customFormat="1">
      <c r="A50" s="16" t="s">
        <v>48</v>
      </c>
      <c r="B50" s="17">
        <v>6</v>
      </c>
      <c r="C50" s="253">
        <v>7108406.4357385244</v>
      </c>
      <c r="D50" s="272">
        <v>246362.5</v>
      </c>
      <c r="E50" s="373">
        <f t="shared" si="4"/>
        <v>6293439</v>
      </c>
      <c r="F50" s="343">
        <f t="shared" si="5"/>
        <v>1.3886370157174694E-2</v>
      </c>
      <c r="G50" s="376">
        <f t="shared" si="6"/>
        <v>-814967.43573852442</v>
      </c>
      <c r="H50" s="362">
        <f t="shared" si="3"/>
        <v>-0.11464840159408439</v>
      </c>
      <c r="I50" s="6"/>
      <c r="J50" s="6"/>
      <c r="K50" s="6"/>
      <c r="L50" s="6"/>
      <c r="M50" s="6"/>
      <c r="N50" s="6"/>
      <c r="O50" s="6"/>
    </row>
    <row r="51" spans="1:15" s="26" customFormat="1">
      <c r="A51" s="16" t="s">
        <v>49</v>
      </c>
      <c r="B51" s="17">
        <v>6</v>
      </c>
      <c r="C51" s="253">
        <v>6312466.3796340935</v>
      </c>
      <c r="D51" s="272">
        <v>230984</v>
      </c>
      <c r="E51" s="373">
        <f t="shared" si="4"/>
        <v>5900589</v>
      </c>
      <c r="F51" s="343">
        <f t="shared" si="5"/>
        <v>1.3019553061426872E-2</v>
      </c>
      <c r="G51" s="376">
        <f t="shared" si="6"/>
        <v>-411877.37963409349</v>
      </c>
      <c r="H51" s="362">
        <f t="shared" si="3"/>
        <v>-6.524824923629427E-2</v>
      </c>
      <c r="I51" s="6"/>
      <c r="J51" s="6"/>
      <c r="K51" s="6"/>
      <c r="L51" s="6"/>
      <c r="M51" s="6"/>
      <c r="N51" s="6"/>
      <c r="O51" s="6"/>
    </row>
    <row r="52" spans="1:15" s="26" customFormat="1">
      <c r="A52" s="16" t="s">
        <v>50</v>
      </c>
      <c r="B52" s="17">
        <v>6</v>
      </c>
      <c r="C52" s="253">
        <v>6023069.4605719475</v>
      </c>
      <c r="D52" s="272">
        <v>205593</v>
      </c>
      <c r="E52" s="373">
        <f t="shared" si="4"/>
        <v>5251964</v>
      </c>
      <c r="F52" s="343">
        <f t="shared" si="5"/>
        <v>1.1588372614107459E-2</v>
      </c>
      <c r="G52" s="376">
        <f t="shared" si="6"/>
        <v>-771105.46057194751</v>
      </c>
      <c r="H52" s="362">
        <f t="shared" si="3"/>
        <v>-0.12802533087485327</v>
      </c>
      <c r="I52" s="6"/>
      <c r="J52" s="6"/>
      <c r="K52" s="6"/>
      <c r="L52" s="6"/>
      <c r="M52" s="6"/>
      <c r="N52" s="6"/>
      <c r="O52" s="6"/>
    </row>
    <row r="53" spans="1:15" s="26" customFormat="1">
      <c r="A53" s="16" t="s">
        <v>51</v>
      </c>
      <c r="B53" s="17">
        <v>6</v>
      </c>
      <c r="C53" s="253">
        <v>6050340.6865703063</v>
      </c>
      <c r="D53" s="272">
        <v>240170</v>
      </c>
      <c r="E53" s="373">
        <f t="shared" si="4"/>
        <v>6135249</v>
      </c>
      <c r="F53" s="343">
        <f t="shared" si="5"/>
        <v>1.3537326511059515E-2</v>
      </c>
      <c r="G53" s="373">
        <f t="shared" si="6"/>
        <v>84908.313429693691</v>
      </c>
      <c r="H53" s="266">
        <f t="shared" si="3"/>
        <v>1.403364171180661E-2</v>
      </c>
      <c r="I53" s="6"/>
      <c r="J53" s="6"/>
      <c r="K53" s="6"/>
      <c r="L53" s="6"/>
      <c r="M53" s="6"/>
      <c r="N53" s="6"/>
      <c r="O53" s="6"/>
    </row>
    <row r="54" spans="1:15" s="26" customFormat="1">
      <c r="A54" s="16" t="s">
        <v>52</v>
      </c>
      <c r="B54" s="17">
        <v>6</v>
      </c>
      <c r="C54" s="253">
        <v>6684669.8682746552</v>
      </c>
      <c r="D54" s="272">
        <v>239539.5</v>
      </c>
      <c r="E54" s="373">
        <f t="shared" si="4"/>
        <v>6119143</v>
      </c>
      <c r="F54" s="343">
        <f t="shared" si="5"/>
        <v>1.3501788885644943E-2</v>
      </c>
      <c r="G54" s="376">
        <f t="shared" si="6"/>
        <v>-565526.86827465519</v>
      </c>
      <c r="H54" s="362">
        <f t="shared" si="3"/>
        <v>-8.4600568078707583E-2</v>
      </c>
      <c r="I54" s="6"/>
      <c r="J54" s="6"/>
      <c r="K54" s="6"/>
      <c r="L54" s="6"/>
      <c r="M54" s="6"/>
      <c r="N54" s="6"/>
      <c r="O54" s="6"/>
    </row>
    <row r="55" spans="1:15" s="26" customFormat="1">
      <c r="A55" s="16" t="s">
        <v>53</v>
      </c>
      <c r="B55" s="17">
        <v>6</v>
      </c>
      <c r="C55" s="253">
        <v>7898790.8338446869</v>
      </c>
      <c r="D55" s="272">
        <v>291815.5</v>
      </c>
      <c r="E55" s="373">
        <f t="shared" si="4"/>
        <v>7454556</v>
      </c>
      <c r="F55" s="343">
        <f t="shared" si="5"/>
        <v>1.644835581522083E-2</v>
      </c>
      <c r="G55" s="376">
        <f t="shared" si="6"/>
        <v>-444234.83384468686</v>
      </c>
      <c r="H55" s="362">
        <f t="shared" si="3"/>
        <v>-5.6240865619739212E-2</v>
      </c>
      <c r="I55" s="6"/>
      <c r="J55" s="6"/>
      <c r="K55" s="6"/>
      <c r="L55" s="6"/>
      <c r="M55" s="6"/>
      <c r="N55" s="6"/>
      <c r="O55" s="6"/>
    </row>
    <row r="56" spans="1:15" s="26" customFormat="1">
      <c r="A56" s="16" t="s">
        <v>54</v>
      </c>
      <c r="B56" s="17">
        <v>6</v>
      </c>
      <c r="C56" s="253">
        <v>11837844.937983895</v>
      </c>
      <c r="D56" s="272">
        <v>333213</v>
      </c>
      <c r="E56" s="373">
        <f t="shared" si="4"/>
        <v>8512074</v>
      </c>
      <c r="F56" s="343">
        <f t="shared" si="5"/>
        <v>1.8781751975233671E-2</v>
      </c>
      <c r="G56" s="376">
        <f t="shared" si="6"/>
        <v>-3325770.9379838947</v>
      </c>
      <c r="H56" s="362">
        <f t="shared" si="3"/>
        <v>-0.28094395182627785</v>
      </c>
      <c r="I56" s="6"/>
      <c r="J56" s="6"/>
      <c r="K56" s="6"/>
      <c r="L56" s="6"/>
      <c r="M56" s="6"/>
      <c r="N56" s="6"/>
      <c r="O56" s="6"/>
    </row>
    <row r="57" spans="1:15" s="26" customFormat="1">
      <c r="A57" s="16" t="s">
        <v>55</v>
      </c>
      <c r="B57" s="17">
        <v>6</v>
      </c>
      <c r="C57" s="253">
        <v>6804945.6890191836</v>
      </c>
      <c r="D57" s="272">
        <v>230593.5</v>
      </c>
      <c r="E57" s="373">
        <f t="shared" si="4"/>
        <v>5890613</v>
      </c>
      <c r="F57" s="343">
        <f t="shared" si="5"/>
        <v>1.2997541180690762E-2</v>
      </c>
      <c r="G57" s="376">
        <f t="shared" si="6"/>
        <v>-914332.68901918363</v>
      </c>
      <c r="H57" s="362">
        <f t="shared" si="3"/>
        <v>-0.13436296640759363</v>
      </c>
      <c r="I57" s="6"/>
      <c r="J57" s="6"/>
      <c r="K57" s="6"/>
      <c r="L57" s="6"/>
      <c r="M57" s="6"/>
      <c r="N57" s="6"/>
      <c r="O57" s="6"/>
    </row>
    <row r="58" spans="1:15" s="26" customFormat="1">
      <c r="A58" s="16" t="s">
        <v>56</v>
      </c>
      <c r="B58" s="17">
        <v>6</v>
      </c>
      <c r="C58" s="253">
        <v>8275600.5546593918</v>
      </c>
      <c r="D58" s="272">
        <v>304616</v>
      </c>
      <c r="E58" s="373">
        <f t="shared" si="4"/>
        <v>7781551</v>
      </c>
      <c r="F58" s="343">
        <f t="shared" si="5"/>
        <v>1.7169864931229632E-2</v>
      </c>
      <c r="G58" s="376">
        <f t="shared" si="6"/>
        <v>-494049.55465939175</v>
      </c>
      <c r="H58" s="362">
        <f t="shared" si="3"/>
        <v>-5.9699541005664922E-2</v>
      </c>
      <c r="I58" s="6"/>
      <c r="J58" s="6"/>
      <c r="K58" s="6"/>
      <c r="L58" s="6"/>
      <c r="M58" s="6"/>
      <c r="N58" s="6"/>
      <c r="O58" s="6"/>
    </row>
    <row r="59" spans="1:15" s="26" customFormat="1">
      <c r="A59" s="16" t="s">
        <v>57</v>
      </c>
      <c r="B59" s="17">
        <v>6</v>
      </c>
      <c r="C59" s="253">
        <v>9024813.7813020777</v>
      </c>
      <c r="D59" s="272">
        <v>313164</v>
      </c>
      <c r="E59" s="373">
        <f t="shared" si="4"/>
        <v>7999913</v>
      </c>
      <c r="F59" s="343">
        <f t="shared" si="5"/>
        <v>1.7651677110589913E-2</v>
      </c>
      <c r="G59" s="376">
        <f t="shared" si="6"/>
        <v>-1024900.7813020777</v>
      </c>
      <c r="H59" s="362">
        <f t="shared" si="3"/>
        <v>-0.11356475669619939</v>
      </c>
      <c r="I59" s="6"/>
      <c r="J59" s="6"/>
      <c r="K59" s="6"/>
      <c r="L59" s="6"/>
      <c r="M59" s="6"/>
      <c r="N59" s="6"/>
      <c r="O59" s="6"/>
    </row>
    <row r="60" spans="1:15" s="26" customFormat="1">
      <c r="A60" s="16" t="s">
        <v>58</v>
      </c>
      <c r="B60" s="17">
        <v>7</v>
      </c>
      <c r="C60" s="253">
        <v>19939648.159827851</v>
      </c>
      <c r="D60" s="272">
        <v>1012593</v>
      </c>
      <c r="E60" s="373">
        <f t="shared" si="4"/>
        <v>25867137</v>
      </c>
      <c r="F60" s="343">
        <f t="shared" si="5"/>
        <v>5.7075414457556407E-2</v>
      </c>
      <c r="G60" s="373">
        <f t="shared" si="6"/>
        <v>5927488.8401721492</v>
      </c>
      <c r="H60" s="266">
        <f t="shared" si="3"/>
        <v>0.29727148606935722</v>
      </c>
      <c r="I60" s="6"/>
      <c r="J60" s="6"/>
      <c r="K60" s="6"/>
      <c r="L60" s="6"/>
      <c r="M60" s="6"/>
      <c r="N60" s="6"/>
      <c r="O60" s="6"/>
    </row>
    <row r="61" spans="1:15" s="26" customFormat="1">
      <c r="A61" s="16" t="s">
        <v>59</v>
      </c>
      <c r="B61" s="17">
        <v>7</v>
      </c>
      <c r="C61" s="253">
        <v>11903367.042925278</v>
      </c>
      <c r="D61" s="272">
        <v>483019.5</v>
      </c>
      <c r="E61" s="373">
        <f t="shared" si="4"/>
        <v>12338947</v>
      </c>
      <c r="F61" s="343">
        <f t="shared" si="5"/>
        <v>2.7225684620405505E-2</v>
      </c>
      <c r="G61" s="373">
        <f t="shared" si="6"/>
        <v>435579.95707472228</v>
      </c>
      <c r="H61" s="266">
        <f t="shared" si="3"/>
        <v>3.6593003937789824E-2</v>
      </c>
      <c r="I61" s="6"/>
      <c r="J61" s="6"/>
      <c r="K61" s="6"/>
      <c r="L61" s="6"/>
      <c r="M61" s="6"/>
      <c r="N61" s="6"/>
      <c r="O61" s="6"/>
    </row>
    <row r="62" spans="1:15" s="26" customFormat="1">
      <c r="A62" s="16" t="s">
        <v>60</v>
      </c>
      <c r="B62" s="17">
        <v>7</v>
      </c>
      <c r="C62" s="253">
        <v>23037307.259508505</v>
      </c>
      <c r="D62" s="272">
        <v>725922</v>
      </c>
      <c r="E62" s="373">
        <f t="shared" si="4"/>
        <v>18543999</v>
      </c>
      <c r="F62" s="343">
        <f t="shared" si="5"/>
        <v>4.0917030308592388E-2</v>
      </c>
      <c r="G62" s="376">
        <f t="shared" si="6"/>
        <v>-4493308.2595085055</v>
      </c>
      <c r="H62" s="362">
        <f t="shared" si="3"/>
        <v>-0.19504485523818849</v>
      </c>
      <c r="I62" s="6"/>
      <c r="J62" s="6"/>
      <c r="K62" s="6"/>
      <c r="L62" s="6"/>
      <c r="M62" s="6"/>
      <c r="N62" s="6"/>
      <c r="O62" s="6"/>
    </row>
    <row r="63" spans="1:15" s="26" customFormat="1">
      <c r="A63" s="16" t="s">
        <v>61</v>
      </c>
      <c r="B63" s="17">
        <v>7</v>
      </c>
      <c r="C63" s="253">
        <v>12626653.44961052</v>
      </c>
      <c r="D63" s="272">
        <v>571055</v>
      </c>
      <c r="E63" s="373">
        <f t="shared" si="4"/>
        <v>14587853</v>
      </c>
      <c r="F63" s="343">
        <f t="shared" si="5"/>
        <v>3.2187858904559385E-2</v>
      </c>
      <c r="G63" s="373">
        <f t="shared" si="6"/>
        <v>1961199.5503894798</v>
      </c>
      <c r="H63" s="266">
        <f t="shared" si="3"/>
        <v>0.15532219667040714</v>
      </c>
      <c r="I63" s="6"/>
      <c r="J63" s="6"/>
      <c r="K63" s="6"/>
      <c r="L63" s="6"/>
      <c r="M63" s="6"/>
      <c r="N63" s="6"/>
      <c r="O63" s="6"/>
    </row>
    <row r="64" spans="1:15" s="26" customFormat="1">
      <c r="A64" s="16" t="s">
        <v>62</v>
      </c>
      <c r="B64" s="17">
        <v>7</v>
      </c>
      <c r="C64" s="253">
        <v>11847283.072723754</v>
      </c>
      <c r="D64" s="272">
        <v>536057.5</v>
      </c>
      <c r="E64" s="373">
        <f t="shared" si="4"/>
        <v>13693827</v>
      </c>
      <c r="F64" s="343">
        <f t="shared" si="5"/>
        <v>3.0215205166890958E-2</v>
      </c>
      <c r="G64" s="373">
        <f t="shared" si="6"/>
        <v>1846543.9272762462</v>
      </c>
      <c r="H64" s="266">
        <f t="shared" si="3"/>
        <v>0.15586222730911045</v>
      </c>
      <c r="I64" s="6"/>
      <c r="J64" s="6"/>
      <c r="K64" s="6"/>
      <c r="L64" s="6"/>
      <c r="M64" s="6"/>
      <c r="N64" s="6"/>
      <c r="O64" s="6"/>
    </row>
    <row r="65" spans="1:15" s="26" customFormat="1">
      <c r="A65" s="16" t="s">
        <v>63</v>
      </c>
      <c r="B65" s="17">
        <v>8</v>
      </c>
      <c r="C65" s="253">
        <v>39664380.37862049</v>
      </c>
      <c r="D65" s="272">
        <v>1513921.5</v>
      </c>
      <c r="E65" s="373">
        <f t="shared" si="4"/>
        <v>38673796</v>
      </c>
      <c r="F65" s="343">
        <f t="shared" si="5"/>
        <v>8.5333097951543188E-2</v>
      </c>
      <c r="G65" s="376">
        <f t="shared" si="6"/>
        <v>-990584.37862049043</v>
      </c>
      <c r="H65" s="362">
        <f t="shared" si="3"/>
        <v>-2.4974154875602839E-2</v>
      </c>
      <c r="I65" s="6"/>
      <c r="J65" s="6"/>
      <c r="K65" s="6"/>
      <c r="L65" s="6"/>
      <c r="M65" s="6"/>
      <c r="N65" s="6"/>
      <c r="O65" s="6"/>
    </row>
    <row r="66" spans="1:15" s="26" customFormat="1">
      <c r="A66" s="16" t="s">
        <v>64</v>
      </c>
      <c r="B66" s="17">
        <v>8</v>
      </c>
      <c r="C66" s="253">
        <v>30825590.949284896</v>
      </c>
      <c r="D66" s="272">
        <v>1420920</v>
      </c>
      <c r="E66" s="373">
        <f t="shared" si="4"/>
        <v>36298031</v>
      </c>
      <c r="F66" s="343">
        <f t="shared" si="5"/>
        <v>8.0091011360021433E-2</v>
      </c>
      <c r="G66" s="373">
        <f t="shared" si="6"/>
        <v>5472440.0507151037</v>
      </c>
      <c r="H66" s="266">
        <f t="shared" si="3"/>
        <v>0.17752912051932795</v>
      </c>
      <c r="I66" s="6"/>
      <c r="J66" s="6"/>
      <c r="K66" s="6"/>
      <c r="L66" s="6"/>
      <c r="M66" s="6"/>
      <c r="N66" s="6"/>
      <c r="O66" s="6"/>
    </row>
    <row r="67" spans="1:15" s="26" customFormat="1">
      <c r="A67" s="16" t="s">
        <v>65</v>
      </c>
      <c r="B67" s="17">
        <v>8</v>
      </c>
      <c r="C67" s="253">
        <v>71990695.401439622</v>
      </c>
      <c r="D67" s="272">
        <v>3160436</v>
      </c>
      <c r="E67" s="373">
        <f>ROUND((D67/$D$71*$E$1),0)-1</f>
        <v>80734738</v>
      </c>
      <c r="F67" s="343">
        <f t="shared" ref="F67:F69" si="7">E67/$E$1</f>
        <v>0.17813987811918375</v>
      </c>
      <c r="G67" s="373">
        <f>E67-C67</f>
        <v>8744042.598560378</v>
      </c>
      <c r="H67" s="266">
        <f t="shared" si="3"/>
        <v>0.12146073252663038</v>
      </c>
      <c r="I67" s="6"/>
      <c r="J67" s="6"/>
      <c r="K67" s="6"/>
      <c r="L67" s="6"/>
      <c r="M67" s="6"/>
      <c r="N67" s="6"/>
      <c r="O67" s="6"/>
    </row>
    <row r="68" spans="1:15">
      <c r="A68" s="16" t="s">
        <v>66</v>
      </c>
      <c r="B68" s="17">
        <v>8</v>
      </c>
      <c r="C68" s="253">
        <v>29521040.987910237</v>
      </c>
      <c r="D68" s="272">
        <v>1357461</v>
      </c>
      <c r="E68" s="373">
        <f>ROUND((D68/$D$71*$E$1),0)</f>
        <v>34676943</v>
      </c>
      <c r="F68" s="343">
        <f t="shared" si="7"/>
        <v>7.6514107218207381E-2</v>
      </c>
      <c r="G68" s="373">
        <f t="shared" si="6"/>
        <v>5155902.0120897628</v>
      </c>
      <c r="H68" s="266">
        <f t="shared" ref="H68:H69" si="8">G68/C68</f>
        <v>0.1746517683506236</v>
      </c>
    </row>
    <row r="69" spans="1:15" ht="14.25" thickBot="1">
      <c r="A69" s="18" t="s">
        <v>67</v>
      </c>
      <c r="B69" s="19">
        <v>8</v>
      </c>
      <c r="C69" s="254">
        <v>30780285.476537708</v>
      </c>
      <c r="D69" s="273">
        <v>1084405.5</v>
      </c>
      <c r="E69" s="371">
        <f>ROUND((D69/$D$71*$E$1),0)</f>
        <v>27701619</v>
      </c>
      <c r="F69" s="344">
        <f t="shared" si="7"/>
        <v>6.1123168968035359E-2</v>
      </c>
      <c r="G69" s="375">
        <f t="shared" si="6"/>
        <v>-3078666.4765377082</v>
      </c>
      <c r="H69" s="361">
        <f t="shared" si="8"/>
        <v>-0.10002072524260451</v>
      </c>
    </row>
    <row r="70" spans="1:15" ht="14.25" thickBot="1">
      <c r="A70" s="20"/>
      <c r="B70" s="21"/>
      <c r="C70" s="338"/>
      <c r="D70" s="141"/>
      <c r="E70" s="345"/>
      <c r="F70" s="346"/>
      <c r="G70" s="347"/>
    </row>
    <row r="71" spans="1:15" s="26" customFormat="1" ht="14.25" thickBot="1">
      <c r="A71" s="423" t="s">
        <v>72</v>
      </c>
      <c r="B71" s="423"/>
      <c r="C71" s="371">
        <f>SUM(C3:C69)</f>
        <v>453209796.99999994</v>
      </c>
      <c r="D71" s="261">
        <f>SUM(D3:D70)</f>
        <v>17741316.5</v>
      </c>
      <c r="E71" s="371">
        <f>SUM(E3:E69)</f>
        <v>453209794</v>
      </c>
      <c r="F71" s="348">
        <f>SUM(F3:F69)</f>
        <v>0.99999999338054923</v>
      </c>
      <c r="G71" s="374">
        <f>SUM(G3:G69)</f>
        <v>-2.9999999962747097</v>
      </c>
      <c r="H71" s="3"/>
      <c r="I71" s="6"/>
      <c r="J71" s="6"/>
      <c r="K71" s="6"/>
      <c r="L71" s="6"/>
      <c r="M71" s="6"/>
      <c r="N71" s="6"/>
      <c r="O71" s="6"/>
    </row>
    <row r="72" spans="1:15">
      <c r="C72" s="5"/>
      <c r="D72" s="411" t="s">
        <v>179</v>
      </c>
    </row>
    <row r="73" spans="1:15">
      <c r="C73" s="5"/>
      <c r="G73" s="355">
        <f>COUNTIF(G3:G69,"&gt;0")</f>
        <v>14</v>
      </c>
    </row>
    <row r="74" spans="1:15" s="4" customFormat="1">
      <c r="A74" s="6"/>
      <c r="B74" s="6"/>
      <c r="C74" s="6"/>
      <c r="D74" s="3"/>
      <c r="E74" s="6"/>
      <c r="F74" s="11"/>
      <c r="G74" s="37">
        <f>COUNTIF(G3:G69,"&lt;0")</f>
        <v>53</v>
      </c>
      <c r="H74" s="3"/>
      <c r="I74" s="6"/>
      <c r="J74" s="6"/>
      <c r="K74" s="6"/>
      <c r="L74" s="6"/>
      <c r="M74" s="6"/>
      <c r="N74" s="6"/>
      <c r="O74" s="6"/>
    </row>
    <row r="75" spans="1:15" s="4" customFormat="1">
      <c r="A75" s="6"/>
      <c r="B75" s="6"/>
      <c r="C75" s="23"/>
      <c r="D75" s="25"/>
      <c r="E75" s="23"/>
      <c r="F75" s="24"/>
      <c r="G75" s="13"/>
      <c r="H75" s="3"/>
      <c r="I75" s="6"/>
      <c r="J75" s="6"/>
      <c r="K75" s="6"/>
      <c r="L75" s="6"/>
      <c r="M75" s="6"/>
      <c r="N75" s="6"/>
      <c r="O75" s="6"/>
    </row>
  </sheetData>
  <autoFilter ref="A2:G69" xr:uid="{4EC7684B-053D-43A3-8CD8-BE9A689EFD27}"/>
  <mergeCells count="1">
    <mergeCell ref="A71:B71"/>
  </mergeCells>
  <printOptions horizontalCentered="1"/>
  <pageMargins left="0.45" right="0.45" top="0.75" bottom="0.6" header="0.3" footer="0.3"/>
  <pageSetup scale="96" fitToHeight="0" pageOrder="overThenDown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6963-CE6A-4DC8-B1A8-EA8CB8B5A701}">
  <sheetPr>
    <pageSetUpPr fitToPage="1"/>
  </sheetPr>
  <dimension ref="A1:L94"/>
  <sheetViews>
    <sheetView zoomScale="120" zoomScaleNormal="120" workbookViewId="0">
      <pane ySplit="2" topLeftCell="A63" activePane="bottomLeft" state="frozen"/>
      <selection activeCell="G60" sqref="G60"/>
      <selection pane="bottomLeft" activeCell="G88" sqref="G88"/>
    </sheetView>
  </sheetViews>
  <sheetFormatPr defaultColWidth="9.140625" defaultRowHeight="13.5" outlineLevelRow="2"/>
  <cols>
    <col min="1" max="1" width="12.28515625" style="275" customWidth="1"/>
    <col min="2" max="2" width="9.42578125" style="276" customWidth="1"/>
    <col min="3" max="3" width="16.85546875" style="276" bestFit="1" customWidth="1"/>
    <col min="4" max="4" width="15.140625" style="275" customWidth="1"/>
    <col min="5" max="5" width="9.7109375" style="275" customWidth="1"/>
    <col min="6" max="6" width="12.140625" style="106" customWidth="1"/>
    <col min="7" max="7" width="13.140625" style="275" customWidth="1"/>
    <col min="8" max="8" width="11.5703125" style="275" customWidth="1"/>
    <col min="9" max="9" width="16.42578125" style="275" bestFit="1" customWidth="1"/>
    <col min="10" max="10" width="9.140625" style="275"/>
    <col min="11" max="11" width="17.28515625" style="275" customWidth="1"/>
    <col min="12" max="12" width="8.7109375" style="358" customWidth="1"/>
    <col min="13" max="16384" width="9.140625" style="275"/>
  </cols>
  <sheetData>
    <row r="1" spans="1:12" s="305" customFormat="1" hidden="1" thickBot="1">
      <c r="A1" s="305" t="s">
        <v>69</v>
      </c>
      <c r="B1" s="309"/>
      <c r="C1" s="309"/>
      <c r="F1" s="308">
        <f>(I82+7745329.1)/C79</f>
        <v>1.0170899419016755</v>
      </c>
      <c r="G1" s="307"/>
      <c r="K1" s="306"/>
    </row>
    <row r="2" spans="1:12" ht="54.75" thickBot="1">
      <c r="A2" s="14" t="s">
        <v>0</v>
      </c>
      <c r="B2" s="15" t="s">
        <v>71</v>
      </c>
      <c r="C2" s="138" t="s">
        <v>75</v>
      </c>
      <c r="D2" s="260" t="s">
        <v>232</v>
      </c>
      <c r="E2" s="260" t="s">
        <v>231</v>
      </c>
      <c r="F2" s="260" t="s">
        <v>230</v>
      </c>
      <c r="G2" s="260" t="s">
        <v>229</v>
      </c>
      <c r="H2" s="260" t="s">
        <v>228</v>
      </c>
      <c r="I2" s="339" t="s">
        <v>234</v>
      </c>
      <c r="J2" s="351" t="s">
        <v>74</v>
      </c>
      <c r="K2" s="142" t="s">
        <v>73</v>
      </c>
      <c r="L2" s="269" t="s">
        <v>235</v>
      </c>
    </row>
    <row r="3" spans="1:12" outlineLevel="2">
      <c r="A3" s="304" t="s">
        <v>1</v>
      </c>
      <c r="B3" s="303">
        <v>1</v>
      </c>
      <c r="C3" s="337">
        <v>459014.59064273734</v>
      </c>
      <c r="D3" s="310">
        <v>13234</v>
      </c>
      <c r="E3" s="311">
        <f>ROUND((C3/D3),2)</f>
        <v>34.68</v>
      </c>
      <c r="F3" s="312">
        <f>E3/$E$7-1</f>
        <v>-0.28709454027442027</v>
      </c>
      <c r="G3" s="313">
        <f>(ROUND((C3*$F$1),0))</f>
        <v>466859</v>
      </c>
      <c r="H3" s="313">
        <f>ROUNDUP((-F3*G3),0)</f>
        <v>134033</v>
      </c>
      <c r="I3" s="333">
        <f>G3+H3</f>
        <v>600892</v>
      </c>
      <c r="J3" s="352">
        <f>I3/$I$82</f>
        <v>1.3258583640017826E-3</v>
      </c>
      <c r="K3" s="364">
        <f>I3-C3</f>
        <v>141877.40935726266</v>
      </c>
      <c r="L3" s="360">
        <f>K3/C3</f>
        <v>0.30909128435023853</v>
      </c>
    </row>
    <row r="4" spans="1:12" outlineLevel="2">
      <c r="A4" s="299" t="s">
        <v>2</v>
      </c>
      <c r="B4" s="298">
        <v>1</v>
      </c>
      <c r="C4" s="297">
        <v>315036.79031373578</v>
      </c>
      <c r="D4" s="314">
        <v>4538</v>
      </c>
      <c r="E4" s="315">
        <f>ROUND((C4/D4),2)</f>
        <v>69.42</v>
      </c>
      <c r="F4" s="316">
        <f>E4/$E$7-1</f>
        <v>0.42704431990051184</v>
      </c>
      <c r="G4" s="317">
        <f>(ROUND((C4*$F$1),0))</f>
        <v>320421</v>
      </c>
      <c r="H4" s="318">
        <f>ROUNDUP((-F4*G4),0)</f>
        <v>-136834</v>
      </c>
      <c r="I4" s="334">
        <f>G4+H4</f>
        <v>183587</v>
      </c>
      <c r="J4" s="353">
        <f t="shared" ref="J4:J67" si="0">I4/$I$82</f>
        <v>4.0508171097634063E-4</v>
      </c>
      <c r="K4" s="365">
        <f t="shared" ref="K4:K6" si="1">I4-C4</f>
        <v>-131449.79031373578</v>
      </c>
      <c r="L4" s="362">
        <f t="shared" ref="L4:L67" si="2">K4/C4</f>
        <v>-0.41725218880889703</v>
      </c>
    </row>
    <row r="5" spans="1:12" outlineLevel="2">
      <c r="A5" s="299" t="s">
        <v>3</v>
      </c>
      <c r="B5" s="298">
        <v>1</v>
      </c>
      <c r="C5" s="297">
        <v>322496.72759339341</v>
      </c>
      <c r="D5" s="314">
        <v>7148.5</v>
      </c>
      <c r="E5" s="315">
        <f>ROUND((C5/D5),2)</f>
        <v>45.11</v>
      </c>
      <c r="F5" s="319">
        <f>E5/$E$7-1</f>
        <v>-7.2688428828693752E-2</v>
      </c>
      <c r="G5" s="317">
        <f>(ROUND((C5*$F$1),0))</f>
        <v>328008</v>
      </c>
      <c r="H5" s="318">
        <f>ROUNDUP((-F5*G5),0)</f>
        <v>23843</v>
      </c>
      <c r="I5" s="334">
        <f>G5+H5</f>
        <v>351851</v>
      </c>
      <c r="J5" s="353">
        <f t="shared" si="0"/>
        <v>7.7635347322379264E-4</v>
      </c>
      <c r="K5" s="366">
        <f t="shared" si="1"/>
        <v>29354.272406606586</v>
      </c>
      <c r="L5" s="266">
        <f t="shared" si="2"/>
        <v>9.1021923309611688E-2</v>
      </c>
    </row>
    <row r="6" spans="1:12" outlineLevel="2">
      <c r="A6" s="299" t="s">
        <v>4</v>
      </c>
      <c r="B6" s="298">
        <v>1</v>
      </c>
      <c r="C6" s="297">
        <v>498165.1097184039</v>
      </c>
      <c r="D6" s="314">
        <v>7861.5</v>
      </c>
      <c r="E6" s="315">
        <f>ROUND((C6/D6),2)</f>
        <v>63.37</v>
      </c>
      <c r="F6" s="316">
        <f>E6/$E$7-1</f>
        <v>0.30267644125749671</v>
      </c>
      <c r="G6" s="317">
        <f>(ROUND((C6*$F$1),0))</f>
        <v>506679</v>
      </c>
      <c r="H6" s="318">
        <f>ROUNDUP((-F6*G6),0)</f>
        <v>-153360</v>
      </c>
      <c r="I6" s="334">
        <f>G6+H6</f>
        <v>353319</v>
      </c>
      <c r="J6" s="353">
        <f t="shared" si="0"/>
        <v>7.7959259119899391E-4</v>
      </c>
      <c r="K6" s="365">
        <f t="shared" si="1"/>
        <v>-144846.1097184039</v>
      </c>
      <c r="L6" s="362">
        <f t="shared" si="2"/>
        <v>-0.29075924205185821</v>
      </c>
    </row>
    <row r="7" spans="1:12" s="293" customFormat="1" outlineLevel="1">
      <c r="A7" s="302"/>
      <c r="B7" s="301" t="s">
        <v>227</v>
      </c>
      <c r="C7" s="300">
        <f t="shared" ref="C7" si="3">SUBTOTAL(9,C3:C6)</f>
        <v>1594713.2182682701</v>
      </c>
      <c r="D7" s="320">
        <f>SUM(D3:D6)</f>
        <v>32782</v>
      </c>
      <c r="E7" s="321">
        <f>C7/D7</f>
        <v>48.64600141139254</v>
      </c>
      <c r="F7" s="382">
        <f>D7/D79</f>
        <v>1.8477771928593913E-3</v>
      </c>
      <c r="G7" s="322"/>
      <c r="H7" s="322"/>
      <c r="I7" s="335">
        <f>SUM(I3:I6)</f>
        <v>1489649</v>
      </c>
      <c r="J7" s="353"/>
      <c r="K7" s="367">
        <f>SUM(K3:K6)</f>
        <v>-105064.21826827043</v>
      </c>
      <c r="L7" s="266"/>
    </row>
    <row r="8" spans="1:12" outlineLevel="2">
      <c r="A8" s="299" t="s">
        <v>5</v>
      </c>
      <c r="B8" s="298">
        <v>2</v>
      </c>
      <c r="C8" s="297">
        <v>725439.47801392386</v>
      </c>
      <c r="D8" s="314">
        <v>19595.5</v>
      </c>
      <c r="E8" s="315">
        <f t="shared" ref="E8:E18" si="4">ROUND((C8/D8),2)</f>
        <v>37.020000000000003</v>
      </c>
      <c r="F8" s="319">
        <f t="shared" ref="F8:F18" si="5">E8/$E$19-1</f>
        <v>-8.6136009528792301E-2</v>
      </c>
      <c r="G8" s="317">
        <f t="shared" ref="G8:G18" si="6">(ROUND((C8*$F$1),0))</f>
        <v>737837</v>
      </c>
      <c r="H8" s="318">
        <f t="shared" ref="H8:H18" si="7">ROUNDUP((-F8*G8),0)</f>
        <v>63555</v>
      </c>
      <c r="I8" s="334">
        <f t="shared" ref="I8:I18" si="8">G8+H8</f>
        <v>801392</v>
      </c>
      <c r="J8" s="353">
        <f t="shared" si="0"/>
        <v>1.7682583326856017E-3</v>
      </c>
      <c r="K8" s="366">
        <f>I8-C8</f>
        <v>75952.521986076143</v>
      </c>
      <c r="L8" s="266">
        <f t="shared" si="2"/>
        <v>0.10469863343254436</v>
      </c>
    </row>
    <row r="9" spans="1:12" outlineLevel="2">
      <c r="A9" s="299" t="s">
        <v>6</v>
      </c>
      <c r="B9" s="298">
        <v>2</v>
      </c>
      <c r="C9" s="297">
        <v>501450.31244996039</v>
      </c>
      <c r="D9" s="314">
        <v>12763.5</v>
      </c>
      <c r="E9" s="315">
        <f t="shared" si="4"/>
        <v>39.29</v>
      </c>
      <c r="F9" s="319">
        <f t="shared" si="5"/>
        <v>-3.0099508762459481E-2</v>
      </c>
      <c r="G9" s="317">
        <f t="shared" si="6"/>
        <v>510020</v>
      </c>
      <c r="H9" s="318">
        <f t="shared" si="7"/>
        <v>15352</v>
      </c>
      <c r="I9" s="334">
        <f t="shared" si="8"/>
        <v>525372</v>
      </c>
      <c r="J9" s="353">
        <f t="shared" si="0"/>
        <v>1.1592247199369347E-3</v>
      </c>
      <c r="K9" s="366">
        <f t="shared" ref="K9:K18" si="9">I9-C9</f>
        <v>23921.687550039613</v>
      </c>
      <c r="L9" s="266">
        <f t="shared" si="2"/>
        <v>4.7705000786945867E-2</v>
      </c>
    </row>
    <row r="10" spans="1:12" outlineLevel="2">
      <c r="A10" s="299" t="s">
        <v>7</v>
      </c>
      <c r="B10" s="298">
        <v>2</v>
      </c>
      <c r="C10" s="297">
        <v>674134.71966310788</v>
      </c>
      <c r="D10" s="314">
        <v>12254</v>
      </c>
      <c r="E10" s="315">
        <f t="shared" si="4"/>
        <v>55.01</v>
      </c>
      <c r="F10" s="316">
        <f t="shared" si="5"/>
        <v>0.35795943046518452</v>
      </c>
      <c r="G10" s="317">
        <f t="shared" si="6"/>
        <v>685656</v>
      </c>
      <c r="H10" s="318">
        <f t="shared" si="7"/>
        <v>-245438</v>
      </c>
      <c r="I10" s="334">
        <f t="shared" si="8"/>
        <v>440218</v>
      </c>
      <c r="J10" s="353">
        <f t="shared" si="0"/>
        <v>9.7133381253892005E-4</v>
      </c>
      <c r="K10" s="365">
        <f t="shared" si="9"/>
        <v>-233916.71966310788</v>
      </c>
      <c r="L10" s="362">
        <f t="shared" si="2"/>
        <v>-0.34698809131208291</v>
      </c>
    </row>
    <row r="11" spans="1:12" outlineLevel="2">
      <c r="A11" s="299" t="s">
        <v>8</v>
      </c>
      <c r="B11" s="298">
        <v>2</v>
      </c>
      <c r="C11" s="297">
        <v>557818.32633381232</v>
      </c>
      <c r="D11" s="314">
        <v>12406.5</v>
      </c>
      <c r="E11" s="315">
        <f t="shared" si="4"/>
        <v>44.96</v>
      </c>
      <c r="F11" s="316">
        <f t="shared" si="5"/>
        <v>0.10986831473758762</v>
      </c>
      <c r="G11" s="317">
        <f t="shared" si="6"/>
        <v>567351</v>
      </c>
      <c r="H11" s="318">
        <f t="shared" si="7"/>
        <v>-62334</v>
      </c>
      <c r="I11" s="334">
        <f t="shared" si="8"/>
        <v>505017</v>
      </c>
      <c r="J11" s="353">
        <f t="shared" si="0"/>
        <v>1.1143117455600811E-3</v>
      </c>
      <c r="K11" s="365">
        <f t="shared" si="9"/>
        <v>-52801.326333812322</v>
      </c>
      <c r="L11" s="362">
        <f t="shared" si="2"/>
        <v>-9.4656851238363038E-2</v>
      </c>
    </row>
    <row r="12" spans="1:12" outlineLevel="2">
      <c r="A12" s="299" t="s">
        <v>9</v>
      </c>
      <c r="B12" s="298">
        <v>2</v>
      </c>
      <c r="C12" s="297">
        <v>579027.5951687413</v>
      </c>
      <c r="D12" s="314">
        <v>11559.5</v>
      </c>
      <c r="E12" s="315">
        <f t="shared" si="4"/>
        <v>50.09</v>
      </c>
      <c r="F12" s="316">
        <f t="shared" si="5"/>
        <v>0.23650586933286855</v>
      </c>
      <c r="G12" s="317">
        <f t="shared" si="6"/>
        <v>588923</v>
      </c>
      <c r="H12" s="318">
        <f t="shared" si="7"/>
        <v>-139284</v>
      </c>
      <c r="I12" s="334">
        <f t="shared" si="8"/>
        <v>449639</v>
      </c>
      <c r="J12" s="353">
        <f t="shared" si="0"/>
        <v>9.9212109485797379E-4</v>
      </c>
      <c r="K12" s="365">
        <f t="shared" si="9"/>
        <v>-129388.5951687413</v>
      </c>
      <c r="L12" s="362">
        <f t="shared" si="2"/>
        <v>-0.22345842624484008</v>
      </c>
    </row>
    <row r="13" spans="1:12" outlineLevel="2">
      <c r="A13" s="299" t="s">
        <v>10</v>
      </c>
      <c r="B13" s="298">
        <v>2</v>
      </c>
      <c r="C13" s="297">
        <v>502570.31387351878</v>
      </c>
      <c r="D13" s="314">
        <v>11107</v>
      </c>
      <c r="E13" s="315">
        <f t="shared" si="4"/>
        <v>45.25</v>
      </c>
      <c r="F13" s="316">
        <f t="shared" si="5"/>
        <v>0.11702716285311032</v>
      </c>
      <c r="G13" s="317">
        <f t="shared" si="6"/>
        <v>511159</v>
      </c>
      <c r="H13" s="318">
        <f t="shared" si="7"/>
        <v>-59820</v>
      </c>
      <c r="I13" s="334">
        <f t="shared" si="8"/>
        <v>451339</v>
      </c>
      <c r="J13" s="353">
        <f t="shared" si="0"/>
        <v>9.9587211703634033E-4</v>
      </c>
      <c r="K13" s="365">
        <f t="shared" si="9"/>
        <v>-51231.313873518782</v>
      </c>
      <c r="L13" s="362">
        <f t="shared" si="2"/>
        <v>-0.10193859935470065</v>
      </c>
    </row>
    <row r="14" spans="1:12" outlineLevel="2">
      <c r="A14" s="299" t="s">
        <v>11</v>
      </c>
      <c r="B14" s="298">
        <v>2</v>
      </c>
      <c r="C14" s="297">
        <v>609838.75346430275</v>
      </c>
      <c r="D14" s="314">
        <v>15370.5</v>
      </c>
      <c r="E14" s="315">
        <f t="shared" si="4"/>
        <v>39.68</v>
      </c>
      <c r="F14" s="319">
        <f t="shared" si="5"/>
        <v>-2.0472092331239367E-2</v>
      </c>
      <c r="G14" s="317">
        <f t="shared" si="6"/>
        <v>620261</v>
      </c>
      <c r="H14" s="318">
        <f t="shared" si="7"/>
        <v>12699</v>
      </c>
      <c r="I14" s="334">
        <f t="shared" si="8"/>
        <v>632960</v>
      </c>
      <c r="J14" s="353">
        <f t="shared" si="0"/>
        <v>1.3966158811875816E-3</v>
      </c>
      <c r="K14" s="366">
        <f t="shared" si="9"/>
        <v>23121.246535697253</v>
      </c>
      <c r="L14" s="266">
        <f t="shared" si="2"/>
        <v>3.7913704900439174E-2</v>
      </c>
    </row>
    <row r="15" spans="1:12" outlineLevel="2">
      <c r="A15" s="299" t="s">
        <v>12</v>
      </c>
      <c r="B15" s="298">
        <v>2</v>
      </c>
      <c r="C15" s="297">
        <v>604123.51154300408</v>
      </c>
      <c r="D15" s="314">
        <v>16678.5</v>
      </c>
      <c r="E15" s="315">
        <f t="shared" si="4"/>
        <v>36.22</v>
      </c>
      <c r="F15" s="319">
        <f t="shared" si="5"/>
        <v>-0.10588455605437219</v>
      </c>
      <c r="G15" s="317">
        <f t="shared" si="6"/>
        <v>614448</v>
      </c>
      <c r="H15" s="318">
        <f t="shared" si="7"/>
        <v>65061</v>
      </c>
      <c r="I15" s="334">
        <f t="shared" si="8"/>
        <v>679509</v>
      </c>
      <c r="J15" s="353">
        <f t="shared" si="0"/>
        <v>1.4993254878821606E-3</v>
      </c>
      <c r="K15" s="366">
        <f t="shared" si="9"/>
        <v>75385.488456995925</v>
      </c>
      <c r="L15" s="266">
        <f t="shared" si="2"/>
        <v>0.12478489417578258</v>
      </c>
    </row>
    <row r="16" spans="1:12" outlineLevel="2">
      <c r="A16" s="299" t="s">
        <v>13</v>
      </c>
      <c r="B16" s="298">
        <v>2</v>
      </c>
      <c r="C16" s="297">
        <v>513901.73621836456</v>
      </c>
      <c r="D16" s="314">
        <v>12499</v>
      </c>
      <c r="E16" s="315">
        <f t="shared" si="4"/>
        <v>41.12</v>
      </c>
      <c r="F16" s="316">
        <f t="shared" si="5"/>
        <v>1.5075291414804459E-2</v>
      </c>
      <c r="G16" s="317">
        <f t="shared" si="6"/>
        <v>522684</v>
      </c>
      <c r="H16" s="318">
        <f t="shared" si="7"/>
        <v>-7880</v>
      </c>
      <c r="I16" s="334">
        <f t="shared" si="8"/>
        <v>514804</v>
      </c>
      <c r="J16" s="353">
        <f t="shared" si="0"/>
        <v>1.1359066008893007E-3</v>
      </c>
      <c r="K16" s="366">
        <f t="shared" si="9"/>
        <v>902.26378163543995</v>
      </c>
      <c r="L16" s="266">
        <f t="shared" si="2"/>
        <v>1.7557126548645371E-3</v>
      </c>
    </row>
    <row r="17" spans="1:12" outlineLevel="2">
      <c r="A17" s="299" t="s">
        <v>14</v>
      </c>
      <c r="B17" s="298">
        <v>2</v>
      </c>
      <c r="C17" s="297">
        <v>574285.78408759309</v>
      </c>
      <c r="D17" s="314">
        <v>19523</v>
      </c>
      <c r="E17" s="315">
        <f t="shared" si="4"/>
        <v>29.42</v>
      </c>
      <c r="F17" s="319">
        <f t="shared" si="5"/>
        <v>-0.27374720152180088</v>
      </c>
      <c r="G17" s="317">
        <f t="shared" si="6"/>
        <v>584100</v>
      </c>
      <c r="H17" s="318">
        <f t="shared" si="7"/>
        <v>159896</v>
      </c>
      <c r="I17" s="334">
        <f t="shared" si="8"/>
        <v>743996</v>
      </c>
      <c r="J17" s="353">
        <f t="shared" si="0"/>
        <v>1.6416149980094097E-3</v>
      </c>
      <c r="K17" s="366">
        <f t="shared" si="9"/>
        <v>169710.21591240691</v>
      </c>
      <c r="L17" s="266">
        <f t="shared" si="2"/>
        <v>0.29551526542144357</v>
      </c>
    </row>
    <row r="18" spans="1:12" outlineLevel="2">
      <c r="A18" s="299" t="s">
        <v>15</v>
      </c>
      <c r="B18" s="298">
        <v>2</v>
      </c>
      <c r="C18" s="297">
        <v>805837.99175540451</v>
      </c>
      <c r="D18" s="314">
        <v>20364</v>
      </c>
      <c r="E18" s="315">
        <f t="shared" si="4"/>
        <v>39.57</v>
      </c>
      <c r="F18" s="319">
        <f t="shared" si="5"/>
        <v>-2.3187517478506559E-2</v>
      </c>
      <c r="G18" s="317">
        <f t="shared" si="6"/>
        <v>819610</v>
      </c>
      <c r="H18" s="318">
        <f t="shared" si="7"/>
        <v>19005</v>
      </c>
      <c r="I18" s="334">
        <f t="shared" si="8"/>
        <v>838615</v>
      </c>
      <c r="J18" s="353">
        <f t="shared" si="0"/>
        <v>1.8503902730063887E-3</v>
      </c>
      <c r="K18" s="366">
        <f t="shared" si="9"/>
        <v>32777.00824459549</v>
      </c>
      <c r="L18" s="266">
        <f t="shared" si="2"/>
        <v>4.067443900627643E-2</v>
      </c>
    </row>
    <row r="19" spans="1:12" s="293" customFormat="1" outlineLevel="1">
      <c r="A19" s="302"/>
      <c r="B19" s="301" t="s">
        <v>226</v>
      </c>
      <c r="C19" s="300">
        <f t="shared" ref="C19" si="10">SUBTOTAL(9,C8:C18)</f>
        <v>6648428.5225717332</v>
      </c>
      <c r="D19" s="320">
        <f>SUM(D8:D18)</f>
        <v>164121</v>
      </c>
      <c r="E19" s="321">
        <f>C19/D19</f>
        <v>40.509310341587813</v>
      </c>
      <c r="F19" s="382">
        <f>D19/D79</f>
        <v>9.2507791064997905E-3</v>
      </c>
      <c r="G19" s="322"/>
      <c r="H19" s="322"/>
      <c r="I19" s="335">
        <f>SUM(I8:I18)</f>
        <v>6582861</v>
      </c>
      <c r="J19" s="353"/>
      <c r="K19" s="367">
        <f>SUM(K8:K18)</f>
        <v>-65567.522571733512</v>
      </c>
      <c r="L19" s="266"/>
    </row>
    <row r="20" spans="1:12" outlineLevel="2">
      <c r="A20" s="299" t="s">
        <v>16</v>
      </c>
      <c r="B20" s="298">
        <v>3</v>
      </c>
      <c r="C20" s="297">
        <v>873912.44651130447</v>
      </c>
      <c r="D20" s="314">
        <v>30987</v>
      </c>
      <c r="E20" s="315">
        <f t="shared" ref="E20:E30" si="11">ROUND((C20/D20),2)</f>
        <v>28.2</v>
      </c>
      <c r="F20" s="319">
        <f t="shared" ref="F20:F30" si="12">E20/$E$31-1</f>
        <v>-0.18871124087421598</v>
      </c>
      <c r="G20" s="317">
        <f t="shared" ref="G20:G30" si="13">(ROUND((C20*$F$1),0))</f>
        <v>888848</v>
      </c>
      <c r="H20" s="318">
        <f t="shared" ref="H20:H30" si="14">ROUNDUP((-F20*G20),0)</f>
        <v>167736</v>
      </c>
      <c r="I20" s="334">
        <f t="shared" ref="I20:I30" si="15">G20+H20</f>
        <v>1056584</v>
      </c>
      <c r="J20" s="353">
        <f t="shared" si="0"/>
        <v>2.3313353042983755E-3</v>
      </c>
      <c r="K20" s="366">
        <f>I20-C20</f>
        <v>182671.55348869553</v>
      </c>
      <c r="L20" s="266">
        <f t="shared" si="2"/>
        <v>0.20902729354402505</v>
      </c>
    </row>
    <row r="21" spans="1:12" outlineLevel="2">
      <c r="A21" s="299" t="s">
        <v>17</v>
      </c>
      <c r="B21" s="298">
        <v>3</v>
      </c>
      <c r="C21" s="297">
        <v>823615.487275369</v>
      </c>
      <c r="D21" s="314">
        <v>26500.5</v>
      </c>
      <c r="E21" s="315">
        <f t="shared" si="11"/>
        <v>31.08</v>
      </c>
      <c r="F21" s="319">
        <f t="shared" si="12"/>
        <v>-0.10585621866562522</v>
      </c>
      <c r="G21" s="317">
        <f t="shared" si="13"/>
        <v>837691</v>
      </c>
      <c r="H21" s="318">
        <f t="shared" si="14"/>
        <v>88675</v>
      </c>
      <c r="I21" s="334">
        <f t="shared" si="15"/>
        <v>926366</v>
      </c>
      <c r="J21" s="353">
        <f t="shared" si="0"/>
        <v>2.044011418402767E-3</v>
      </c>
      <c r="K21" s="366">
        <f t="shared" ref="K21:K30" si="16">I21-C21</f>
        <v>102750.512724631</v>
      </c>
      <c r="L21" s="266">
        <f t="shared" si="2"/>
        <v>0.12475544026563117</v>
      </c>
    </row>
    <row r="22" spans="1:12" outlineLevel="2">
      <c r="A22" s="299" t="s">
        <v>18</v>
      </c>
      <c r="B22" s="298">
        <v>3</v>
      </c>
      <c r="C22" s="297">
        <v>1365042.1682261289</v>
      </c>
      <c r="D22" s="314">
        <v>35454.5</v>
      </c>
      <c r="E22" s="315">
        <f t="shared" si="11"/>
        <v>38.5</v>
      </c>
      <c r="F22" s="316">
        <f t="shared" si="12"/>
        <v>0.10761053994122993</v>
      </c>
      <c r="G22" s="317">
        <f t="shared" si="13"/>
        <v>1388371</v>
      </c>
      <c r="H22" s="318">
        <f t="shared" si="14"/>
        <v>-149404</v>
      </c>
      <c r="I22" s="334">
        <f t="shared" si="15"/>
        <v>1238967</v>
      </c>
      <c r="J22" s="353">
        <f t="shared" si="0"/>
        <v>2.7337604089789787E-3</v>
      </c>
      <c r="K22" s="365">
        <f t="shared" si="16"/>
        <v>-126075.16822612891</v>
      </c>
      <c r="L22" s="362">
        <f t="shared" si="2"/>
        <v>-9.2359907379244904E-2</v>
      </c>
    </row>
    <row r="23" spans="1:12" outlineLevel="2">
      <c r="A23" s="299" t="s">
        <v>19</v>
      </c>
      <c r="B23" s="298">
        <v>3</v>
      </c>
      <c r="C23" s="297">
        <v>924370.12797318376</v>
      </c>
      <c r="D23" s="314">
        <v>20386</v>
      </c>
      <c r="E23" s="315">
        <f t="shared" si="11"/>
        <v>45.34</v>
      </c>
      <c r="F23" s="316">
        <f t="shared" si="12"/>
        <v>0.30439121768663302</v>
      </c>
      <c r="G23" s="317">
        <f t="shared" si="13"/>
        <v>940168</v>
      </c>
      <c r="H23" s="318">
        <f t="shared" si="14"/>
        <v>-286179</v>
      </c>
      <c r="I23" s="334">
        <f t="shared" si="15"/>
        <v>653989</v>
      </c>
      <c r="J23" s="353">
        <f t="shared" si="0"/>
        <v>1.4430160255339758E-3</v>
      </c>
      <c r="K23" s="365">
        <f t="shared" si="16"/>
        <v>-270381.12797318376</v>
      </c>
      <c r="L23" s="362">
        <f t="shared" si="2"/>
        <v>-0.29250309999310969</v>
      </c>
    </row>
    <row r="24" spans="1:12" outlineLevel="2">
      <c r="A24" s="299" t="s">
        <v>20</v>
      </c>
      <c r="B24" s="298">
        <v>3</v>
      </c>
      <c r="C24" s="297">
        <v>1306754.5851154381</v>
      </c>
      <c r="D24" s="314">
        <v>28223.5</v>
      </c>
      <c r="E24" s="315">
        <f t="shared" si="11"/>
        <v>46.3</v>
      </c>
      <c r="F24" s="316">
        <f t="shared" si="12"/>
        <v>0.33200955842282975</v>
      </c>
      <c r="G24" s="317">
        <f t="shared" si="13"/>
        <v>1329087</v>
      </c>
      <c r="H24" s="318">
        <f t="shared" si="14"/>
        <v>-441270</v>
      </c>
      <c r="I24" s="334">
        <f t="shared" si="15"/>
        <v>887817</v>
      </c>
      <c r="J24" s="353">
        <f t="shared" si="0"/>
        <v>1.958953680782854E-3</v>
      </c>
      <c r="K24" s="365">
        <f t="shared" si="16"/>
        <v>-418937.58511543809</v>
      </c>
      <c r="L24" s="362">
        <f t="shared" si="2"/>
        <v>-0.32059392780200524</v>
      </c>
    </row>
    <row r="25" spans="1:12" outlineLevel="2">
      <c r="A25" s="299" t="s">
        <v>21</v>
      </c>
      <c r="B25" s="298">
        <v>3</v>
      </c>
      <c r="C25" s="297">
        <v>1128977.6082525733</v>
      </c>
      <c r="D25" s="314">
        <v>32334</v>
      </c>
      <c r="E25" s="315">
        <f t="shared" si="11"/>
        <v>34.92</v>
      </c>
      <c r="F25" s="316">
        <f t="shared" si="12"/>
        <v>4.6171442791624884E-3</v>
      </c>
      <c r="G25" s="317">
        <f t="shared" si="13"/>
        <v>1148272</v>
      </c>
      <c r="H25" s="318">
        <f t="shared" si="14"/>
        <v>-5302</v>
      </c>
      <c r="I25" s="334">
        <f t="shared" si="15"/>
        <v>1142970</v>
      </c>
      <c r="J25" s="353">
        <f t="shared" si="0"/>
        <v>2.5219445995338886E-3</v>
      </c>
      <c r="K25" s="366">
        <f t="shared" si="16"/>
        <v>13992.391747426707</v>
      </c>
      <c r="L25" s="266">
        <f t="shared" si="2"/>
        <v>1.2393861175939594E-2</v>
      </c>
    </row>
    <row r="26" spans="1:12" outlineLevel="2">
      <c r="A26" s="299" t="s">
        <v>22</v>
      </c>
      <c r="B26" s="298">
        <v>3</v>
      </c>
      <c r="C26" s="297">
        <v>1148148.0297307179</v>
      </c>
      <c r="D26" s="314">
        <v>39743.5</v>
      </c>
      <c r="E26" s="315">
        <f t="shared" si="11"/>
        <v>28.89</v>
      </c>
      <c r="F26" s="319">
        <f t="shared" si="12"/>
        <v>-0.16886055847007442</v>
      </c>
      <c r="G26" s="317">
        <f t="shared" si="13"/>
        <v>1167770</v>
      </c>
      <c r="H26" s="318">
        <f t="shared" si="14"/>
        <v>197191</v>
      </c>
      <c r="I26" s="334">
        <f t="shared" si="15"/>
        <v>1364961</v>
      </c>
      <c r="J26" s="353">
        <f t="shared" si="0"/>
        <v>3.0117641080031638E-3</v>
      </c>
      <c r="K26" s="366">
        <f t="shared" si="16"/>
        <v>216812.97026928212</v>
      </c>
      <c r="L26" s="266">
        <f t="shared" si="2"/>
        <v>0.18883712261400001</v>
      </c>
    </row>
    <row r="27" spans="1:12" outlineLevel="2">
      <c r="A27" s="299" t="s">
        <v>23</v>
      </c>
      <c r="B27" s="298">
        <v>3</v>
      </c>
      <c r="C27" s="297">
        <v>568909.17075554712</v>
      </c>
      <c r="D27" s="314">
        <v>24042</v>
      </c>
      <c r="E27" s="315">
        <f t="shared" si="11"/>
        <v>23.66</v>
      </c>
      <c r="F27" s="319">
        <f t="shared" si="12"/>
        <v>-0.31932297727248049</v>
      </c>
      <c r="G27" s="317">
        <f t="shared" si="13"/>
        <v>578632</v>
      </c>
      <c r="H27" s="318">
        <f t="shared" si="14"/>
        <v>184771</v>
      </c>
      <c r="I27" s="334">
        <f t="shared" si="15"/>
        <v>763403</v>
      </c>
      <c r="J27" s="353">
        <f t="shared" si="0"/>
        <v>1.6844362259009155E-3</v>
      </c>
      <c r="K27" s="366">
        <f t="shared" si="16"/>
        <v>194493.82924445288</v>
      </c>
      <c r="L27" s="266">
        <f t="shared" si="2"/>
        <v>0.341871495912349</v>
      </c>
    </row>
    <row r="28" spans="1:12" outlineLevel="2">
      <c r="A28" s="299" t="s">
        <v>24</v>
      </c>
      <c r="B28" s="298">
        <v>3</v>
      </c>
      <c r="C28" s="297">
        <v>1298780.1345464382</v>
      </c>
      <c r="D28" s="314">
        <v>34476</v>
      </c>
      <c r="E28" s="315">
        <f t="shared" si="11"/>
        <v>37.67</v>
      </c>
      <c r="F28" s="316">
        <f t="shared" si="12"/>
        <v>8.3732182846393277E-2</v>
      </c>
      <c r="G28" s="317">
        <f t="shared" si="13"/>
        <v>1320976</v>
      </c>
      <c r="H28" s="318">
        <f t="shared" si="14"/>
        <v>-110609</v>
      </c>
      <c r="I28" s="334">
        <f t="shared" si="15"/>
        <v>1210367</v>
      </c>
      <c r="J28" s="353">
        <f t="shared" si="0"/>
        <v>2.6706549770370478E-3</v>
      </c>
      <c r="K28" s="365">
        <f t="shared" si="16"/>
        <v>-88413.134546438232</v>
      </c>
      <c r="L28" s="362">
        <f t="shared" si="2"/>
        <v>-6.8073981264976755E-2</v>
      </c>
    </row>
    <row r="29" spans="1:12" outlineLevel="2">
      <c r="A29" s="299" t="s">
        <v>25</v>
      </c>
      <c r="B29" s="298">
        <v>3</v>
      </c>
      <c r="C29" s="297">
        <v>1199403.2573326579</v>
      </c>
      <c r="D29" s="314">
        <v>30781</v>
      </c>
      <c r="E29" s="315">
        <f t="shared" si="11"/>
        <v>38.97</v>
      </c>
      <c r="F29" s="316">
        <f t="shared" si="12"/>
        <v>0.12113201925999317</v>
      </c>
      <c r="G29" s="317">
        <f t="shared" si="13"/>
        <v>1219901</v>
      </c>
      <c r="H29" s="318">
        <f t="shared" si="14"/>
        <v>-147770</v>
      </c>
      <c r="I29" s="334">
        <f t="shared" si="15"/>
        <v>1072131</v>
      </c>
      <c r="J29" s="353">
        <f t="shared" si="0"/>
        <v>2.3656395053613549E-3</v>
      </c>
      <c r="K29" s="365">
        <f t="shared" si="16"/>
        <v>-127272.25733265793</v>
      </c>
      <c r="L29" s="362">
        <f t="shared" si="2"/>
        <v>-0.10611298289759322</v>
      </c>
    </row>
    <row r="30" spans="1:12" outlineLevel="2">
      <c r="A30" s="299" t="s">
        <v>26</v>
      </c>
      <c r="B30" s="298">
        <v>3</v>
      </c>
      <c r="C30" s="297">
        <v>704723.49500453321</v>
      </c>
      <c r="D30" s="314">
        <v>23389.5</v>
      </c>
      <c r="E30" s="315">
        <f t="shared" si="11"/>
        <v>30.13</v>
      </c>
      <c r="F30" s="319">
        <f t="shared" si="12"/>
        <v>-0.13318686835248672</v>
      </c>
      <c r="G30" s="317">
        <f t="shared" si="13"/>
        <v>716767</v>
      </c>
      <c r="H30" s="318">
        <f t="shared" si="14"/>
        <v>95464</v>
      </c>
      <c r="I30" s="334">
        <f t="shared" si="15"/>
        <v>812231</v>
      </c>
      <c r="J30" s="353">
        <f t="shared" si="0"/>
        <v>1.79217440879814E-3</v>
      </c>
      <c r="K30" s="366">
        <f t="shared" si="16"/>
        <v>107507.50499546679</v>
      </c>
      <c r="L30" s="266">
        <f t="shared" si="2"/>
        <v>0.15255274693910303</v>
      </c>
    </row>
    <row r="31" spans="1:12" s="293" customFormat="1" outlineLevel="1">
      <c r="A31" s="302"/>
      <c r="B31" s="301" t="s">
        <v>225</v>
      </c>
      <c r="C31" s="300">
        <f t="shared" ref="C31" si="17">SUBTOTAL(9,C20:C30)</f>
        <v>11342636.510723893</v>
      </c>
      <c r="D31" s="320">
        <f>SUM(D20:D30)</f>
        <v>326317.5</v>
      </c>
      <c r="E31" s="321">
        <f>C31/D31</f>
        <v>34.759510325752963</v>
      </c>
      <c r="F31" s="382">
        <f>D31/D79</f>
        <v>1.8393082610301214E-2</v>
      </c>
      <c r="G31" s="322"/>
      <c r="H31" s="322"/>
      <c r="I31" s="335">
        <f>SUM(I20:I30)</f>
        <v>11129786</v>
      </c>
      <c r="J31" s="353"/>
      <c r="K31" s="367">
        <f>SUM(K20:K30)</f>
        <v>-212850.5107238919</v>
      </c>
      <c r="L31" s="266"/>
    </row>
    <row r="32" spans="1:12" outlineLevel="2">
      <c r="A32" s="299" t="s">
        <v>27</v>
      </c>
      <c r="B32" s="298">
        <v>4</v>
      </c>
      <c r="C32" s="297">
        <v>3063819.4898824035</v>
      </c>
      <c r="D32" s="314">
        <v>102654.5</v>
      </c>
      <c r="E32" s="315">
        <f t="shared" ref="E32:E40" si="18">ROUND((C32/D32),2)</f>
        <v>29.85</v>
      </c>
      <c r="F32" s="316">
        <f t="shared" ref="F32:F40" si="19">E32/$E$41-1</f>
        <v>1.78508814709466E-2</v>
      </c>
      <c r="G32" s="317">
        <f t="shared" ref="G32:G40" si="20">(ROUND((C32*$F$1),0))</f>
        <v>3116180</v>
      </c>
      <c r="H32" s="318">
        <f t="shared" ref="H32:H40" si="21">ROUNDUP((-F32*G32),0)</f>
        <v>-55627</v>
      </c>
      <c r="I32" s="334">
        <f t="shared" ref="I32:I40" si="22">G32+H32</f>
        <v>3060553</v>
      </c>
      <c r="J32" s="353">
        <f t="shared" si="0"/>
        <v>6.7530601065095685E-3</v>
      </c>
      <c r="K32" s="365">
        <f>I32-C32</f>
        <v>-3266.489882403519</v>
      </c>
      <c r="L32" s="362">
        <f t="shared" si="2"/>
        <v>-1.0661495865505099E-3</v>
      </c>
    </row>
    <row r="33" spans="1:12" outlineLevel="2">
      <c r="A33" s="299" t="s">
        <v>28</v>
      </c>
      <c r="B33" s="298">
        <v>4</v>
      </c>
      <c r="C33" s="297">
        <v>1557901.7635374721</v>
      </c>
      <c r="D33" s="314">
        <v>65278</v>
      </c>
      <c r="E33" s="315">
        <f t="shared" si="18"/>
        <v>23.87</v>
      </c>
      <c r="F33" s="319">
        <f t="shared" si="19"/>
        <v>-0.18606028339324976</v>
      </c>
      <c r="G33" s="317">
        <f t="shared" si="20"/>
        <v>1584526</v>
      </c>
      <c r="H33" s="318">
        <f t="shared" si="21"/>
        <v>294818</v>
      </c>
      <c r="I33" s="334">
        <f t="shared" si="22"/>
        <v>1879344</v>
      </c>
      <c r="J33" s="353">
        <f t="shared" si="0"/>
        <v>4.1467417792824101E-3</v>
      </c>
      <c r="K33" s="366">
        <f t="shared" ref="K33:K40" si="23">I33-C33</f>
        <v>321442.23646252789</v>
      </c>
      <c r="L33" s="266">
        <f t="shared" si="2"/>
        <v>0.20633023466938019</v>
      </c>
    </row>
    <row r="34" spans="1:12" outlineLevel="2">
      <c r="A34" s="299" t="s">
        <v>29</v>
      </c>
      <c r="B34" s="298">
        <v>4</v>
      </c>
      <c r="C34" s="297">
        <v>1857621.4224692769</v>
      </c>
      <c r="D34" s="314">
        <v>71591</v>
      </c>
      <c r="E34" s="315">
        <f t="shared" si="18"/>
        <v>25.95</v>
      </c>
      <c r="F34" s="319">
        <f t="shared" si="19"/>
        <v>-0.11513466083179014</v>
      </c>
      <c r="G34" s="317">
        <f t="shared" si="20"/>
        <v>1889368</v>
      </c>
      <c r="H34" s="318">
        <f t="shared" si="21"/>
        <v>217532</v>
      </c>
      <c r="I34" s="334">
        <f t="shared" si="22"/>
        <v>2106900</v>
      </c>
      <c r="J34" s="353">
        <f t="shared" si="0"/>
        <v>4.6488403691767504E-3</v>
      </c>
      <c r="K34" s="366">
        <f t="shared" si="23"/>
        <v>249278.57753072307</v>
      </c>
      <c r="L34" s="266">
        <f t="shared" si="2"/>
        <v>0.13419234646818673</v>
      </c>
    </row>
    <row r="35" spans="1:12" outlineLevel="2">
      <c r="A35" s="299" t="s">
        <v>30</v>
      </c>
      <c r="B35" s="298">
        <v>4</v>
      </c>
      <c r="C35" s="297">
        <v>2009733.3847616124</v>
      </c>
      <c r="D35" s="314">
        <v>61752.5</v>
      </c>
      <c r="E35" s="315">
        <f t="shared" si="18"/>
        <v>32.54</v>
      </c>
      <c r="F35" s="316">
        <f t="shared" si="19"/>
        <v>0.10957680680283421</v>
      </c>
      <c r="G35" s="317">
        <f t="shared" si="20"/>
        <v>2044080</v>
      </c>
      <c r="H35" s="318">
        <f t="shared" si="21"/>
        <v>-223984</v>
      </c>
      <c r="I35" s="334">
        <f t="shared" si="22"/>
        <v>1820096</v>
      </c>
      <c r="J35" s="353">
        <f t="shared" si="0"/>
        <v>4.0160120369154336E-3</v>
      </c>
      <c r="K35" s="365">
        <f t="shared" si="23"/>
        <v>-189637.3847616124</v>
      </c>
      <c r="L35" s="362">
        <f t="shared" si="2"/>
        <v>-9.4359473848371442E-2</v>
      </c>
    </row>
    <row r="36" spans="1:12" outlineLevel="2">
      <c r="A36" s="299" t="s">
        <v>31</v>
      </c>
      <c r="B36" s="298">
        <v>4</v>
      </c>
      <c r="C36" s="297">
        <v>3029669.554779971</v>
      </c>
      <c r="D36" s="314">
        <v>87914.5</v>
      </c>
      <c r="E36" s="315">
        <f t="shared" si="18"/>
        <v>34.46</v>
      </c>
      <c r="F36" s="316">
        <f t="shared" si="19"/>
        <v>0.17504661224418161</v>
      </c>
      <c r="G36" s="317">
        <f t="shared" si="20"/>
        <v>3081446</v>
      </c>
      <c r="H36" s="318">
        <f t="shared" si="21"/>
        <v>-539397</v>
      </c>
      <c r="I36" s="334">
        <f t="shared" si="22"/>
        <v>2542049</v>
      </c>
      <c r="J36" s="353">
        <f t="shared" si="0"/>
        <v>5.6089895161732352E-3</v>
      </c>
      <c r="K36" s="365">
        <f t="shared" si="23"/>
        <v>-487620.55477997102</v>
      </c>
      <c r="L36" s="362">
        <f t="shared" si="2"/>
        <v>-0.16094842885114061</v>
      </c>
    </row>
    <row r="37" spans="1:12" outlineLevel="2">
      <c r="A37" s="299" t="s">
        <v>32</v>
      </c>
      <c r="B37" s="298">
        <v>4</v>
      </c>
      <c r="C37" s="297">
        <v>1593029.1728064942</v>
      </c>
      <c r="D37" s="314">
        <v>53930</v>
      </c>
      <c r="E37" s="315">
        <f t="shared" si="18"/>
        <v>29.54</v>
      </c>
      <c r="F37" s="316">
        <f t="shared" si="19"/>
        <v>7.2802358007291179E-3</v>
      </c>
      <c r="G37" s="317">
        <f t="shared" si="20"/>
        <v>1620254</v>
      </c>
      <c r="H37" s="318">
        <f t="shared" si="21"/>
        <v>-11796</v>
      </c>
      <c r="I37" s="334">
        <f t="shared" si="22"/>
        <v>1608458</v>
      </c>
      <c r="J37" s="353">
        <f t="shared" si="0"/>
        <v>3.5490362535124105E-3</v>
      </c>
      <c r="K37" s="366">
        <f t="shared" si="23"/>
        <v>15428.827193505829</v>
      </c>
      <c r="L37" s="266">
        <f t="shared" si="2"/>
        <v>9.6852132132171399E-3</v>
      </c>
    </row>
    <row r="38" spans="1:12" outlineLevel="2">
      <c r="A38" s="299" t="s">
        <v>33</v>
      </c>
      <c r="B38" s="298">
        <v>4</v>
      </c>
      <c r="C38" s="297">
        <v>2193535.928849957</v>
      </c>
      <c r="D38" s="314">
        <v>59943.5</v>
      </c>
      <c r="E38" s="315">
        <f t="shared" si="18"/>
        <v>36.590000000000003</v>
      </c>
      <c r="F38" s="316">
        <f t="shared" si="19"/>
        <v>0.24767717765567632</v>
      </c>
      <c r="G38" s="317">
        <f t="shared" si="20"/>
        <v>2231023</v>
      </c>
      <c r="H38" s="318">
        <f t="shared" si="21"/>
        <v>-552574</v>
      </c>
      <c r="I38" s="334">
        <f t="shared" si="22"/>
        <v>1678449</v>
      </c>
      <c r="J38" s="353">
        <f t="shared" si="0"/>
        <v>3.7034702495630295E-3</v>
      </c>
      <c r="K38" s="365">
        <f t="shared" si="23"/>
        <v>-515086.92884995695</v>
      </c>
      <c r="L38" s="362">
        <f t="shared" si="2"/>
        <v>-0.23482037475447712</v>
      </c>
    </row>
    <row r="39" spans="1:12" outlineLevel="2">
      <c r="A39" s="299" t="s">
        <v>34</v>
      </c>
      <c r="B39" s="298">
        <v>4</v>
      </c>
      <c r="C39" s="297">
        <v>1941030.192744473</v>
      </c>
      <c r="D39" s="314">
        <v>72197.5</v>
      </c>
      <c r="E39" s="315">
        <f t="shared" si="18"/>
        <v>26.89</v>
      </c>
      <c r="F39" s="319">
        <f t="shared" si="19"/>
        <v>-8.3081735251130495E-2</v>
      </c>
      <c r="G39" s="317">
        <f t="shared" si="20"/>
        <v>1974202</v>
      </c>
      <c r="H39" s="318">
        <f t="shared" si="21"/>
        <v>164021</v>
      </c>
      <c r="I39" s="334">
        <f t="shared" si="22"/>
        <v>2138223</v>
      </c>
      <c r="J39" s="353">
        <f t="shared" si="0"/>
        <v>4.7179540560549713E-3</v>
      </c>
      <c r="K39" s="366">
        <f t="shared" si="23"/>
        <v>197192.807255527</v>
      </c>
      <c r="L39" s="266">
        <f t="shared" si="2"/>
        <v>0.10159182891262035</v>
      </c>
    </row>
    <row r="40" spans="1:12" outlineLevel="2">
      <c r="A40" s="299" t="s">
        <v>35</v>
      </c>
      <c r="B40" s="298">
        <v>4</v>
      </c>
      <c r="C40" s="297">
        <v>1687871.4594191166</v>
      </c>
      <c r="D40" s="314">
        <v>70373.5</v>
      </c>
      <c r="E40" s="315">
        <f t="shared" si="18"/>
        <v>23.98</v>
      </c>
      <c r="F40" s="319">
        <f t="shared" si="19"/>
        <v>-0.18230940912317251</v>
      </c>
      <c r="G40" s="317">
        <f t="shared" si="20"/>
        <v>1716717</v>
      </c>
      <c r="H40" s="318">
        <f t="shared" si="21"/>
        <v>312974</v>
      </c>
      <c r="I40" s="334">
        <f t="shared" si="22"/>
        <v>2029691</v>
      </c>
      <c r="J40" s="353">
        <f t="shared" si="0"/>
        <v>4.4784799742535134E-3</v>
      </c>
      <c r="K40" s="366">
        <f t="shared" si="23"/>
        <v>341819.54058088339</v>
      </c>
      <c r="L40" s="266">
        <f t="shared" si="2"/>
        <v>0.20251514928661751</v>
      </c>
    </row>
    <row r="41" spans="1:12" s="293" customFormat="1" outlineLevel="1">
      <c r="A41" s="302"/>
      <c r="B41" s="301" t="s">
        <v>224</v>
      </c>
      <c r="C41" s="300">
        <f t="shared" ref="C41" si="24">SUBTOTAL(9,C32:C40)</f>
        <v>18934212.369250774</v>
      </c>
      <c r="D41" s="320">
        <f>SUM(D32:D40)</f>
        <v>645635</v>
      </c>
      <c r="E41" s="321">
        <f>C41/D41</f>
        <v>29.326496192509349</v>
      </c>
      <c r="F41" s="382">
        <f>D41/D79</f>
        <v>3.639160600060317E-2</v>
      </c>
      <c r="G41" s="322"/>
      <c r="H41" s="322"/>
      <c r="I41" s="335">
        <f>SUM(I32:I40)</f>
        <v>18863763</v>
      </c>
      <c r="J41" s="353"/>
      <c r="K41" s="367">
        <f>SUM(K32:K40)</f>
        <v>-70449.369250776712</v>
      </c>
      <c r="L41" s="266"/>
    </row>
    <row r="42" spans="1:12" outlineLevel="2">
      <c r="A42" s="299" t="s">
        <v>36</v>
      </c>
      <c r="B42" s="298">
        <v>5</v>
      </c>
      <c r="C42" s="297">
        <v>5924258.6490596049</v>
      </c>
      <c r="D42" s="314">
        <v>185378</v>
      </c>
      <c r="E42" s="315">
        <f t="shared" ref="E42:E50" si="25">ROUND((C42/D42),2)</f>
        <v>31.96</v>
      </c>
      <c r="F42" s="316">
        <f t="shared" ref="F42:F50" si="26">E42/$E$51-1</f>
        <v>0.16323496761453482</v>
      </c>
      <c r="G42" s="317">
        <f t="shared" ref="G42:G50" si="27">(ROUND((C42*$F$1),0))</f>
        <v>6025504</v>
      </c>
      <c r="H42" s="318">
        <f t="shared" ref="H42:H50" si="28">ROUNDUP((-F42*G42),0)</f>
        <v>-983573</v>
      </c>
      <c r="I42" s="334">
        <f t="shared" ref="I42:I50" si="29">G42+H42</f>
        <v>5041931</v>
      </c>
      <c r="J42" s="353">
        <f t="shared" si="0"/>
        <v>1.112493823693754E-2</v>
      </c>
      <c r="K42" s="365">
        <f>I42-C42</f>
        <v>-882327.64905960485</v>
      </c>
      <c r="L42" s="362">
        <f t="shared" si="2"/>
        <v>-0.14893469399747802</v>
      </c>
    </row>
    <row r="43" spans="1:12" outlineLevel="2">
      <c r="A43" s="299" t="s">
        <v>37</v>
      </c>
      <c r="B43" s="298">
        <v>5</v>
      </c>
      <c r="C43" s="297">
        <v>3607348.7005813592</v>
      </c>
      <c r="D43" s="314">
        <v>140392.5</v>
      </c>
      <c r="E43" s="315">
        <f t="shared" si="25"/>
        <v>25.69</v>
      </c>
      <c r="F43" s="319">
        <f t="shared" si="26"/>
        <v>-6.4971642114599493E-2</v>
      </c>
      <c r="G43" s="317">
        <f t="shared" si="27"/>
        <v>3668998</v>
      </c>
      <c r="H43" s="318">
        <f t="shared" si="28"/>
        <v>238381</v>
      </c>
      <c r="I43" s="334">
        <f t="shared" si="29"/>
        <v>3907379</v>
      </c>
      <c r="J43" s="353">
        <f t="shared" si="0"/>
        <v>8.6215678166374678E-3</v>
      </c>
      <c r="K43" s="366">
        <f t="shared" ref="K43:K50" si="30">I43-C43</f>
        <v>300030.29941864079</v>
      </c>
      <c r="L43" s="266">
        <f t="shared" si="2"/>
        <v>8.3171970419795571E-2</v>
      </c>
    </row>
    <row r="44" spans="1:12" outlineLevel="2">
      <c r="A44" s="299" t="s">
        <v>38</v>
      </c>
      <c r="B44" s="298">
        <v>5</v>
      </c>
      <c r="C44" s="297">
        <v>3737552.9093964566</v>
      </c>
      <c r="D44" s="314">
        <v>142202</v>
      </c>
      <c r="E44" s="315">
        <f t="shared" si="25"/>
        <v>26.28</v>
      </c>
      <c r="F44" s="319">
        <f t="shared" si="26"/>
        <v>-4.3497654915207296E-2</v>
      </c>
      <c r="G44" s="317">
        <f t="shared" si="27"/>
        <v>3801427</v>
      </c>
      <c r="H44" s="318">
        <f t="shared" si="28"/>
        <v>165354</v>
      </c>
      <c r="I44" s="334">
        <f t="shared" si="29"/>
        <v>3966781</v>
      </c>
      <c r="J44" s="353">
        <f t="shared" si="0"/>
        <v>8.7526373574841315E-3</v>
      </c>
      <c r="K44" s="366">
        <f t="shared" si="30"/>
        <v>229228.09060354345</v>
      </c>
      <c r="L44" s="266">
        <f t="shared" si="2"/>
        <v>6.1331062371651993E-2</v>
      </c>
    </row>
    <row r="45" spans="1:12" outlineLevel="2">
      <c r="A45" s="299" t="s">
        <v>39</v>
      </c>
      <c r="B45" s="298">
        <v>5</v>
      </c>
      <c r="C45" s="297">
        <v>3487927.0325470357</v>
      </c>
      <c r="D45" s="314">
        <v>128656.5</v>
      </c>
      <c r="E45" s="315">
        <f t="shared" si="25"/>
        <v>27.11</v>
      </c>
      <c r="F45" s="319">
        <f t="shared" si="26"/>
        <v>-1.3288486482164075E-2</v>
      </c>
      <c r="G45" s="317">
        <f t="shared" si="27"/>
        <v>3547536</v>
      </c>
      <c r="H45" s="318">
        <f t="shared" si="28"/>
        <v>47142</v>
      </c>
      <c r="I45" s="334">
        <f t="shared" si="29"/>
        <v>3594678</v>
      </c>
      <c r="J45" s="353">
        <f t="shared" si="0"/>
        <v>7.9315981776978215E-3</v>
      </c>
      <c r="K45" s="366">
        <f t="shared" si="30"/>
        <v>106750.96745296428</v>
      </c>
      <c r="L45" s="266">
        <f t="shared" si="2"/>
        <v>3.0605848819896354E-2</v>
      </c>
    </row>
    <row r="46" spans="1:12" outlineLevel="2">
      <c r="A46" s="299" t="s">
        <v>40</v>
      </c>
      <c r="B46" s="298">
        <v>5</v>
      </c>
      <c r="C46" s="297">
        <v>3572364.8294009161</v>
      </c>
      <c r="D46" s="314">
        <v>104015</v>
      </c>
      <c r="E46" s="315">
        <f t="shared" si="25"/>
        <v>34.340000000000003</v>
      </c>
      <c r="F46" s="316">
        <f t="shared" si="26"/>
        <v>0.24985884818157467</v>
      </c>
      <c r="G46" s="317">
        <f t="shared" si="27"/>
        <v>3633416</v>
      </c>
      <c r="H46" s="318">
        <f t="shared" si="28"/>
        <v>-907842</v>
      </c>
      <c r="I46" s="334">
        <f t="shared" si="29"/>
        <v>2725574</v>
      </c>
      <c r="J46" s="353">
        <f t="shared" si="0"/>
        <v>6.013934425164247E-3</v>
      </c>
      <c r="K46" s="365">
        <f t="shared" si="30"/>
        <v>-846790.82940091612</v>
      </c>
      <c r="L46" s="362">
        <f t="shared" si="2"/>
        <v>-0.23703929185276482</v>
      </c>
    </row>
    <row r="47" spans="1:12" outlineLevel="2">
      <c r="A47" s="299" t="s">
        <v>41</v>
      </c>
      <c r="B47" s="298">
        <v>5</v>
      </c>
      <c r="C47" s="297">
        <v>3577729.3127536457</v>
      </c>
      <c r="D47" s="314">
        <v>121354.5</v>
      </c>
      <c r="E47" s="315">
        <f t="shared" si="25"/>
        <v>29.48</v>
      </c>
      <c r="F47" s="316">
        <f t="shared" si="26"/>
        <v>7.2971428200140354E-2</v>
      </c>
      <c r="G47" s="317">
        <f t="shared" si="27"/>
        <v>3638872</v>
      </c>
      <c r="H47" s="318">
        <f t="shared" si="28"/>
        <v>-265534</v>
      </c>
      <c r="I47" s="334">
        <f t="shared" si="29"/>
        <v>3373338</v>
      </c>
      <c r="J47" s="353">
        <f t="shared" si="0"/>
        <v>7.4432150900744978E-3</v>
      </c>
      <c r="K47" s="365">
        <f t="shared" si="30"/>
        <v>-204391.3127536457</v>
      </c>
      <c r="L47" s="362">
        <f t="shared" si="2"/>
        <v>-5.7128780543862133E-2</v>
      </c>
    </row>
    <row r="48" spans="1:12" outlineLevel="2">
      <c r="A48" s="299" t="s">
        <v>42</v>
      </c>
      <c r="B48" s="298">
        <v>5</v>
      </c>
      <c r="C48" s="297">
        <v>3716894.5437888196</v>
      </c>
      <c r="D48" s="314">
        <v>154122.5</v>
      </c>
      <c r="E48" s="315">
        <f t="shared" si="25"/>
        <v>24.12</v>
      </c>
      <c r="F48" s="319">
        <f t="shared" si="26"/>
        <v>-0.12211428601806695</v>
      </c>
      <c r="G48" s="317">
        <f t="shared" si="27"/>
        <v>3780416</v>
      </c>
      <c r="H48" s="318">
        <f t="shared" si="28"/>
        <v>461643</v>
      </c>
      <c r="I48" s="334">
        <f t="shared" si="29"/>
        <v>4242059</v>
      </c>
      <c r="J48" s="353">
        <f t="shared" si="0"/>
        <v>9.3600337593761247E-3</v>
      </c>
      <c r="K48" s="366">
        <f t="shared" si="30"/>
        <v>525164.45621118043</v>
      </c>
      <c r="L48" s="266">
        <f t="shared" si="2"/>
        <v>0.14129119081109404</v>
      </c>
    </row>
    <row r="49" spans="1:12" outlineLevel="2">
      <c r="A49" s="299" t="s">
        <v>43</v>
      </c>
      <c r="B49" s="298">
        <v>5</v>
      </c>
      <c r="C49" s="297">
        <v>3655584.574165097</v>
      </c>
      <c r="D49" s="314">
        <v>160469</v>
      </c>
      <c r="E49" s="315">
        <f t="shared" si="25"/>
        <v>22.78</v>
      </c>
      <c r="F49" s="319">
        <f t="shared" si="26"/>
        <v>-0.17088571457261881</v>
      </c>
      <c r="G49" s="317">
        <f t="shared" si="27"/>
        <v>3718058</v>
      </c>
      <c r="H49" s="318">
        <f t="shared" si="28"/>
        <v>635363</v>
      </c>
      <c r="I49" s="334">
        <f t="shared" si="29"/>
        <v>4353421</v>
      </c>
      <c r="J49" s="353">
        <f t="shared" si="0"/>
        <v>9.605752189862744E-3</v>
      </c>
      <c r="K49" s="366">
        <f t="shared" si="30"/>
        <v>697836.42583490303</v>
      </c>
      <c r="L49" s="266">
        <f t="shared" si="2"/>
        <v>0.19089598713340744</v>
      </c>
    </row>
    <row r="50" spans="1:12" outlineLevel="2">
      <c r="A50" s="299" t="s">
        <v>44</v>
      </c>
      <c r="B50" s="298">
        <v>5</v>
      </c>
      <c r="C50" s="297">
        <v>3243588.8158480064</v>
      </c>
      <c r="D50" s="314">
        <v>119938.5</v>
      </c>
      <c r="E50" s="315">
        <f t="shared" si="25"/>
        <v>27.04</v>
      </c>
      <c r="F50" s="319">
        <f t="shared" si="26"/>
        <v>-1.5836247675312332E-2</v>
      </c>
      <c r="G50" s="317">
        <f t="shared" si="27"/>
        <v>3299022</v>
      </c>
      <c r="H50" s="318">
        <f t="shared" si="28"/>
        <v>52245</v>
      </c>
      <c r="I50" s="334">
        <f t="shared" si="29"/>
        <v>3351267</v>
      </c>
      <c r="J50" s="353">
        <f t="shared" si="0"/>
        <v>7.3945157897811285E-3</v>
      </c>
      <c r="K50" s="366">
        <f t="shared" si="30"/>
        <v>107678.1841519936</v>
      </c>
      <c r="L50" s="266">
        <f t="shared" si="2"/>
        <v>3.3197236229784613E-2</v>
      </c>
    </row>
    <row r="51" spans="1:12" s="293" customFormat="1" outlineLevel="1">
      <c r="A51" s="302"/>
      <c r="B51" s="301" t="s">
        <v>223</v>
      </c>
      <c r="C51" s="300">
        <f t="shared" ref="C51" si="31">SUBTOTAL(9,C42:C50)</f>
        <v>34523249.367540948</v>
      </c>
      <c r="D51" s="320">
        <f>SUM(D42:D50)</f>
        <v>1256528.5</v>
      </c>
      <c r="E51" s="321">
        <f>C51/D51</f>
        <v>27.475102528546664</v>
      </c>
      <c r="F51" s="382">
        <f>D51/D79</f>
        <v>7.0824986409548582E-2</v>
      </c>
      <c r="G51" s="322"/>
      <c r="H51" s="322"/>
      <c r="I51" s="335">
        <f>SUM(I42:I50)</f>
        <v>34556428</v>
      </c>
      <c r="J51" s="353"/>
      <c r="K51" s="368">
        <f>SUM(K42:K50)</f>
        <v>33178.632459058892</v>
      </c>
      <c r="L51" s="266"/>
    </row>
    <row r="52" spans="1:12" outlineLevel="2">
      <c r="A52" s="299" t="s">
        <v>45</v>
      </c>
      <c r="B52" s="298">
        <v>6</v>
      </c>
      <c r="C52" s="297">
        <v>3941758.0786951818</v>
      </c>
      <c r="D52" s="314">
        <v>194563</v>
      </c>
      <c r="E52" s="315">
        <f t="shared" ref="E52:E64" si="32">ROUND((C52/D52),2)</f>
        <v>20.260000000000002</v>
      </c>
      <c r="F52" s="319">
        <f t="shared" ref="F52:F64" si="33">E52/$E$65-1</f>
        <v>-0.28695654972310802</v>
      </c>
      <c r="G52" s="317">
        <f t="shared" ref="G52:G64" si="34">(ROUND((C52*$F$1),0))</f>
        <v>4009122</v>
      </c>
      <c r="H52" s="318">
        <f t="shared" ref="H52:H64" si="35">ROUNDUP((-F52*G52),0)</f>
        <v>1150444</v>
      </c>
      <c r="I52" s="334">
        <f t="shared" ref="I52:I64" si="36">G52+H52</f>
        <v>5159566</v>
      </c>
      <c r="J52" s="353">
        <f t="shared" si="0"/>
        <v>1.1384497939262333E-2</v>
      </c>
      <c r="K52" s="366">
        <f>I52-C52</f>
        <v>1217807.9213048182</v>
      </c>
      <c r="L52" s="266">
        <f t="shared" si="2"/>
        <v>0.30895044723494103</v>
      </c>
    </row>
    <row r="53" spans="1:12" outlineLevel="2">
      <c r="A53" s="299" t="s">
        <v>46</v>
      </c>
      <c r="B53" s="298">
        <v>6</v>
      </c>
      <c r="C53" s="297">
        <v>11517991.535049893</v>
      </c>
      <c r="D53" s="314">
        <v>388680</v>
      </c>
      <c r="E53" s="315">
        <f t="shared" si="32"/>
        <v>29.63</v>
      </c>
      <c r="F53" s="316">
        <f t="shared" si="33"/>
        <v>4.2817247369413058E-2</v>
      </c>
      <c r="G53" s="317">
        <f t="shared" si="34"/>
        <v>11714833</v>
      </c>
      <c r="H53" s="318">
        <f t="shared" si="35"/>
        <v>-501597</v>
      </c>
      <c r="I53" s="334">
        <f t="shared" si="36"/>
        <v>11213236</v>
      </c>
      <c r="J53" s="353">
        <f t="shared" si="0"/>
        <v>2.4741821721916572E-2</v>
      </c>
      <c r="K53" s="365">
        <f t="shared" ref="K53:K64" si="37">I53-C53</f>
        <v>-304755.53504989296</v>
      </c>
      <c r="L53" s="362">
        <f t="shared" si="2"/>
        <v>-2.6459086562314688E-2</v>
      </c>
    </row>
    <row r="54" spans="1:12" outlineLevel="2">
      <c r="A54" s="299" t="s">
        <v>47</v>
      </c>
      <c r="B54" s="298">
        <v>6</v>
      </c>
      <c r="C54" s="297">
        <v>6549606.5919116838</v>
      </c>
      <c r="D54" s="314">
        <v>230847.5</v>
      </c>
      <c r="E54" s="315">
        <f t="shared" si="32"/>
        <v>28.37</v>
      </c>
      <c r="F54" s="319">
        <f t="shared" si="33"/>
        <v>-1.5280017593570783E-3</v>
      </c>
      <c r="G54" s="317">
        <f t="shared" si="34"/>
        <v>6661539</v>
      </c>
      <c r="H54" s="318">
        <f t="shared" si="35"/>
        <v>10179</v>
      </c>
      <c r="I54" s="334">
        <f t="shared" si="36"/>
        <v>6671718</v>
      </c>
      <c r="J54" s="353">
        <f t="shared" si="0"/>
        <v>1.4721036579886644E-2</v>
      </c>
      <c r="K54" s="366">
        <f>I54-C54</f>
        <v>122111.40808831621</v>
      </c>
      <c r="L54" s="266">
        <f t="shared" si="2"/>
        <v>1.8644082873483646E-2</v>
      </c>
    </row>
    <row r="55" spans="1:12" outlineLevel="2">
      <c r="A55" s="299" t="s">
        <v>48</v>
      </c>
      <c r="B55" s="298">
        <v>6</v>
      </c>
      <c r="C55" s="297">
        <v>7108406.4357385244</v>
      </c>
      <c r="D55" s="314">
        <v>246362.5</v>
      </c>
      <c r="E55" s="315">
        <f t="shared" si="32"/>
        <v>28.85</v>
      </c>
      <c r="F55" s="316">
        <f t="shared" si="33"/>
        <v>1.536542648017436E-2</v>
      </c>
      <c r="G55" s="317">
        <f t="shared" si="34"/>
        <v>7229889</v>
      </c>
      <c r="H55" s="318">
        <f t="shared" si="35"/>
        <v>-111091</v>
      </c>
      <c r="I55" s="334">
        <f t="shared" si="36"/>
        <v>7118798</v>
      </c>
      <c r="J55" s="353">
        <f t="shared" si="0"/>
        <v>1.5707511283124358E-2</v>
      </c>
      <c r="K55" s="419">
        <f t="shared" si="37"/>
        <v>10391.564261475578</v>
      </c>
      <c r="L55" s="420">
        <f t="shared" si="2"/>
        <v>1.461869739078299E-3</v>
      </c>
    </row>
    <row r="56" spans="1:12" outlineLevel="2">
      <c r="A56" s="299" t="s">
        <v>49</v>
      </c>
      <c r="B56" s="298">
        <v>6</v>
      </c>
      <c r="C56" s="297">
        <v>6312466.3796340935</v>
      </c>
      <c r="D56" s="314">
        <v>230984</v>
      </c>
      <c r="E56" s="315">
        <f t="shared" si="32"/>
        <v>27.33</v>
      </c>
      <c r="F56" s="319">
        <f t="shared" si="33"/>
        <v>-3.8130429611675454E-2</v>
      </c>
      <c r="G56" s="317">
        <f t="shared" si="34"/>
        <v>6420346</v>
      </c>
      <c r="H56" s="318">
        <f t="shared" si="35"/>
        <v>244811</v>
      </c>
      <c r="I56" s="334">
        <f t="shared" si="36"/>
        <v>6665157</v>
      </c>
      <c r="J56" s="353">
        <f t="shared" si="0"/>
        <v>1.4706559840761782E-2</v>
      </c>
      <c r="K56" s="366">
        <f t="shared" si="37"/>
        <v>352690.62036590651</v>
      </c>
      <c r="L56" s="266">
        <f t="shared" si="2"/>
        <v>5.5872079018716367E-2</v>
      </c>
    </row>
    <row r="57" spans="1:12" outlineLevel="2">
      <c r="A57" s="299" t="s">
        <v>50</v>
      </c>
      <c r="B57" s="298">
        <v>6</v>
      </c>
      <c r="C57" s="297">
        <v>6023069.4605719475</v>
      </c>
      <c r="D57" s="314">
        <v>205593</v>
      </c>
      <c r="E57" s="315">
        <f t="shared" si="32"/>
        <v>29.3</v>
      </c>
      <c r="F57" s="316">
        <f t="shared" si="33"/>
        <v>3.1203015454735139E-2</v>
      </c>
      <c r="G57" s="317">
        <f t="shared" si="34"/>
        <v>6126003</v>
      </c>
      <c r="H57" s="318">
        <f t="shared" si="35"/>
        <v>-191150</v>
      </c>
      <c r="I57" s="334">
        <f t="shared" si="36"/>
        <v>5934853</v>
      </c>
      <c r="J57" s="353">
        <f t="shared" si="0"/>
        <v>1.3095156016673664E-2</v>
      </c>
      <c r="K57" s="365">
        <f t="shared" si="37"/>
        <v>-88216.460571947508</v>
      </c>
      <c r="L57" s="362">
        <f t="shared" si="2"/>
        <v>-1.4646429225069989E-2</v>
      </c>
    </row>
    <row r="58" spans="1:12" outlineLevel="2">
      <c r="A58" s="299" t="s">
        <v>51</v>
      </c>
      <c r="B58" s="298">
        <v>6</v>
      </c>
      <c r="C58" s="297">
        <v>6050340.6865703063</v>
      </c>
      <c r="D58" s="314">
        <v>240170</v>
      </c>
      <c r="E58" s="315">
        <f t="shared" si="32"/>
        <v>25.19</v>
      </c>
      <c r="F58" s="319">
        <f t="shared" si="33"/>
        <v>-0.1134469638462533</v>
      </c>
      <c r="G58" s="317">
        <f t="shared" si="34"/>
        <v>6153741</v>
      </c>
      <c r="H58" s="318">
        <f t="shared" si="35"/>
        <v>698124</v>
      </c>
      <c r="I58" s="334">
        <f t="shared" si="36"/>
        <v>6851865</v>
      </c>
      <c r="J58" s="353">
        <f t="shared" si="0"/>
        <v>1.5118527987160877E-2</v>
      </c>
      <c r="K58" s="366">
        <f t="shared" si="37"/>
        <v>801524.31342969369</v>
      </c>
      <c r="L58" s="266">
        <f t="shared" si="2"/>
        <v>0.13247589763148451</v>
      </c>
    </row>
    <row r="59" spans="1:12" outlineLevel="2">
      <c r="A59" s="299" t="s">
        <v>52</v>
      </c>
      <c r="B59" s="298">
        <v>6</v>
      </c>
      <c r="C59" s="297">
        <v>6684669.8682746552</v>
      </c>
      <c r="D59" s="314">
        <v>239539.5</v>
      </c>
      <c r="E59" s="315">
        <f t="shared" si="32"/>
        <v>27.91</v>
      </c>
      <c r="F59" s="319">
        <f t="shared" si="33"/>
        <v>-1.7717537155574781E-2</v>
      </c>
      <c r="G59" s="317">
        <f t="shared" si="34"/>
        <v>6798910</v>
      </c>
      <c r="H59" s="318">
        <f t="shared" si="35"/>
        <v>120460</v>
      </c>
      <c r="I59" s="334">
        <f t="shared" si="36"/>
        <v>6919370</v>
      </c>
      <c r="J59" s="353">
        <f t="shared" si="0"/>
        <v>1.5267476664896544E-2</v>
      </c>
      <c r="K59" s="366">
        <f t="shared" si="37"/>
        <v>234700.13172534481</v>
      </c>
      <c r="L59" s="266">
        <f t="shared" si="2"/>
        <v>3.5110205343008509E-2</v>
      </c>
    </row>
    <row r="60" spans="1:12" outlineLevel="2">
      <c r="A60" s="299" t="s">
        <v>53</v>
      </c>
      <c r="B60" s="298">
        <v>6</v>
      </c>
      <c r="C60" s="297">
        <v>7898790.8338446869</v>
      </c>
      <c r="D60" s="314">
        <v>291815.5</v>
      </c>
      <c r="E60" s="315">
        <f t="shared" si="32"/>
        <v>27.07</v>
      </c>
      <c r="F60" s="319">
        <f t="shared" si="33"/>
        <v>-4.7281036574754909E-2</v>
      </c>
      <c r="G60" s="317">
        <f t="shared" si="34"/>
        <v>8033781</v>
      </c>
      <c r="H60" s="318">
        <f t="shared" si="35"/>
        <v>379846</v>
      </c>
      <c r="I60" s="334">
        <f t="shared" si="36"/>
        <v>8413627</v>
      </c>
      <c r="J60" s="353">
        <f t="shared" si="0"/>
        <v>1.8564530280884461E-2</v>
      </c>
      <c r="K60" s="366">
        <f t="shared" si="37"/>
        <v>514836.16615531314</v>
      </c>
      <c r="L60" s="266">
        <f t="shared" si="2"/>
        <v>6.517911120640725E-2</v>
      </c>
    </row>
    <row r="61" spans="1:12" outlineLevel="2">
      <c r="A61" s="299" t="s">
        <v>54</v>
      </c>
      <c r="B61" s="298">
        <v>6</v>
      </c>
      <c r="C61" s="297">
        <v>11837844.937983895</v>
      </c>
      <c r="D61" s="314">
        <v>333213</v>
      </c>
      <c r="E61" s="315">
        <f t="shared" si="32"/>
        <v>35.53</v>
      </c>
      <c r="F61" s="316">
        <f t="shared" si="33"/>
        <v>0.25046563614698769</v>
      </c>
      <c r="G61" s="317">
        <f t="shared" si="34"/>
        <v>12040153</v>
      </c>
      <c r="H61" s="318">
        <f t="shared" si="35"/>
        <v>-3015645</v>
      </c>
      <c r="I61" s="334">
        <f t="shared" si="36"/>
        <v>9024508</v>
      </c>
      <c r="J61" s="353">
        <f t="shared" si="0"/>
        <v>1.9912429209909599E-2</v>
      </c>
      <c r="K61" s="365">
        <f t="shared" si="37"/>
        <v>-2813336.9379838947</v>
      </c>
      <c r="L61" s="362">
        <f t="shared" si="2"/>
        <v>-0.23765617413662748</v>
      </c>
    </row>
    <row r="62" spans="1:12" outlineLevel="2">
      <c r="A62" s="299" t="s">
        <v>55</v>
      </c>
      <c r="B62" s="298">
        <v>6</v>
      </c>
      <c r="C62" s="297">
        <v>6804945.6890191836</v>
      </c>
      <c r="D62" s="314">
        <v>230593.5</v>
      </c>
      <c r="E62" s="315">
        <f t="shared" si="32"/>
        <v>29.51</v>
      </c>
      <c r="F62" s="316">
        <f t="shared" si="33"/>
        <v>3.8593890309530199E-2</v>
      </c>
      <c r="G62" s="317">
        <f t="shared" si="34"/>
        <v>6921242</v>
      </c>
      <c r="H62" s="318">
        <f t="shared" si="35"/>
        <v>-267118</v>
      </c>
      <c r="I62" s="334">
        <f t="shared" si="36"/>
        <v>6654124</v>
      </c>
      <c r="J62" s="353">
        <f t="shared" si="0"/>
        <v>1.4682215706824184E-2</v>
      </c>
      <c r="K62" s="365">
        <f t="shared" si="37"/>
        <v>-150821.68901918363</v>
      </c>
      <c r="L62" s="362">
        <f t="shared" si="2"/>
        <v>-2.2163540447142346E-2</v>
      </c>
    </row>
    <row r="63" spans="1:12" outlineLevel="2">
      <c r="A63" s="299" t="s">
        <v>56</v>
      </c>
      <c r="B63" s="298">
        <v>6</v>
      </c>
      <c r="C63" s="297">
        <v>8275600.5546593918</v>
      </c>
      <c r="D63" s="314">
        <v>304616</v>
      </c>
      <c r="E63" s="315">
        <f t="shared" si="32"/>
        <v>27.17</v>
      </c>
      <c r="F63" s="319">
        <f t="shared" si="33"/>
        <v>-4.3761572358185785E-2</v>
      </c>
      <c r="G63" s="317">
        <f t="shared" si="34"/>
        <v>8417030</v>
      </c>
      <c r="H63" s="318">
        <f t="shared" si="35"/>
        <v>368343</v>
      </c>
      <c r="I63" s="334">
        <f t="shared" si="36"/>
        <v>8785373</v>
      </c>
      <c r="J63" s="353">
        <f t="shared" si="0"/>
        <v>1.9384781746013314E-2</v>
      </c>
      <c r="K63" s="366">
        <f t="shared" si="37"/>
        <v>509772.44534060825</v>
      </c>
      <c r="L63" s="266">
        <f t="shared" si="2"/>
        <v>6.1599450332772802E-2</v>
      </c>
    </row>
    <row r="64" spans="1:12" outlineLevel="2">
      <c r="A64" s="299" t="s">
        <v>57</v>
      </c>
      <c r="B64" s="298">
        <v>6</v>
      </c>
      <c r="C64" s="297">
        <v>9024813.7813020777</v>
      </c>
      <c r="D64" s="314">
        <v>313164</v>
      </c>
      <c r="E64" s="315">
        <f t="shared" si="32"/>
        <v>28.82</v>
      </c>
      <c r="F64" s="316">
        <f t="shared" si="33"/>
        <v>1.4309587215203701E-2</v>
      </c>
      <c r="G64" s="317">
        <f t="shared" si="34"/>
        <v>9179047</v>
      </c>
      <c r="H64" s="318">
        <f t="shared" si="35"/>
        <v>-131349</v>
      </c>
      <c r="I64" s="334">
        <f t="shared" si="36"/>
        <v>9047698</v>
      </c>
      <c r="J64" s="353">
        <f t="shared" si="0"/>
        <v>1.9963597565389787E-2</v>
      </c>
      <c r="K64" s="419">
        <f t="shared" si="37"/>
        <v>22884.218697922304</v>
      </c>
      <c r="L64" s="420">
        <f t="shared" si="2"/>
        <v>2.5356998218993309E-3</v>
      </c>
    </row>
    <row r="65" spans="1:12" s="293" customFormat="1" outlineLevel="1">
      <c r="A65" s="302"/>
      <c r="B65" s="301" t="s">
        <v>222</v>
      </c>
      <c r="C65" s="300">
        <f t="shared" ref="C65" si="38">SUBTOTAL(9,C52:C64)</f>
        <v>98030304.833255529</v>
      </c>
      <c r="D65" s="320">
        <f>SUM(D52:D64)</f>
        <v>3450141.5</v>
      </c>
      <c r="E65" s="321">
        <f>C65/D65</f>
        <v>28.413415749254206</v>
      </c>
      <c r="F65" s="382">
        <f>D65/D79</f>
        <v>0.19446930558958236</v>
      </c>
      <c r="G65" s="322"/>
      <c r="H65" s="322"/>
      <c r="I65" s="335">
        <f>SUM(I52:I64)</f>
        <v>98459893</v>
      </c>
      <c r="J65" s="353"/>
      <c r="K65" s="368">
        <f>SUM(K52:K64)</f>
        <v>429588.16674447991</v>
      </c>
      <c r="L65" s="266"/>
    </row>
    <row r="66" spans="1:12" outlineLevel="2">
      <c r="A66" s="299" t="s">
        <v>58</v>
      </c>
      <c r="B66" s="298">
        <v>7</v>
      </c>
      <c r="C66" s="297">
        <v>19939648.159827851</v>
      </c>
      <c r="D66" s="314">
        <v>1012593</v>
      </c>
      <c r="E66" s="315">
        <f>ROUND((C66/D66),2)</f>
        <v>19.690000000000001</v>
      </c>
      <c r="F66" s="319">
        <f>E66/$E$71-1</f>
        <v>-0.17407004654000091</v>
      </c>
      <c r="G66" s="317">
        <f>(ROUND((C66*$F$1),0))</f>
        <v>20280416</v>
      </c>
      <c r="H66" s="318">
        <f>ROUNDUP((-F66*G66),0)</f>
        <v>3530213</v>
      </c>
      <c r="I66" s="334">
        <f>G66+H66</f>
        <v>23810629</v>
      </c>
      <c r="J66" s="353">
        <f t="shared" si="0"/>
        <v>5.2537763211680966E-2</v>
      </c>
      <c r="K66" s="366">
        <f>I66-C66</f>
        <v>3870980.8401721492</v>
      </c>
      <c r="L66" s="266">
        <f t="shared" si="2"/>
        <v>0.1941348618162162</v>
      </c>
    </row>
    <row r="67" spans="1:12" outlineLevel="2">
      <c r="A67" s="299" t="s">
        <v>59</v>
      </c>
      <c r="B67" s="298">
        <v>7</v>
      </c>
      <c r="C67" s="297">
        <v>11903367.042925278</v>
      </c>
      <c r="D67" s="314">
        <v>483019.5</v>
      </c>
      <c r="E67" s="315">
        <f>ROUND((C67/D67),2)</f>
        <v>24.64</v>
      </c>
      <c r="F67" s="316">
        <f>E67/$E$71-1</f>
        <v>3.3565975279551852E-2</v>
      </c>
      <c r="G67" s="317">
        <f>(ROUND((C67*$F$1),0))</f>
        <v>12106795</v>
      </c>
      <c r="H67" s="318">
        <f>ROUNDUP((-F67*G67),0)</f>
        <v>-406377</v>
      </c>
      <c r="I67" s="334">
        <f>G67+H67</f>
        <v>11700418</v>
      </c>
      <c r="J67" s="353">
        <f t="shared" si="0"/>
        <v>2.5816780831858319E-2</v>
      </c>
      <c r="K67" s="365">
        <f t="shared" ref="K67:K70" si="39">I67-C67</f>
        <v>-202949.04292527772</v>
      </c>
      <c r="L67" s="362">
        <f t="shared" si="2"/>
        <v>-1.7049717293721504E-2</v>
      </c>
    </row>
    <row r="68" spans="1:12" outlineLevel="2">
      <c r="A68" s="299" t="s">
        <v>60</v>
      </c>
      <c r="B68" s="298">
        <v>7</v>
      </c>
      <c r="C68" s="297">
        <v>23037307.259508505</v>
      </c>
      <c r="D68" s="314">
        <v>725922</v>
      </c>
      <c r="E68" s="315">
        <f>ROUND((C68/D68),2)</f>
        <v>31.74</v>
      </c>
      <c r="F68" s="316">
        <f>E68/$E$71-1</f>
        <v>0.33138733990961744</v>
      </c>
      <c r="G68" s="317">
        <f>(ROUND((C68*$F$1),0))</f>
        <v>23431014</v>
      </c>
      <c r="H68" s="318">
        <f>ROUNDUP((-F68*G68),0)</f>
        <v>-7764742</v>
      </c>
      <c r="I68" s="334">
        <f>G68+H68</f>
        <v>15666272</v>
      </c>
      <c r="J68" s="353">
        <f t="shared" ref="J68:J76" si="40">I68/$I$82</f>
        <v>3.4567372779013422E-2</v>
      </c>
      <c r="K68" s="365">
        <f t="shared" si="39"/>
        <v>-7371035.2595085055</v>
      </c>
      <c r="L68" s="362">
        <f t="shared" ref="L68:L76" si="41">K68/C68</f>
        <v>-0.31996079995270094</v>
      </c>
    </row>
    <row r="69" spans="1:12" outlineLevel="2">
      <c r="A69" s="299" t="s">
        <v>61</v>
      </c>
      <c r="B69" s="298">
        <v>7</v>
      </c>
      <c r="C69" s="297">
        <v>12626653.44961052</v>
      </c>
      <c r="D69" s="314">
        <v>571055</v>
      </c>
      <c r="E69" s="315">
        <f>ROUND((C69/D69),2)</f>
        <v>22.11</v>
      </c>
      <c r="F69" s="319">
        <f>E69/$E$71-1</f>
        <v>-7.2559102539330622E-2</v>
      </c>
      <c r="G69" s="317">
        <f>(ROUND((C69*$F$1),0))</f>
        <v>12842442</v>
      </c>
      <c r="H69" s="318">
        <f>ROUNDUP((-F69*G69),0)</f>
        <v>931837</v>
      </c>
      <c r="I69" s="334">
        <f>G69+H69</f>
        <v>13774279</v>
      </c>
      <c r="J69" s="353">
        <f t="shared" si="40"/>
        <v>3.0392721188240334E-2</v>
      </c>
      <c r="K69" s="366">
        <f t="shared" si="39"/>
        <v>1147625.5503894798</v>
      </c>
      <c r="L69" s="266">
        <f t="shared" si="41"/>
        <v>9.0889130280587482E-2</v>
      </c>
    </row>
    <row r="70" spans="1:12" outlineLevel="2">
      <c r="A70" s="299" t="s">
        <v>62</v>
      </c>
      <c r="B70" s="298">
        <v>7</v>
      </c>
      <c r="C70" s="297">
        <v>11847283.072723754</v>
      </c>
      <c r="D70" s="314">
        <v>536057.5</v>
      </c>
      <c r="E70" s="315">
        <f>ROUND((C70/D70),2)</f>
        <v>22.1</v>
      </c>
      <c r="F70" s="319">
        <f>E70/$E$71-1</f>
        <v>-7.2978569250077174E-2</v>
      </c>
      <c r="G70" s="317">
        <f>(ROUND((C70*$F$1),0))</f>
        <v>12049752</v>
      </c>
      <c r="H70" s="318">
        <f>ROUNDUP((-F70*G70),0)</f>
        <v>879374</v>
      </c>
      <c r="I70" s="334">
        <f>G70+H70</f>
        <v>12929126</v>
      </c>
      <c r="J70" s="353">
        <f t="shared" si="40"/>
        <v>2.8527904925232671E-2</v>
      </c>
      <c r="K70" s="366">
        <f t="shared" si="39"/>
        <v>1081842.9272762462</v>
      </c>
      <c r="L70" s="266">
        <f t="shared" si="41"/>
        <v>9.1315698344964488E-2</v>
      </c>
    </row>
    <row r="71" spans="1:12" s="293" customFormat="1" outlineLevel="1">
      <c r="A71" s="302"/>
      <c r="B71" s="301" t="s">
        <v>221</v>
      </c>
      <c r="C71" s="300">
        <f t="shared" ref="C71" si="42">SUBTOTAL(9,C66:C70)</f>
        <v>79354258.984595895</v>
      </c>
      <c r="D71" s="320">
        <f>SUM(D66:D70)</f>
        <v>3328647</v>
      </c>
      <c r="E71" s="321">
        <f>C71/D71</f>
        <v>23.839794061850323</v>
      </c>
      <c r="F71" s="382">
        <f>D71/D79</f>
        <v>0.18762119485326809</v>
      </c>
      <c r="G71" s="322"/>
      <c r="H71" s="322"/>
      <c r="I71" s="335">
        <f>SUM(I66:I70)</f>
        <v>77880724</v>
      </c>
      <c r="J71" s="353"/>
      <c r="K71" s="367">
        <f>SUM(K66:K70)</f>
        <v>-1473534.9845959079</v>
      </c>
      <c r="L71" s="266"/>
    </row>
    <row r="72" spans="1:12" outlineLevel="2">
      <c r="A72" s="299" t="s">
        <v>63</v>
      </c>
      <c r="B72" s="298">
        <v>8</v>
      </c>
      <c r="C72" s="297">
        <v>39664380.37862049</v>
      </c>
      <c r="D72" s="314">
        <v>1513921.5</v>
      </c>
      <c r="E72" s="315">
        <f>ROUND((C72/D72),2)</f>
        <v>26.2</v>
      </c>
      <c r="F72" s="316">
        <f>E72/$E$77-1</f>
        <v>0.1030228536428377</v>
      </c>
      <c r="G72" s="317">
        <f>(ROUND((C72*$F$1),0))</f>
        <v>40342242</v>
      </c>
      <c r="H72" s="318">
        <f>ROUNDUP((-F72*G72),0)</f>
        <v>-4156173</v>
      </c>
      <c r="I72" s="334">
        <f>G72+H72</f>
        <v>36186069</v>
      </c>
      <c r="J72" s="353">
        <f t="shared" si="40"/>
        <v>7.9843969039354201E-2</v>
      </c>
      <c r="K72" s="365">
        <f>I72-C72</f>
        <v>-3478311.3786204904</v>
      </c>
      <c r="L72" s="362">
        <f t="shared" si="41"/>
        <v>-8.7693576589824559E-2</v>
      </c>
    </row>
    <row r="73" spans="1:12" outlineLevel="2">
      <c r="A73" s="299" t="s">
        <v>64</v>
      </c>
      <c r="B73" s="298">
        <v>8</v>
      </c>
      <c r="C73" s="297">
        <v>30825590.949284896</v>
      </c>
      <c r="D73" s="314">
        <v>1420920</v>
      </c>
      <c r="E73" s="315">
        <f>ROUND((C73/D73),2)</f>
        <v>21.69</v>
      </c>
      <c r="F73" s="319">
        <f>E73/$E$77-1</f>
        <v>-8.6848637575833942E-2</v>
      </c>
      <c r="G73" s="317">
        <f>(ROUND((C73*$F$1),0))</f>
        <v>31352399</v>
      </c>
      <c r="H73" s="318">
        <f>ROUNDUP((-F73*G73),0)</f>
        <v>2722914</v>
      </c>
      <c r="I73" s="334">
        <f>G73+H73</f>
        <v>34075313</v>
      </c>
      <c r="J73" s="353">
        <f t="shared" si="40"/>
        <v>7.5186620469283455E-2</v>
      </c>
      <c r="K73" s="366">
        <f t="shared" ref="K73:K76" si="43">I73-C73</f>
        <v>3249722.0507151037</v>
      </c>
      <c r="L73" s="266">
        <f t="shared" si="41"/>
        <v>0.10542286297322362</v>
      </c>
    </row>
    <row r="74" spans="1:12" outlineLevel="2">
      <c r="A74" s="299" t="s">
        <v>65</v>
      </c>
      <c r="B74" s="298">
        <v>8</v>
      </c>
      <c r="C74" s="297">
        <v>71990695.401439622</v>
      </c>
      <c r="D74" s="314">
        <v>3160436</v>
      </c>
      <c r="E74" s="315">
        <f>ROUND((C74/D74),2)</f>
        <v>22.78</v>
      </c>
      <c r="F74" s="319">
        <f>E74/$E$77-1</f>
        <v>-4.0959518855578469E-2</v>
      </c>
      <c r="G74" s="317">
        <f>(ROUND((C74*$F$1),0))</f>
        <v>73221012</v>
      </c>
      <c r="H74" s="318">
        <f>ROUNDUP((-F74*G74),0)</f>
        <v>2999098</v>
      </c>
      <c r="I74" s="334">
        <f>G74+H74</f>
        <v>76220110</v>
      </c>
      <c r="J74" s="353">
        <f t="shared" si="40"/>
        <v>0.16817842532208102</v>
      </c>
      <c r="K74" s="366">
        <f t="shared" si="43"/>
        <v>4229414.598560378</v>
      </c>
      <c r="L74" s="266">
        <f t="shared" si="41"/>
        <v>5.8749461648842483E-2</v>
      </c>
    </row>
    <row r="75" spans="1:12" outlineLevel="2">
      <c r="A75" s="299" t="s">
        <v>66</v>
      </c>
      <c r="B75" s="298">
        <v>8</v>
      </c>
      <c r="C75" s="297">
        <v>29521040.987910237</v>
      </c>
      <c r="D75" s="314">
        <v>1357461</v>
      </c>
      <c r="E75" s="315">
        <f>ROUND((C75/D75),2)</f>
        <v>21.75</v>
      </c>
      <c r="F75" s="319">
        <f>E75/$E$77-1</f>
        <v>-8.4322631040774088E-2</v>
      </c>
      <c r="G75" s="317">
        <f>(ROUND((C75*$F$1),0))</f>
        <v>30025554</v>
      </c>
      <c r="H75" s="318">
        <f>ROUNDUP((-F75*G75),0)</f>
        <v>2531834</v>
      </c>
      <c r="I75" s="334">
        <f>G75+H75</f>
        <v>32557388</v>
      </c>
      <c r="J75" s="353">
        <f t="shared" si="40"/>
        <v>7.183734379863814E-2</v>
      </c>
      <c r="K75" s="366">
        <f t="shared" si="43"/>
        <v>3036347.0120897628</v>
      </c>
      <c r="L75" s="266">
        <f t="shared" si="41"/>
        <v>0.10285365659473997</v>
      </c>
    </row>
    <row r="76" spans="1:12" outlineLevel="2">
      <c r="A76" s="299" t="s">
        <v>67</v>
      </c>
      <c r="B76" s="298">
        <v>8</v>
      </c>
      <c r="C76" s="297">
        <v>30780285.476537708</v>
      </c>
      <c r="D76" s="314">
        <v>1084405.5</v>
      </c>
      <c r="E76" s="315">
        <f>ROUND((C76/D76),2)</f>
        <v>28.38</v>
      </c>
      <c r="F76" s="316">
        <f>E76/$E$77-1</f>
        <v>0.19480109108334864</v>
      </c>
      <c r="G76" s="317">
        <f>(ROUND((C76*$F$1),0))</f>
        <v>31306319</v>
      </c>
      <c r="H76" s="318">
        <f>ROUNDUP((-F76*G76),0)</f>
        <v>-6098506</v>
      </c>
      <c r="I76" s="334">
        <f>G76+H76</f>
        <v>25207813</v>
      </c>
      <c r="J76" s="353">
        <f t="shared" si="40"/>
        <v>5.5620626841833255E-2</v>
      </c>
      <c r="K76" s="365">
        <f t="shared" si="43"/>
        <v>-5572472.4765377082</v>
      </c>
      <c r="L76" s="362">
        <f t="shared" si="41"/>
        <v>-0.18104031168864007</v>
      </c>
    </row>
    <row r="77" spans="1:12" s="293" customFormat="1" ht="14.25" outlineLevel="1" thickBot="1">
      <c r="A77" s="296"/>
      <c r="B77" s="295" t="s">
        <v>220</v>
      </c>
      <c r="C77" s="294">
        <f t="shared" ref="C77" si="44">SUBTOTAL(9,C72:C76)</f>
        <v>202781993.19379297</v>
      </c>
      <c r="D77" s="323">
        <f>SUM(D72:D76)</f>
        <v>8537144</v>
      </c>
      <c r="E77" s="324">
        <f>C77/D77</f>
        <v>23.752907669566422</v>
      </c>
      <c r="F77" s="381">
        <f>D77/D79</f>
        <v>0.48120126823733739</v>
      </c>
      <c r="G77" s="325"/>
      <c r="H77" s="325"/>
      <c r="I77" s="336">
        <f>SUM(I72:I76)</f>
        <v>204246693</v>
      </c>
      <c r="J77" s="354"/>
      <c r="K77" s="369">
        <f>SUM(K72:K76)</f>
        <v>1464699.8062070459</v>
      </c>
      <c r="L77" s="370"/>
    </row>
    <row r="78" spans="1:12" ht="14.25" outlineLevel="1" thickBot="1">
      <c r="A78" s="292"/>
      <c r="B78" s="285"/>
      <c r="C78" s="285"/>
      <c r="D78" s="326"/>
      <c r="E78" s="327"/>
      <c r="F78" s="328"/>
      <c r="G78" s="327"/>
      <c r="H78" s="327"/>
      <c r="I78" s="291"/>
      <c r="K78" s="290"/>
    </row>
    <row r="79" spans="1:12" ht="14.25" thickBot="1">
      <c r="A79" s="289"/>
      <c r="B79" s="288" t="s">
        <v>219</v>
      </c>
      <c r="C79" s="287">
        <f t="shared" ref="C79" si="45">SUBTOTAL(9,C3:C76)</f>
        <v>453209796.99999994</v>
      </c>
      <c r="D79" s="329">
        <f>SUM(D77,D71,D65,D51,D41,D31,D19,D7)</f>
        <v>17741316.5</v>
      </c>
      <c r="E79" s="330">
        <f>C79/D79</f>
        <v>25.545443428620416</v>
      </c>
      <c r="F79" s="331"/>
      <c r="G79" s="332"/>
      <c r="H79" s="332"/>
      <c r="I79" s="350">
        <f>SUM(I77,I71,I65,I51,I41,I31,I19,I7)</f>
        <v>453209797</v>
      </c>
      <c r="J79" s="349">
        <f>SUM(J3:J77)</f>
        <v>1.0000000000000002</v>
      </c>
      <c r="K79" s="350">
        <f>SUM(K7,K19,K31,K41,K51,K65,K71,K77)</f>
        <v>4.1909515857696533E-9</v>
      </c>
    </row>
    <row r="80" spans="1:12">
      <c r="B80" s="285"/>
      <c r="C80" s="285"/>
      <c r="D80" s="411" t="s">
        <v>179</v>
      </c>
      <c r="E80" s="283"/>
      <c r="F80" s="103"/>
      <c r="G80" s="282"/>
      <c r="H80" s="281"/>
      <c r="I80" s="281"/>
      <c r="K80" s="286"/>
    </row>
    <row r="81" spans="2:12" ht="14.25" thickBot="1">
      <c r="B81" s="285"/>
      <c r="C81" s="285"/>
      <c r="D81" s="284"/>
      <c r="E81" s="283"/>
      <c r="F81" s="103"/>
      <c r="G81" s="282"/>
      <c r="H81" s="281"/>
      <c r="I81" s="281"/>
      <c r="K81" s="355">
        <v>41</v>
      </c>
    </row>
    <row r="82" spans="2:12" ht="15" customHeight="1">
      <c r="D82" s="279"/>
      <c r="E82" s="279"/>
      <c r="F82" s="99"/>
      <c r="G82" s="424" t="s">
        <v>218</v>
      </c>
      <c r="H82" s="425"/>
      <c r="I82" s="280">
        <v>453209797</v>
      </c>
      <c r="K82" s="37">
        <v>26</v>
      </c>
    </row>
    <row r="83" spans="2:12" s="6" customFormat="1" ht="15" customHeight="1" thickBot="1">
      <c r="B83" s="104"/>
      <c r="C83" s="104"/>
      <c r="F83" s="106"/>
      <c r="G83" s="426" t="s">
        <v>217</v>
      </c>
      <c r="H83" s="427"/>
      <c r="I83" s="278">
        <f>I82-I79</f>
        <v>0</v>
      </c>
      <c r="L83" s="3"/>
    </row>
    <row r="84" spans="2:12" s="6" customFormat="1">
      <c r="B84" s="104"/>
      <c r="C84" s="104"/>
      <c r="F84" s="106"/>
      <c r="L84" s="3"/>
    </row>
    <row r="85" spans="2:12" s="6" customFormat="1">
      <c r="B85" s="104"/>
      <c r="C85" s="104"/>
      <c r="F85" s="106"/>
      <c r="L85" s="3"/>
    </row>
    <row r="86" spans="2:12" s="6" customFormat="1">
      <c r="B86" s="104"/>
      <c r="C86" s="104"/>
      <c r="F86" s="106"/>
      <c r="G86" s="277"/>
      <c r="I86" s="5"/>
      <c r="L86" s="3"/>
    </row>
    <row r="87" spans="2:12" s="6" customFormat="1">
      <c r="B87" s="104"/>
      <c r="C87" s="104"/>
      <c r="F87" s="106"/>
      <c r="L87" s="3"/>
    </row>
    <row r="88" spans="2:12" s="6" customFormat="1">
      <c r="B88" s="104"/>
      <c r="C88" s="104"/>
      <c r="F88" s="106"/>
      <c r="L88" s="3"/>
    </row>
    <row r="89" spans="2:12" s="6" customFormat="1">
      <c r="B89" s="104"/>
      <c r="C89" s="104"/>
      <c r="F89" s="106"/>
      <c r="L89" s="3"/>
    </row>
    <row r="90" spans="2:12" s="6" customFormat="1">
      <c r="B90" s="104"/>
      <c r="C90" s="104"/>
      <c r="F90" s="106"/>
      <c r="L90" s="3"/>
    </row>
    <row r="91" spans="2:12" s="6" customFormat="1">
      <c r="B91" s="104"/>
      <c r="C91" s="104"/>
      <c r="F91" s="106"/>
      <c r="L91" s="3"/>
    </row>
    <row r="92" spans="2:12" s="6" customFormat="1">
      <c r="B92" s="104"/>
      <c r="C92" s="104"/>
      <c r="F92" s="106"/>
      <c r="L92" s="3"/>
    </row>
    <row r="93" spans="2:12" s="6" customFormat="1">
      <c r="B93" s="104"/>
      <c r="C93" s="104"/>
      <c r="F93" s="106"/>
      <c r="L93" s="3"/>
    </row>
    <row r="94" spans="2:12" s="6" customFormat="1">
      <c r="B94" s="104"/>
      <c r="C94" s="104"/>
      <c r="F94" s="106"/>
      <c r="L94" s="3"/>
    </row>
  </sheetData>
  <mergeCells count="2">
    <mergeCell ref="G82:H82"/>
    <mergeCell ref="G83:H83"/>
  </mergeCells>
  <printOptions horizontalCentered="1"/>
  <pageMargins left="0.45" right="0.45" top="0.75" bottom="0.6" header="0.3" footer="0.3"/>
  <pageSetup scale="84" fitToHeight="0" orientation="landscape" horizontalDpi="1200" verticalDpi="1200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474F-DC7A-43C4-80B0-3D5CBDB73EEE}">
  <sheetPr>
    <tabColor rgb="FF0070C0"/>
    <pageSetUpPr fitToPage="1"/>
  </sheetPr>
  <dimension ref="A1:L80"/>
  <sheetViews>
    <sheetView zoomScale="110" zoomScaleNormal="110" workbookViewId="0">
      <pane xSplit="1" ySplit="1" topLeftCell="E53" activePane="bottomRight" state="frozen"/>
      <selection pane="topRight" activeCell="B1" sqref="B1"/>
      <selection pane="bottomLeft" activeCell="A2" sqref="A2"/>
      <selection pane="bottomRight" activeCell="G72" sqref="G72"/>
    </sheetView>
  </sheetViews>
  <sheetFormatPr defaultColWidth="9.140625" defaultRowHeight="15.75"/>
  <cols>
    <col min="1" max="1" width="13.85546875" style="115" customWidth="1"/>
    <col min="2" max="2" width="20.5703125" style="115" customWidth="1"/>
    <col min="3" max="3" width="18.5703125" style="115" customWidth="1"/>
    <col min="4" max="4" width="19.7109375" style="115" customWidth="1"/>
    <col min="5" max="5" width="18.5703125" style="115" bestFit="1" customWidth="1"/>
    <col min="6" max="6" width="19.85546875" style="115" customWidth="1"/>
    <col min="7" max="7" width="18.7109375" style="121" customWidth="1"/>
    <col min="8" max="8" width="20.140625" style="115" customWidth="1"/>
    <col min="9" max="9" width="20" style="115" customWidth="1"/>
    <col min="10" max="10" width="20.5703125" style="115" customWidth="1"/>
    <col min="11" max="11" width="19" style="115" customWidth="1"/>
    <col min="12" max="12" width="14.85546875" style="115" customWidth="1"/>
    <col min="13" max="13" width="4" style="115" customWidth="1"/>
    <col min="14" max="16384" width="9.140625" style="115"/>
  </cols>
  <sheetData>
    <row r="1" spans="1:12" s="113" customFormat="1" ht="63">
      <c r="A1" s="108" t="s">
        <v>0</v>
      </c>
      <c r="B1" s="109" t="s">
        <v>202</v>
      </c>
      <c r="C1" s="109" t="s">
        <v>203</v>
      </c>
      <c r="D1" s="110" t="s">
        <v>204</v>
      </c>
      <c r="E1" s="109" t="s">
        <v>205</v>
      </c>
      <c r="F1" s="109" t="s">
        <v>96</v>
      </c>
      <c r="G1" s="203" t="s">
        <v>206</v>
      </c>
      <c r="H1" s="111" t="s">
        <v>207</v>
      </c>
      <c r="I1" s="111" t="s">
        <v>97</v>
      </c>
      <c r="J1" s="111" t="s">
        <v>98</v>
      </c>
      <c r="K1" s="112" t="s">
        <v>208</v>
      </c>
      <c r="L1" s="112" t="s">
        <v>99</v>
      </c>
    </row>
    <row r="2" spans="1:12">
      <c r="A2" s="204" t="s">
        <v>36</v>
      </c>
      <c r="B2" s="205">
        <v>5812319</v>
      </c>
      <c r="C2" s="206">
        <v>1902002.75</v>
      </c>
      <c r="D2" s="114">
        <v>3992310.81</v>
      </c>
      <c r="E2" s="114">
        <v>156809</v>
      </c>
      <c r="F2" s="114">
        <f>SUM(C2:E2)</f>
        <v>6051122.5600000005</v>
      </c>
      <c r="G2" s="114">
        <v>0</v>
      </c>
      <c r="H2" s="114">
        <v>5630844.9299999997</v>
      </c>
      <c r="I2" s="114">
        <f>H2-B2</f>
        <v>-181474.0700000003</v>
      </c>
      <c r="J2" s="114">
        <f t="shared" ref="J2:J65" si="0">SUM(G2:H2)</f>
        <v>5630844.9299999997</v>
      </c>
      <c r="K2" s="114">
        <f t="shared" ref="K2:K66" si="1">F2-J2</f>
        <v>420277.63000000082</v>
      </c>
      <c r="L2" s="207" t="str">
        <f>_xlfn.IFS(K2&gt;0,"Due To TF",K2&lt;0,"Due From TF")</f>
        <v>Due To TF</v>
      </c>
    </row>
    <row r="3" spans="1:12">
      <c r="A3" s="204" t="s">
        <v>5</v>
      </c>
      <c r="B3" s="205">
        <v>707152</v>
      </c>
      <c r="C3" s="206">
        <v>245997.1999999999</v>
      </c>
      <c r="D3" s="114">
        <v>428191.13999999996</v>
      </c>
      <c r="E3" s="114">
        <v>19079</v>
      </c>
      <c r="F3" s="114">
        <f t="shared" ref="F3:F33" si="2">SUM(C3:E3)</f>
        <v>693267.33999999985</v>
      </c>
      <c r="G3" s="114">
        <v>0</v>
      </c>
      <c r="H3" s="114">
        <v>668474.04999999993</v>
      </c>
      <c r="I3" s="114">
        <f t="shared" ref="I3:I66" si="3">H3-B3</f>
        <v>-38677.95000000007</v>
      </c>
      <c r="J3" s="114">
        <f t="shared" si="0"/>
        <v>668474.04999999993</v>
      </c>
      <c r="K3" s="114">
        <f t="shared" si="1"/>
        <v>24793.289999999921</v>
      </c>
      <c r="L3" s="207" t="str">
        <f t="shared" ref="L3:L66" si="4">_xlfn.IFS(K3&gt;0,"Due To TF",K3&lt;0,"Due From TF")</f>
        <v>Due To TF</v>
      </c>
    </row>
    <row r="4" spans="1:12">
      <c r="A4" s="208" t="s">
        <v>45</v>
      </c>
      <c r="B4" s="209">
        <v>3866025</v>
      </c>
      <c r="C4" s="210">
        <v>0</v>
      </c>
      <c r="D4" s="211">
        <v>4439134.45</v>
      </c>
      <c r="E4" s="211">
        <v>104300</v>
      </c>
      <c r="F4" s="211">
        <f t="shared" si="2"/>
        <v>4543434.45</v>
      </c>
      <c r="G4" s="114">
        <v>637763.44999999995</v>
      </c>
      <c r="H4" s="211">
        <v>3866024.9999999995</v>
      </c>
      <c r="I4" s="211">
        <f t="shared" si="3"/>
        <v>0</v>
      </c>
      <c r="J4" s="211">
        <f>SUM(G4:H4)</f>
        <v>4503788.4499999993</v>
      </c>
      <c r="K4" s="211">
        <f t="shared" si="1"/>
        <v>39646.000000000931</v>
      </c>
      <c r="L4" s="212" t="str">
        <f t="shared" si="4"/>
        <v>Due To TF</v>
      </c>
    </row>
    <row r="5" spans="1:12">
      <c r="A5" s="213" t="s">
        <v>16</v>
      </c>
      <c r="B5" s="205">
        <v>854135</v>
      </c>
      <c r="C5" s="206">
        <v>23352.119999999995</v>
      </c>
      <c r="D5" s="114">
        <v>753424.26</v>
      </c>
      <c r="E5" s="114">
        <v>23044</v>
      </c>
      <c r="F5" s="114">
        <f t="shared" si="2"/>
        <v>799820.38</v>
      </c>
      <c r="G5" s="114">
        <v>18067.59</v>
      </c>
      <c r="H5" s="114">
        <v>772660.63000000012</v>
      </c>
      <c r="I5" s="114">
        <f t="shared" si="3"/>
        <v>-81474.369999999879</v>
      </c>
      <c r="J5" s="114">
        <f t="shared" si="0"/>
        <v>790728.22000000009</v>
      </c>
      <c r="K5" s="114">
        <f t="shared" si="1"/>
        <v>9092.1599999999162</v>
      </c>
      <c r="L5" s="207" t="str">
        <f t="shared" si="4"/>
        <v>Due To TF</v>
      </c>
    </row>
    <row r="6" spans="1:12">
      <c r="A6" s="204" t="s">
        <v>46</v>
      </c>
      <c r="B6" s="205">
        <v>11310285</v>
      </c>
      <c r="C6" s="206">
        <v>2306099.25</v>
      </c>
      <c r="D6" s="114">
        <v>9179450.4800000004</v>
      </c>
      <c r="E6" s="114">
        <v>305138</v>
      </c>
      <c r="F6" s="114">
        <f t="shared" si="2"/>
        <v>11790687.73</v>
      </c>
      <c r="G6" s="114">
        <v>0</v>
      </c>
      <c r="H6" s="114">
        <v>11310284.999999998</v>
      </c>
      <c r="I6" s="114">
        <f t="shared" si="3"/>
        <v>0</v>
      </c>
      <c r="J6" s="114">
        <f t="shared" si="0"/>
        <v>11310284.999999998</v>
      </c>
      <c r="K6" s="114">
        <f t="shared" si="1"/>
        <v>480402.73000000231</v>
      </c>
      <c r="L6" s="207" t="str">
        <f t="shared" si="4"/>
        <v>Due To TF</v>
      </c>
    </row>
    <row r="7" spans="1:12">
      <c r="A7" s="204" t="s">
        <v>63</v>
      </c>
      <c r="B7" s="205">
        <v>38928487</v>
      </c>
      <c r="C7" s="206">
        <v>1648321.75</v>
      </c>
      <c r="D7" s="114">
        <v>35076950.630000003</v>
      </c>
      <c r="E7" s="114">
        <v>1050244</v>
      </c>
      <c r="F7" s="114">
        <f t="shared" si="2"/>
        <v>37775516.380000003</v>
      </c>
      <c r="G7" s="114">
        <v>0</v>
      </c>
      <c r="H7" s="114">
        <v>37437180.210000001</v>
      </c>
      <c r="I7" s="114">
        <f t="shared" si="3"/>
        <v>-1491306.7899999991</v>
      </c>
      <c r="J7" s="114">
        <f t="shared" si="0"/>
        <v>37437180.210000001</v>
      </c>
      <c r="K7" s="114">
        <f t="shared" si="1"/>
        <v>338336.17000000179</v>
      </c>
      <c r="L7" s="207" t="str">
        <f t="shared" si="4"/>
        <v>Due To TF</v>
      </c>
    </row>
    <row r="8" spans="1:12">
      <c r="A8" s="204" t="s">
        <v>1</v>
      </c>
      <c r="B8" s="205">
        <v>448334</v>
      </c>
      <c r="C8" s="206">
        <v>283542.86999999988</v>
      </c>
      <c r="D8" s="114">
        <v>297136.71000000002</v>
      </c>
      <c r="E8" s="114">
        <v>12096</v>
      </c>
      <c r="F8" s="114">
        <f t="shared" si="2"/>
        <v>592775.57999999984</v>
      </c>
      <c r="G8" s="114">
        <v>0</v>
      </c>
      <c r="H8" s="114">
        <v>428783.94</v>
      </c>
      <c r="I8" s="114">
        <f t="shared" si="3"/>
        <v>-19550.059999999998</v>
      </c>
      <c r="J8" s="114">
        <f t="shared" si="0"/>
        <v>428783.94</v>
      </c>
      <c r="K8" s="114">
        <f t="shared" si="1"/>
        <v>163991.63999999984</v>
      </c>
      <c r="L8" s="207" t="str">
        <f t="shared" si="4"/>
        <v>Due To TF</v>
      </c>
    </row>
    <row r="9" spans="1:12">
      <c r="A9" s="204" t="s">
        <v>37</v>
      </c>
      <c r="B9" s="205">
        <v>3537405</v>
      </c>
      <c r="C9" s="206">
        <v>158238.25</v>
      </c>
      <c r="D9" s="114">
        <v>3809132.18</v>
      </c>
      <c r="E9" s="114">
        <v>95434</v>
      </c>
      <c r="F9" s="114">
        <f t="shared" si="2"/>
        <v>4062804.43</v>
      </c>
      <c r="G9" s="114">
        <v>307264.79000000004</v>
      </c>
      <c r="H9" s="114">
        <v>3537405</v>
      </c>
      <c r="I9" s="114">
        <f t="shared" si="3"/>
        <v>0</v>
      </c>
      <c r="J9" s="114">
        <f t="shared" si="0"/>
        <v>3844669.79</v>
      </c>
      <c r="K9" s="114">
        <f t="shared" si="1"/>
        <v>218134.64000000013</v>
      </c>
      <c r="L9" s="207" t="str">
        <f t="shared" si="4"/>
        <v>Due To TF</v>
      </c>
    </row>
    <row r="10" spans="1:12">
      <c r="A10" s="204" t="s">
        <v>27</v>
      </c>
      <c r="B10" s="205">
        <v>2995549</v>
      </c>
      <c r="C10" s="206">
        <v>308230.75</v>
      </c>
      <c r="D10" s="114">
        <v>3014743.14</v>
      </c>
      <c r="E10" s="114">
        <v>80816</v>
      </c>
      <c r="F10" s="114">
        <f t="shared" si="2"/>
        <v>3403789.89</v>
      </c>
      <c r="G10" s="114">
        <v>111848.34000000001</v>
      </c>
      <c r="H10" s="114">
        <v>2995549</v>
      </c>
      <c r="I10" s="114">
        <f t="shared" si="3"/>
        <v>0</v>
      </c>
      <c r="J10" s="114">
        <f t="shared" si="0"/>
        <v>3107397.34</v>
      </c>
      <c r="K10" s="114">
        <f t="shared" si="1"/>
        <v>296392.55000000028</v>
      </c>
      <c r="L10" s="207" t="str">
        <f t="shared" si="4"/>
        <v>Due To TF</v>
      </c>
    </row>
    <row r="11" spans="1:12">
      <c r="A11" s="204" t="s">
        <v>38</v>
      </c>
      <c r="B11" s="205">
        <v>3656087</v>
      </c>
      <c r="C11" s="206">
        <v>14593</v>
      </c>
      <c r="D11" s="114">
        <v>3895665.5700000003</v>
      </c>
      <c r="E11" s="114">
        <v>98637</v>
      </c>
      <c r="F11" s="114">
        <f t="shared" si="2"/>
        <v>4008895.5700000003</v>
      </c>
      <c r="G11" s="114">
        <v>317226.05000000005</v>
      </c>
      <c r="H11" s="114">
        <v>3656087</v>
      </c>
      <c r="I11" s="114">
        <f t="shared" si="3"/>
        <v>0</v>
      </c>
      <c r="J11" s="114">
        <f t="shared" si="0"/>
        <v>3973313.05</v>
      </c>
      <c r="K11" s="114">
        <f t="shared" si="1"/>
        <v>35582.520000000484</v>
      </c>
      <c r="L11" s="207" t="str">
        <f t="shared" si="4"/>
        <v>Due To TF</v>
      </c>
    </row>
    <row r="12" spans="1:12">
      <c r="A12" s="204" t="s">
        <v>47</v>
      </c>
      <c r="B12" s="205">
        <v>6428666</v>
      </c>
      <c r="C12" s="206">
        <v>0</v>
      </c>
      <c r="D12" s="114">
        <v>7590742.5999999987</v>
      </c>
      <c r="E12" s="114">
        <v>173437</v>
      </c>
      <c r="F12" s="114">
        <f t="shared" si="2"/>
        <v>7764179.5999999987</v>
      </c>
      <c r="G12" s="114">
        <v>1201224.48</v>
      </c>
      <c r="H12" s="114">
        <v>6427533.9799999995</v>
      </c>
      <c r="I12" s="114">
        <f t="shared" si="3"/>
        <v>-1132.0200000004843</v>
      </c>
      <c r="J12" s="114">
        <f t="shared" si="0"/>
        <v>7628758.459999999</v>
      </c>
      <c r="K12" s="114">
        <f t="shared" si="1"/>
        <v>135421.13999999966</v>
      </c>
      <c r="L12" s="207" t="str">
        <f t="shared" si="4"/>
        <v>Due To TF</v>
      </c>
    </row>
    <row r="13" spans="1:12">
      <c r="A13" s="204" t="s">
        <v>28</v>
      </c>
      <c r="B13" s="205">
        <v>1527140</v>
      </c>
      <c r="C13" s="206">
        <v>187388.02999999997</v>
      </c>
      <c r="D13" s="114">
        <v>1506280.5799999998</v>
      </c>
      <c r="E13" s="114">
        <v>41200</v>
      </c>
      <c r="F13" s="114">
        <f t="shared" si="2"/>
        <v>1734868.6099999999</v>
      </c>
      <c r="G13" s="114">
        <v>62656.71</v>
      </c>
      <c r="H13" s="114">
        <v>1487503.34</v>
      </c>
      <c r="I13" s="114">
        <f t="shared" si="3"/>
        <v>-39636.659999999916</v>
      </c>
      <c r="J13" s="114">
        <f t="shared" si="0"/>
        <v>1550160.05</v>
      </c>
      <c r="K13" s="114">
        <f t="shared" si="1"/>
        <v>184708.55999999982</v>
      </c>
      <c r="L13" s="207" t="str">
        <f t="shared" si="4"/>
        <v>Due To TF</v>
      </c>
    </row>
    <row r="14" spans="1:12">
      <c r="A14" s="204" t="s">
        <v>17</v>
      </c>
      <c r="B14" s="205">
        <v>805964</v>
      </c>
      <c r="C14" s="206">
        <v>211506.37</v>
      </c>
      <c r="D14" s="114">
        <v>668907.68000000005</v>
      </c>
      <c r="E14" s="114">
        <v>21744</v>
      </c>
      <c r="F14" s="114">
        <f>SUM(C14:E14)</f>
        <v>902158.05</v>
      </c>
      <c r="G14" s="114">
        <v>1899.03</v>
      </c>
      <c r="H14" s="114">
        <v>805960.18</v>
      </c>
      <c r="I14" s="114">
        <f t="shared" si="3"/>
        <v>-3.8199999999487773</v>
      </c>
      <c r="J14" s="114">
        <f t="shared" si="0"/>
        <v>807859.21000000008</v>
      </c>
      <c r="K14" s="114">
        <f t="shared" si="1"/>
        <v>94298.839999999967</v>
      </c>
      <c r="L14" s="207" t="str">
        <f t="shared" si="4"/>
        <v>Due To TF</v>
      </c>
    </row>
    <row r="15" spans="1:12">
      <c r="A15" s="204" t="s">
        <v>6</v>
      </c>
      <c r="B15" s="205">
        <v>489054</v>
      </c>
      <c r="C15" s="206">
        <v>221042.96000000008</v>
      </c>
      <c r="D15" s="114">
        <v>268331.07</v>
      </c>
      <c r="E15" s="114">
        <v>13194</v>
      </c>
      <c r="F15" s="114">
        <f t="shared" si="2"/>
        <v>502568.03000000009</v>
      </c>
      <c r="G15" s="114">
        <v>0</v>
      </c>
      <c r="H15" s="214">
        <v>489054</v>
      </c>
      <c r="I15" s="114">
        <f t="shared" si="3"/>
        <v>0</v>
      </c>
      <c r="J15" s="114">
        <f t="shared" si="0"/>
        <v>489054</v>
      </c>
      <c r="K15" s="114">
        <f t="shared" si="1"/>
        <v>13514.030000000086</v>
      </c>
      <c r="L15" s="207" t="str">
        <f t="shared" si="4"/>
        <v>Due To TF</v>
      </c>
    </row>
    <row r="16" spans="1:12">
      <c r="A16" s="208" t="s">
        <v>58</v>
      </c>
      <c r="B16" s="209">
        <v>19581816</v>
      </c>
      <c r="C16" s="210">
        <v>523594.75</v>
      </c>
      <c r="D16" s="211">
        <v>19526391.68</v>
      </c>
      <c r="E16" s="211">
        <v>528294</v>
      </c>
      <c r="F16" s="211">
        <f t="shared" si="2"/>
        <v>20578280.43</v>
      </c>
      <c r="G16" s="211">
        <v>801516.81</v>
      </c>
      <c r="H16" s="211">
        <v>19071690.530000001</v>
      </c>
      <c r="I16" s="211">
        <f t="shared" si="3"/>
        <v>-510125.46999999881</v>
      </c>
      <c r="J16" s="211">
        <f t="shared" si="0"/>
        <v>19873207.34</v>
      </c>
      <c r="K16" s="211">
        <f t="shared" si="1"/>
        <v>705073.08999999985</v>
      </c>
      <c r="L16" s="212" t="str">
        <f t="shared" si="4"/>
        <v>Due To TF</v>
      </c>
    </row>
    <row r="17" spans="1:12">
      <c r="A17" s="204" t="s">
        <v>48</v>
      </c>
      <c r="B17" s="205">
        <v>6977883</v>
      </c>
      <c r="C17" s="206">
        <v>0</v>
      </c>
      <c r="D17" s="114">
        <v>6687008.4399999995</v>
      </c>
      <c r="E17" s="114">
        <v>188255</v>
      </c>
      <c r="F17" s="114">
        <f t="shared" si="2"/>
        <v>6875263.4399999995</v>
      </c>
      <c r="G17" s="114">
        <v>185422.96</v>
      </c>
      <c r="H17" s="114">
        <v>5898706.1999999993</v>
      </c>
      <c r="I17" s="114">
        <f t="shared" si="3"/>
        <v>-1079176.8000000007</v>
      </c>
      <c r="J17" s="114">
        <f t="shared" si="0"/>
        <v>6084129.1599999992</v>
      </c>
      <c r="K17" s="114">
        <f t="shared" si="1"/>
        <v>791134.28000000026</v>
      </c>
      <c r="L17" s="207" t="str">
        <f t="shared" si="4"/>
        <v>Due To TF</v>
      </c>
    </row>
    <row r="18" spans="1:12">
      <c r="A18" s="204" t="s">
        <v>29</v>
      </c>
      <c r="B18" s="205">
        <v>1818120</v>
      </c>
      <c r="C18" s="206">
        <v>144184.12000000002</v>
      </c>
      <c r="D18" s="114">
        <v>1821969.91</v>
      </c>
      <c r="E18" s="114">
        <v>49050</v>
      </c>
      <c r="F18" s="114">
        <f t="shared" si="2"/>
        <v>2015204.03</v>
      </c>
      <c r="G18" s="114">
        <v>109067.91</v>
      </c>
      <c r="H18" s="114">
        <v>1630953</v>
      </c>
      <c r="I18" s="114">
        <f t="shared" si="3"/>
        <v>-187167</v>
      </c>
      <c r="J18" s="114">
        <f t="shared" si="0"/>
        <v>1740020.91</v>
      </c>
      <c r="K18" s="114">
        <f t="shared" si="1"/>
        <v>275183.12000000011</v>
      </c>
      <c r="L18" s="207" t="str">
        <f t="shared" si="4"/>
        <v>Due To TF</v>
      </c>
    </row>
    <row r="19" spans="1:12">
      <c r="A19" s="204" t="s">
        <v>7</v>
      </c>
      <c r="B19" s="205">
        <v>658287</v>
      </c>
      <c r="C19" s="206">
        <v>482923.63000000012</v>
      </c>
      <c r="D19" s="114">
        <v>228008.35</v>
      </c>
      <c r="E19" s="114">
        <v>17760</v>
      </c>
      <c r="F19" s="114">
        <f t="shared" si="2"/>
        <v>728691.9800000001</v>
      </c>
      <c r="G19" s="114">
        <v>0</v>
      </c>
      <c r="H19" s="114">
        <v>658287</v>
      </c>
      <c r="I19" s="114">
        <f t="shared" si="3"/>
        <v>0</v>
      </c>
      <c r="J19" s="114">
        <f t="shared" si="0"/>
        <v>658287</v>
      </c>
      <c r="K19" s="114">
        <f t="shared" si="1"/>
        <v>70404.980000000098</v>
      </c>
      <c r="L19" s="207" t="str">
        <f t="shared" si="4"/>
        <v>Due To TF</v>
      </c>
    </row>
    <row r="20" spans="1:12">
      <c r="A20" s="204" t="s">
        <v>18</v>
      </c>
      <c r="B20" s="205">
        <v>1334828</v>
      </c>
      <c r="C20" s="206">
        <v>531940.5</v>
      </c>
      <c r="D20" s="114">
        <v>705841.67</v>
      </c>
      <c r="E20" s="114">
        <v>36012</v>
      </c>
      <c r="F20" s="114">
        <f t="shared" si="2"/>
        <v>1273794.17</v>
      </c>
      <c r="G20" s="114">
        <v>0</v>
      </c>
      <c r="H20" s="114">
        <v>1334828.0000000002</v>
      </c>
      <c r="I20" s="114">
        <f t="shared" si="3"/>
        <v>0</v>
      </c>
      <c r="J20" s="114">
        <f t="shared" si="0"/>
        <v>1334828.0000000002</v>
      </c>
      <c r="K20" s="114">
        <f t="shared" si="1"/>
        <v>-61033.830000000307</v>
      </c>
      <c r="L20" s="207" t="str">
        <f t="shared" si="4"/>
        <v>Due From TF</v>
      </c>
    </row>
    <row r="21" spans="1:12">
      <c r="A21" s="204" t="s">
        <v>8</v>
      </c>
      <c r="B21" s="205">
        <v>545457</v>
      </c>
      <c r="C21" s="206">
        <v>324711.25</v>
      </c>
      <c r="D21" s="114">
        <v>324955.53000000003</v>
      </c>
      <c r="E21" s="114">
        <v>14716</v>
      </c>
      <c r="F21" s="114">
        <f t="shared" si="2"/>
        <v>664382.78</v>
      </c>
      <c r="G21" s="114">
        <v>0</v>
      </c>
      <c r="H21" s="114">
        <v>491210.03999999992</v>
      </c>
      <c r="I21" s="114">
        <f t="shared" si="3"/>
        <v>-54246.960000000079</v>
      </c>
      <c r="J21" s="114">
        <f t="shared" si="0"/>
        <v>491210.03999999992</v>
      </c>
      <c r="K21" s="114">
        <f>F21-J21</f>
        <v>173172.74000000011</v>
      </c>
      <c r="L21" s="207" t="str">
        <f t="shared" si="4"/>
        <v>Due To TF</v>
      </c>
    </row>
    <row r="22" spans="1:12">
      <c r="A22" s="204" t="s">
        <v>9</v>
      </c>
      <c r="B22" s="205">
        <v>566489</v>
      </c>
      <c r="C22" s="206">
        <v>134608.37</v>
      </c>
      <c r="D22" s="114">
        <v>494954.32</v>
      </c>
      <c r="E22" s="114">
        <v>15283</v>
      </c>
      <c r="F22" s="114">
        <f t="shared" si="2"/>
        <v>644845.68999999994</v>
      </c>
      <c r="G22" s="114">
        <v>25063.51</v>
      </c>
      <c r="H22" s="114">
        <v>496841.16</v>
      </c>
      <c r="I22" s="114">
        <f>H22-B22</f>
        <v>-69647.840000000026</v>
      </c>
      <c r="J22" s="114">
        <f>SUM(G22:H22)</f>
        <v>521904.67</v>
      </c>
      <c r="K22" s="114">
        <f t="shared" si="1"/>
        <v>122941.01999999996</v>
      </c>
      <c r="L22" s="207" t="str">
        <f t="shared" si="4"/>
        <v>Due To TF</v>
      </c>
    </row>
    <row r="23" spans="1:12">
      <c r="A23" s="204" t="s">
        <v>10</v>
      </c>
      <c r="B23" s="205">
        <v>490361</v>
      </c>
      <c r="C23" s="206">
        <v>269902.61999999988</v>
      </c>
      <c r="D23" s="114">
        <v>251857.09</v>
      </c>
      <c r="E23" s="114">
        <v>13229</v>
      </c>
      <c r="F23" s="114">
        <f t="shared" si="2"/>
        <v>534988.70999999985</v>
      </c>
      <c r="G23" s="114">
        <v>0</v>
      </c>
      <c r="H23" s="114">
        <v>451859.24</v>
      </c>
      <c r="I23" s="114">
        <f t="shared" si="3"/>
        <v>-38501.760000000009</v>
      </c>
      <c r="J23" s="114">
        <f t="shared" si="0"/>
        <v>451859.24</v>
      </c>
      <c r="K23" s="114">
        <f t="shared" si="1"/>
        <v>83129.469999999856</v>
      </c>
      <c r="L23" s="207" t="str">
        <f t="shared" si="4"/>
        <v>Due To TF</v>
      </c>
    </row>
    <row r="24" spans="1:12">
      <c r="A24" s="204" t="s">
        <v>11</v>
      </c>
      <c r="B24" s="205">
        <v>596303</v>
      </c>
      <c r="C24" s="206">
        <v>210495.75</v>
      </c>
      <c r="D24" s="114">
        <v>366816.93</v>
      </c>
      <c r="E24" s="114">
        <v>16088</v>
      </c>
      <c r="F24" s="114">
        <f t="shared" si="2"/>
        <v>593400.67999999993</v>
      </c>
      <c r="G24" s="114">
        <v>0</v>
      </c>
      <c r="H24" s="114">
        <v>580429.28</v>
      </c>
      <c r="I24" s="114">
        <f t="shared" si="3"/>
        <v>-15873.719999999972</v>
      </c>
      <c r="J24" s="114">
        <f t="shared" si="0"/>
        <v>580429.28</v>
      </c>
      <c r="K24" s="114">
        <f t="shared" si="1"/>
        <v>12971.399999999907</v>
      </c>
      <c r="L24" s="207" t="str">
        <f t="shared" si="4"/>
        <v>Due To TF</v>
      </c>
    </row>
    <row r="25" spans="1:12">
      <c r="A25" s="204" t="s">
        <v>19</v>
      </c>
      <c r="B25" s="205">
        <v>906252</v>
      </c>
      <c r="C25" s="206">
        <v>377550.37</v>
      </c>
      <c r="D25" s="114">
        <v>505495.4</v>
      </c>
      <c r="E25" s="114">
        <v>24449</v>
      </c>
      <c r="F25" s="114">
        <f t="shared" si="2"/>
        <v>907494.77</v>
      </c>
      <c r="G25" s="114">
        <v>0</v>
      </c>
      <c r="H25" s="114">
        <v>737275.21</v>
      </c>
      <c r="I25" s="114">
        <f t="shared" si="3"/>
        <v>-168976.79000000004</v>
      </c>
      <c r="J25" s="114">
        <f t="shared" si="0"/>
        <v>737275.21</v>
      </c>
      <c r="K25" s="114">
        <f t="shared" si="1"/>
        <v>170219.56000000006</v>
      </c>
      <c r="L25" s="207" t="str">
        <f t="shared" si="4"/>
        <v>Due To TF</v>
      </c>
    </row>
    <row r="26" spans="1:12">
      <c r="A26" s="204" t="s">
        <v>20</v>
      </c>
      <c r="B26" s="205">
        <v>1281071</v>
      </c>
      <c r="C26" s="206">
        <v>252146.11999999994</v>
      </c>
      <c r="D26" s="114">
        <v>935578</v>
      </c>
      <c r="E26" s="114">
        <v>34562</v>
      </c>
      <c r="F26" s="114">
        <f t="shared" si="2"/>
        <v>1222286.1199999999</v>
      </c>
      <c r="G26" s="114">
        <v>0</v>
      </c>
      <c r="H26" s="114">
        <v>1217673.8600000001</v>
      </c>
      <c r="I26" s="114">
        <f t="shared" si="3"/>
        <v>-63397.139999999898</v>
      </c>
      <c r="J26" s="114">
        <f t="shared" si="0"/>
        <v>1217673.8600000001</v>
      </c>
      <c r="K26" s="114">
        <f t="shared" si="1"/>
        <v>4612.2599999997765</v>
      </c>
      <c r="L26" s="207" t="str">
        <f t="shared" si="4"/>
        <v>Due To TF</v>
      </c>
    </row>
    <row r="27" spans="1:12">
      <c r="A27" s="204" t="s">
        <v>39</v>
      </c>
      <c r="B27" s="205">
        <v>3417201</v>
      </c>
      <c r="C27" s="206">
        <v>0</v>
      </c>
      <c r="D27" s="114">
        <v>4204563.8999999994</v>
      </c>
      <c r="E27" s="114">
        <v>92192</v>
      </c>
      <c r="F27" s="114">
        <f t="shared" si="2"/>
        <v>4296755.8999999994</v>
      </c>
      <c r="G27" s="114">
        <v>810612.32000000007</v>
      </c>
      <c r="H27" s="114">
        <v>2733266.0300000003</v>
      </c>
      <c r="I27" s="114">
        <f t="shared" si="3"/>
        <v>-683934.96999999974</v>
      </c>
      <c r="J27" s="114">
        <f t="shared" si="0"/>
        <v>3543878.3500000006</v>
      </c>
      <c r="K27" s="114">
        <f t="shared" si="1"/>
        <v>752877.54999999888</v>
      </c>
      <c r="L27" s="207" t="str">
        <f t="shared" si="4"/>
        <v>Due To TF</v>
      </c>
    </row>
    <row r="28" spans="1:12">
      <c r="A28" s="204" t="s">
        <v>30</v>
      </c>
      <c r="B28" s="205">
        <v>1963861</v>
      </c>
      <c r="C28" s="206">
        <v>221061.88</v>
      </c>
      <c r="D28" s="114">
        <v>1828147.76</v>
      </c>
      <c r="E28" s="114">
        <v>52983</v>
      </c>
      <c r="F28" s="114">
        <f t="shared" si="2"/>
        <v>2102192.64</v>
      </c>
      <c r="G28" s="114">
        <v>45295.810000000005</v>
      </c>
      <c r="H28" s="114">
        <v>1944611.21</v>
      </c>
      <c r="I28" s="114">
        <f t="shared" si="3"/>
        <v>-19249.790000000037</v>
      </c>
      <c r="J28" s="114">
        <f t="shared" si="0"/>
        <v>1989907.02</v>
      </c>
      <c r="K28" s="114">
        <f t="shared" si="1"/>
        <v>112285.62000000011</v>
      </c>
      <c r="L28" s="207" t="str">
        <f t="shared" si="4"/>
        <v>Due To TF</v>
      </c>
    </row>
    <row r="29" spans="1:12">
      <c r="A29" s="204" t="s">
        <v>64</v>
      </c>
      <c r="B29" s="205">
        <v>30288553</v>
      </c>
      <c r="C29" s="206">
        <v>0</v>
      </c>
      <c r="D29" s="114">
        <v>30600206.080000006</v>
      </c>
      <c r="E29" s="114">
        <v>817149</v>
      </c>
      <c r="F29" s="114">
        <f t="shared" si="2"/>
        <v>31417355.080000006</v>
      </c>
      <c r="G29" s="114">
        <v>1959533.06</v>
      </c>
      <c r="H29" s="114">
        <v>29964625.859999999</v>
      </c>
      <c r="I29" s="114">
        <f t="shared" si="3"/>
        <v>-323927.1400000006</v>
      </c>
      <c r="J29" s="114">
        <f t="shared" si="0"/>
        <v>31924158.919999998</v>
      </c>
      <c r="K29" s="114">
        <f t="shared" si="1"/>
        <v>-506803.8399999924</v>
      </c>
      <c r="L29" s="207" t="str">
        <f t="shared" si="4"/>
        <v>Due From TF</v>
      </c>
    </row>
    <row r="30" spans="1:12">
      <c r="A30" s="204" t="s">
        <v>12</v>
      </c>
      <c r="B30" s="205">
        <v>589080</v>
      </c>
      <c r="C30" s="206">
        <v>105702.75</v>
      </c>
      <c r="D30" s="114">
        <v>462487.94</v>
      </c>
      <c r="E30" s="114">
        <v>15893</v>
      </c>
      <c r="F30" s="114">
        <f t="shared" si="2"/>
        <v>584083.68999999994</v>
      </c>
      <c r="G30" s="114">
        <v>2354.5500000000002</v>
      </c>
      <c r="H30" s="114">
        <v>581729.14</v>
      </c>
      <c r="I30" s="114">
        <f t="shared" si="3"/>
        <v>-7350.859999999986</v>
      </c>
      <c r="J30" s="114">
        <f t="shared" si="0"/>
        <v>584083.69000000006</v>
      </c>
      <c r="K30" s="114">
        <f t="shared" si="1"/>
        <v>0</v>
      </c>
      <c r="L30" s="207" t="e">
        <f t="shared" si="4"/>
        <v>#N/A</v>
      </c>
    </row>
    <row r="31" spans="1:12">
      <c r="A31" s="204" t="s">
        <v>31</v>
      </c>
      <c r="B31" s="205">
        <v>2968481</v>
      </c>
      <c r="C31" s="206">
        <v>17441</v>
      </c>
      <c r="D31" s="114">
        <v>2977495.69</v>
      </c>
      <c r="E31" s="114">
        <v>80086</v>
      </c>
      <c r="F31" s="114">
        <f t="shared" si="2"/>
        <v>3075022.69</v>
      </c>
      <c r="G31" s="114">
        <v>113590.07</v>
      </c>
      <c r="H31" s="114">
        <v>2967001.39</v>
      </c>
      <c r="I31" s="114">
        <f t="shared" si="3"/>
        <v>-1479.6099999998696</v>
      </c>
      <c r="J31" s="114">
        <f t="shared" si="0"/>
        <v>3080591.46</v>
      </c>
      <c r="K31" s="114">
        <f t="shared" si="1"/>
        <v>-5568.7700000000186</v>
      </c>
      <c r="L31" s="207" t="str">
        <f t="shared" si="4"/>
        <v>Due From TF</v>
      </c>
    </row>
    <row r="32" spans="1:12">
      <c r="A32" s="204" t="s">
        <v>21</v>
      </c>
      <c r="B32" s="205">
        <v>1104348</v>
      </c>
      <c r="C32" s="206">
        <v>268978.37</v>
      </c>
      <c r="D32" s="114">
        <v>792361.96</v>
      </c>
      <c r="E32" s="114">
        <v>29794</v>
      </c>
      <c r="F32" s="114">
        <f t="shared" si="2"/>
        <v>1091134.33</v>
      </c>
      <c r="G32" s="114">
        <v>0</v>
      </c>
      <c r="H32" s="114">
        <v>943423.99</v>
      </c>
      <c r="I32" s="114">
        <f t="shared" si="3"/>
        <v>-160924.01</v>
      </c>
      <c r="J32" s="114">
        <f t="shared" si="0"/>
        <v>943423.99</v>
      </c>
      <c r="K32" s="114">
        <f t="shared" si="1"/>
        <v>147710.34000000008</v>
      </c>
      <c r="L32" s="207" t="str">
        <f t="shared" si="4"/>
        <v>Due To TF</v>
      </c>
    </row>
    <row r="33" spans="1:12">
      <c r="A33" s="204" t="s">
        <v>13</v>
      </c>
      <c r="B33" s="205">
        <v>501826</v>
      </c>
      <c r="C33" s="206">
        <v>178435</v>
      </c>
      <c r="D33" s="114">
        <v>287642.21000000002</v>
      </c>
      <c r="E33" s="114">
        <v>13539</v>
      </c>
      <c r="F33" s="114">
        <f t="shared" si="2"/>
        <v>479616.21</v>
      </c>
      <c r="G33" s="114">
        <v>0</v>
      </c>
      <c r="H33" s="114">
        <v>461636.27</v>
      </c>
      <c r="I33" s="114">
        <f t="shared" si="3"/>
        <v>-40189.729999999981</v>
      </c>
      <c r="J33" s="114">
        <f t="shared" si="0"/>
        <v>461636.27</v>
      </c>
      <c r="K33" s="114">
        <f t="shared" si="1"/>
        <v>17979.940000000002</v>
      </c>
      <c r="L33" s="207" t="str">
        <f t="shared" si="4"/>
        <v>Due To TF</v>
      </c>
    </row>
    <row r="34" spans="1:12">
      <c r="A34" s="204" t="s">
        <v>2</v>
      </c>
      <c r="B34" s="205">
        <v>307140</v>
      </c>
      <c r="C34" s="206">
        <v>215241.86999999994</v>
      </c>
      <c r="D34" s="114">
        <v>91697.940000000017</v>
      </c>
      <c r="E34" s="114">
        <v>8286</v>
      </c>
      <c r="F34" s="114">
        <f t="shared" ref="F34:F68" si="5">SUM(C34:E34)</f>
        <v>315225.80999999994</v>
      </c>
      <c r="G34" s="114">
        <v>0</v>
      </c>
      <c r="H34" s="114">
        <v>307140</v>
      </c>
      <c r="I34" s="114">
        <f t="shared" si="3"/>
        <v>0</v>
      </c>
      <c r="J34" s="114">
        <f t="shared" si="0"/>
        <v>307140</v>
      </c>
      <c r="K34" s="114">
        <f t="shared" si="1"/>
        <v>8085.8099999999395</v>
      </c>
      <c r="L34" s="207" t="str">
        <f t="shared" si="4"/>
        <v>Due To TF</v>
      </c>
    </row>
    <row r="35" spans="1:12">
      <c r="A35" s="204" t="s">
        <v>49</v>
      </c>
      <c r="B35" s="205">
        <v>6136866</v>
      </c>
      <c r="C35" s="206">
        <v>0</v>
      </c>
      <c r="D35" s="114">
        <v>6573854</v>
      </c>
      <c r="E35" s="114">
        <v>165565</v>
      </c>
      <c r="F35" s="114">
        <f t="shared" si="5"/>
        <v>6739419</v>
      </c>
      <c r="G35" s="114">
        <v>575477</v>
      </c>
      <c r="H35" s="114">
        <v>5713876</v>
      </c>
      <c r="I35" s="114">
        <f t="shared" si="3"/>
        <v>-422990</v>
      </c>
      <c r="J35" s="114">
        <f t="shared" si="0"/>
        <v>6289353</v>
      </c>
      <c r="K35" s="114">
        <f t="shared" si="1"/>
        <v>450066</v>
      </c>
      <c r="L35" s="207" t="str">
        <f t="shared" si="4"/>
        <v>Due To TF</v>
      </c>
    </row>
    <row r="36" spans="1:12">
      <c r="A36" s="204" t="s">
        <v>59</v>
      </c>
      <c r="B36" s="205">
        <v>11689883</v>
      </c>
      <c r="C36" s="206">
        <v>0</v>
      </c>
      <c r="D36" s="114">
        <v>13415502.9</v>
      </c>
      <c r="E36" s="114">
        <v>315378</v>
      </c>
      <c r="F36" s="114">
        <f t="shared" si="5"/>
        <v>13730880.9</v>
      </c>
      <c r="G36" s="114">
        <v>1751641.63</v>
      </c>
      <c r="H36" s="114">
        <v>11689883</v>
      </c>
      <c r="I36" s="114">
        <f t="shared" si="3"/>
        <v>0</v>
      </c>
      <c r="J36" s="114">
        <f t="shared" si="0"/>
        <v>13441524.629999999</v>
      </c>
      <c r="K36" s="114">
        <f t="shared" si="1"/>
        <v>289356.27000000142</v>
      </c>
      <c r="L36" s="207" t="str">
        <f t="shared" si="4"/>
        <v>Due To TF</v>
      </c>
    </row>
    <row r="37" spans="1:12">
      <c r="A37" s="208" t="s">
        <v>50</v>
      </c>
      <c r="B37" s="209">
        <v>5905602</v>
      </c>
      <c r="C37" s="210">
        <v>1630410.1300000001</v>
      </c>
      <c r="D37" s="211">
        <v>4484204.2699999996</v>
      </c>
      <c r="E37" s="211">
        <v>159326</v>
      </c>
      <c r="F37" s="211">
        <f t="shared" si="5"/>
        <v>6273940.3999999994</v>
      </c>
      <c r="G37" s="211">
        <v>0</v>
      </c>
      <c r="H37" s="211">
        <v>5110762.9431360001</v>
      </c>
      <c r="I37" s="211">
        <f t="shared" si="3"/>
        <v>-794839.05686399993</v>
      </c>
      <c r="J37" s="211">
        <f t="shared" si="0"/>
        <v>5110762.9431360001</v>
      </c>
      <c r="K37" s="211">
        <f>F37-J37</f>
        <v>1163177.4568639994</v>
      </c>
      <c r="L37" s="212" t="str">
        <f t="shared" si="4"/>
        <v>Due To TF</v>
      </c>
    </row>
    <row r="38" spans="1:12">
      <c r="A38" s="204" t="s">
        <v>22</v>
      </c>
      <c r="B38" s="205">
        <v>1122633</v>
      </c>
      <c r="C38" s="206">
        <v>328579.25</v>
      </c>
      <c r="D38" s="114">
        <v>964807.61</v>
      </c>
      <c r="E38" s="114">
        <v>30287</v>
      </c>
      <c r="F38" s="114">
        <f t="shared" si="5"/>
        <v>1323673.8599999999</v>
      </c>
      <c r="G38" s="114">
        <v>29389.38</v>
      </c>
      <c r="H38" s="114">
        <v>1087912.71</v>
      </c>
      <c r="I38" s="114">
        <f t="shared" si="3"/>
        <v>-34720.290000000037</v>
      </c>
      <c r="J38" s="114">
        <f t="shared" si="0"/>
        <v>1117302.0899999999</v>
      </c>
      <c r="K38" s="114">
        <f t="shared" si="1"/>
        <v>206371.77000000002</v>
      </c>
      <c r="L38" s="207" t="str">
        <f t="shared" si="4"/>
        <v>Due To TF</v>
      </c>
    </row>
    <row r="39" spans="1:12">
      <c r="A39" s="204" t="s">
        <v>3</v>
      </c>
      <c r="B39" s="205">
        <v>312333</v>
      </c>
      <c r="C39" s="206">
        <v>173825.5</v>
      </c>
      <c r="D39" s="114">
        <v>159595.65000000002</v>
      </c>
      <c r="E39" s="114">
        <v>8427</v>
      </c>
      <c r="F39" s="114">
        <f t="shared" si="5"/>
        <v>341848.15</v>
      </c>
      <c r="G39" s="114">
        <v>0</v>
      </c>
      <c r="H39" s="114">
        <v>312333</v>
      </c>
      <c r="I39" s="114">
        <f t="shared" si="3"/>
        <v>0</v>
      </c>
      <c r="J39" s="114">
        <f t="shared" si="0"/>
        <v>312333</v>
      </c>
      <c r="K39" s="114">
        <f t="shared" si="1"/>
        <v>29515.150000000023</v>
      </c>
      <c r="L39" s="207" t="str">
        <f t="shared" si="4"/>
        <v>Due To TF</v>
      </c>
    </row>
    <row r="40" spans="1:12">
      <c r="A40" s="215" t="s">
        <v>23</v>
      </c>
      <c r="B40" s="205">
        <v>556502</v>
      </c>
      <c r="C40" s="206">
        <v>0</v>
      </c>
      <c r="D40" s="114">
        <v>486806.46</v>
      </c>
      <c r="E40" s="114">
        <v>15014</v>
      </c>
      <c r="F40" s="114">
        <f t="shared" si="5"/>
        <v>501820.46</v>
      </c>
      <c r="G40" s="114">
        <v>9417.4500000000007</v>
      </c>
      <c r="H40" s="114">
        <v>516628.09000000008</v>
      </c>
      <c r="I40" s="114">
        <f t="shared" si="3"/>
        <v>-39873.909999999916</v>
      </c>
      <c r="J40" s="114">
        <f t="shared" si="0"/>
        <v>526045.54</v>
      </c>
      <c r="K40" s="114">
        <f t="shared" si="1"/>
        <v>-24225.080000000016</v>
      </c>
      <c r="L40" s="207" t="str">
        <f t="shared" si="4"/>
        <v>Due From TF</v>
      </c>
    </row>
    <row r="41" spans="1:12">
      <c r="A41" s="204" t="s">
        <v>51</v>
      </c>
      <c r="B41" s="205">
        <v>5938958</v>
      </c>
      <c r="C41" s="206">
        <v>44878.130000000012</v>
      </c>
      <c r="D41" s="114">
        <v>6576554.1699999999</v>
      </c>
      <c r="E41" s="114">
        <v>160226</v>
      </c>
      <c r="F41" s="114">
        <f t="shared" si="5"/>
        <v>6781658.2999999998</v>
      </c>
      <c r="G41" s="114">
        <v>694116.52</v>
      </c>
      <c r="H41" s="114">
        <v>5502922.2599999998</v>
      </c>
      <c r="I41" s="114">
        <f t="shared" si="3"/>
        <v>-436035.74000000022</v>
      </c>
      <c r="J41" s="114">
        <f t="shared" si="0"/>
        <v>6197038.7799999993</v>
      </c>
      <c r="K41" s="114">
        <f t="shared" si="1"/>
        <v>584619.52000000048</v>
      </c>
      <c r="L41" s="207" t="str">
        <f t="shared" si="4"/>
        <v>Due To TF</v>
      </c>
    </row>
    <row r="42" spans="1:12">
      <c r="A42" s="204" t="s">
        <v>52</v>
      </c>
      <c r="B42" s="205">
        <v>6558206</v>
      </c>
      <c r="C42" s="206">
        <v>0</v>
      </c>
      <c r="D42" s="114">
        <v>6896962.1300000008</v>
      </c>
      <c r="E42" s="114">
        <v>176932</v>
      </c>
      <c r="F42" s="114">
        <f t="shared" si="5"/>
        <v>7073894.1300000008</v>
      </c>
      <c r="G42" s="114">
        <v>489046.92000000004</v>
      </c>
      <c r="H42" s="114">
        <v>6054365.9400000013</v>
      </c>
      <c r="I42" s="114">
        <f t="shared" si="3"/>
        <v>-503840.05999999866</v>
      </c>
      <c r="J42" s="114">
        <f>SUM(G42:H42)</f>
        <v>6543412.8600000013</v>
      </c>
      <c r="K42" s="114">
        <f t="shared" si="1"/>
        <v>530481.26999999955</v>
      </c>
      <c r="L42" s="207" t="str">
        <f t="shared" si="4"/>
        <v>Due To TF</v>
      </c>
    </row>
    <row r="43" spans="1:12">
      <c r="A43" s="204" t="s">
        <v>40</v>
      </c>
      <c r="B43" s="205">
        <v>3504902</v>
      </c>
      <c r="C43" s="206">
        <v>0</v>
      </c>
      <c r="D43" s="114">
        <v>3115707.07</v>
      </c>
      <c r="E43" s="114">
        <v>94557.99</v>
      </c>
      <c r="F43" s="114">
        <f t="shared" si="5"/>
        <v>3210265.06</v>
      </c>
      <c r="G43" s="114">
        <f>42068.97-539</f>
        <v>41529.97</v>
      </c>
      <c r="H43" s="114">
        <v>3361481.34</v>
      </c>
      <c r="I43" s="114">
        <f>H43-B43</f>
        <v>-143420.66000000015</v>
      </c>
      <c r="J43" s="114">
        <f>SUM(G43:H43)</f>
        <v>3403011.31</v>
      </c>
      <c r="K43" s="114">
        <f>F43-J43</f>
        <v>-192746.25</v>
      </c>
      <c r="L43" s="207" t="str">
        <f t="shared" si="4"/>
        <v>Due From TF</v>
      </c>
    </row>
    <row r="44" spans="1:12">
      <c r="A44" s="216" t="s">
        <v>65</v>
      </c>
      <c r="B44" s="205">
        <v>70739517</v>
      </c>
      <c r="C44" s="206">
        <v>5064652.25</v>
      </c>
      <c r="D44" s="114">
        <v>75296240.600000009</v>
      </c>
      <c r="E44" s="114">
        <v>1908465</v>
      </c>
      <c r="F44" s="114">
        <f t="shared" si="5"/>
        <v>82269357.850000009</v>
      </c>
      <c r="G44" s="114">
        <v>6047315.8399999999</v>
      </c>
      <c r="H44" s="114">
        <v>70480227.569999993</v>
      </c>
      <c r="I44" s="114">
        <f t="shared" si="3"/>
        <v>-259289.43000000715</v>
      </c>
      <c r="J44" s="114">
        <f>SUM(G44:H44)</f>
        <v>76527543.409999996</v>
      </c>
      <c r="K44" s="114">
        <f>F44-J44</f>
        <v>5741814.4400000125</v>
      </c>
      <c r="L44" s="207" t="str">
        <f t="shared" si="4"/>
        <v>Due To TF</v>
      </c>
    </row>
    <row r="45" spans="1:12">
      <c r="A45" s="204" t="s">
        <v>41</v>
      </c>
      <c r="B45" s="205">
        <v>3508532</v>
      </c>
      <c r="C45" s="206">
        <v>1007761</v>
      </c>
      <c r="D45" s="114">
        <v>2987865.81</v>
      </c>
      <c r="E45" s="114">
        <v>94656</v>
      </c>
      <c r="F45" s="114">
        <f t="shared" si="5"/>
        <v>4090282.81</v>
      </c>
      <c r="G45" s="114">
        <v>54972.929999999993</v>
      </c>
      <c r="H45" s="114">
        <v>3508532</v>
      </c>
      <c r="I45" s="114">
        <f t="shared" si="3"/>
        <v>0</v>
      </c>
      <c r="J45" s="114">
        <f t="shared" si="0"/>
        <v>3563504.93</v>
      </c>
      <c r="K45" s="114">
        <f t="shared" si="1"/>
        <v>526777.87999999989</v>
      </c>
      <c r="L45" s="207" t="str">
        <f t="shared" si="4"/>
        <v>Due To TF</v>
      </c>
    </row>
    <row r="46" spans="1:12">
      <c r="A46" s="204" t="s">
        <v>32</v>
      </c>
      <c r="B46" s="205">
        <v>1563243</v>
      </c>
      <c r="C46" s="206">
        <v>126665.38</v>
      </c>
      <c r="D46" s="114">
        <v>1402548.9999999998</v>
      </c>
      <c r="E46" s="114">
        <v>42174</v>
      </c>
      <c r="F46" s="114">
        <f t="shared" si="5"/>
        <v>1571388.38</v>
      </c>
      <c r="G46" s="114">
        <v>17017.080000000002</v>
      </c>
      <c r="H46" s="114">
        <v>1307411.0599999998</v>
      </c>
      <c r="I46" s="114">
        <f t="shared" si="3"/>
        <v>-255831.94000000018</v>
      </c>
      <c r="J46" s="114">
        <f t="shared" si="0"/>
        <v>1324428.1399999999</v>
      </c>
      <c r="K46" s="114">
        <f t="shared" si="1"/>
        <v>246960.24</v>
      </c>
      <c r="L46" s="207" t="str">
        <f t="shared" si="4"/>
        <v>Due To TF</v>
      </c>
    </row>
    <row r="47" spans="1:12">
      <c r="A47" s="204" t="s">
        <v>42</v>
      </c>
      <c r="B47" s="205">
        <v>3639385</v>
      </c>
      <c r="C47" s="206">
        <v>0</v>
      </c>
      <c r="D47" s="114">
        <v>3798181.75</v>
      </c>
      <c r="E47" s="114">
        <v>98186</v>
      </c>
      <c r="F47" s="114">
        <f t="shared" si="5"/>
        <v>3896367.75</v>
      </c>
      <c r="G47" s="114">
        <v>228641.28000000003</v>
      </c>
      <c r="H47" s="114">
        <v>3639385</v>
      </c>
      <c r="I47" s="114">
        <f t="shared" si="3"/>
        <v>0</v>
      </c>
      <c r="J47" s="114">
        <f t="shared" si="0"/>
        <v>3868026.2800000003</v>
      </c>
      <c r="K47" s="114">
        <f t="shared" si="1"/>
        <v>28341.469999999739</v>
      </c>
      <c r="L47" s="207" t="str">
        <f t="shared" si="4"/>
        <v>Due To TF</v>
      </c>
    </row>
    <row r="48" spans="1:12">
      <c r="A48" s="204" t="s">
        <v>24</v>
      </c>
      <c r="B48" s="205">
        <v>1273503</v>
      </c>
      <c r="C48" s="206">
        <v>463254.11999999988</v>
      </c>
      <c r="D48" s="114">
        <v>970034.32</v>
      </c>
      <c r="E48" s="114">
        <v>34358</v>
      </c>
      <c r="F48" s="114">
        <f t="shared" si="5"/>
        <v>1467646.44</v>
      </c>
      <c r="G48" s="114">
        <v>0</v>
      </c>
      <c r="H48" s="114">
        <v>1215459.54</v>
      </c>
      <c r="I48" s="114">
        <f t="shared" si="3"/>
        <v>-58043.459999999963</v>
      </c>
      <c r="J48" s="114">
        <f t="shared" si="0"/>
        <v>1215459.54</v>
      </c>
      <c r="K48" s="114">
        <f t="shared" si="1"/>
        <v>252186.89999999991</v>
      </c>
      <c r="L48" s="207" t="str">
        <f t="shared" si="4"/>
        <v>Due To TF</v>
      </c>
    </row>
    <row r="49" spans="1:12">
      <c r="A49" s="204" t="s">
        <v>66</v>
      </c>
      <c r="B49" s="205">
        <v>28984523</v>
      </c>
      <c r="C49" s="206">
        <v>0</v>
      </c>
      <c r="D49" s="114">
        <v>35847139.149999999</v>
      </c>
      <c r="E49" s="114">
        <v>781967</v>
      </c>
      <c r="F49" s="114">
        <f t="shared" si="5"/>
        <v>36629106.149999999</v>
      </c>
      <c r="G49" s="114">
        <v>6308999.0700000012</v>
      </c>
      <c r="H49" s="114">
        <v>28957046.910000004</v>
      </c>
      <c r="I49" s="114">
        <f t="shared" si="3"/>
        <v>-27476.089999996126</v>
      </c>
      <c r="J49" s="114">
        <f>SUM(G49:H49)</f>
        <v>35266045.980000004</v>
      </c>
      <c r="K49" s="114">
        <f t="shared" si="1"/>
        <v>1363060.1699999943</v>
      </c>
      <c r="L49" s="207" t="str">
        <f t="shared" si="4"/>
        <v>Due To TF</v>
      </c>
    </row>
    <row r="50" spans="1:12">
      <c r="A50" s="215" t="s">
        <v>53</v>
      </c>
      <c r="B50" s="205">
        <v>7748730</v>
      </c>
      <c r="C50" s="206">
        <v>0</v>
      </c>
      <c r="D50" s="114">
        <v>8895305.2200000007</v>
      </c>
      <c r="E50" s="114">
        <v>209051</v>
      </c>
      <c r="F50" s="114">
        <f t="shared" si="5"/>
        <v>9104356.2200000007</v>
      </c>
      <c r="G50" s="114">
        <v>1245700.8499999999</v>
      </c>
      <c r="H50" s="114">
        <v>6552255.2000000002</v>
      </c>
      <c r="I50" s="114">
        <f t="shared" si="3"/>
        <v>-1196474.7999999998</v>
      </c>
      <c r="J50" s="114">
        <f t="shared" si="0"/>
        <v>7797956.0499999998</v>
      </c>
      <c r="K50" s="114">
        <f t="shared" si="1"/>
        <v>1306400.1700000009</v>
      </c>
      <c r="L50" s="207" t="str">
        <f t="shared" si="4"/>
        <v>Due To TF</v>
      </c>
    </row>
    <row r="51" spans="1:12">
      <c r="A51" s="208" t="s">
        <v>67</v>
      </c>
      <c r="B51" s="209">
        <v>30237171</v>
      </c>
      <c r="C51" s="210">
        <v>1723854.38</v>
      </c>
      <c r="D51" s="211">
        <v>27337331.030000001</v>
      </c>
      <c r="E51" s="211">
        <v>815762</v>
      </c>
      <c r="F51" s="211">
        <f t="shared" si="5"/>
        <v>29876947.41</v>
      </c>
      <c r="G51" s="211">
        <v>102176.15</v>
      </c>
      <c r="H51" s="211">
        <v>27673563.369999997</v>
      </c>
      <c r="I51" s="211">
        <f t="shared" si="3"/>
        <v>-2563607.6300000027</v>
      </c>
      <c r="J51" s="211">
        <f t="shared" si="0"/>
        <v>27775739.519999996</v>
      </c>
      <c r="K51" s="211">
        <f t="shared" si="1"/>
        <v>2101207.8900000043</v>
      </c>
      <c r="L51" s="212" t="str">
        <f t="shared" si="4"/>
        <v>Due To TF</v>
      </c>
    </row>
    <row r="52" spans="1:12">
      <c r="A52" s="204" t="s">
        <v>54</v>
      </c>
      <c r="B52" s="205">
        <v>11604036</v>
      </c>
      <c r="C52" s="206">
        <v>3220861.3699999996</v>
      </c>
      <c r="D52" s="114">
        <v>9480282.160000002</v>
      </c>
      <c r="E52" s="114">
        <v>313063</v>
      </c>
      <c r="F52" s="114">
        <f t="shared" si="5"/>
        <v>13014206.530000001</v>
      </c>
      <c r="G52" s="114">
        <v>2711.56</v>
      </c>
      <c r="H52" s="114">
        <v>11604036</v>
      </c>
      <c r="I52" s="114">
        <f t="shared" si="3"/>
        <v>0</v>
      </c>
      <c r="J52" s="114">
        <f t="shared" si="0"/>
        <v>11606747.560000001</v>
      </c>
      <c r="K52" s="114">
        <f t="shared" si="1"/>
        <v>1407458.9700000007</v>
      </c>
      <c r="L52" s="207" t="str">
        <f t="shared" si="4"/>
        <v>Due To TF</v>
      </c>
    </row>
    <row r="53" spans="1:12">
      <c r="A53" s="204" t="s">
        <v>60</v>
      </c>
      <c r="B53" s="205">
        <v>22646675</v>
      </c>
      <c r="C53" s="206">
        <v>2901150.5</v>
      </c>
      <c r="D53" s="114">
        <v>18363516.150000002</v>
      </c>
      <c r="E53" s="114">
        <v>610978.97</v>
      </c>
      <c r="F53" s="114">
        <f t="shared" si="5"/>
        <v>21875645.620000001</v>
      </c>
      <c r="G53" s="114">
        <v>0</v>
      </c>
      <c r="H53" s="114">
        <v>22500268.66</v>
      </c>
      <c r="I53" s="114">
        <f t="shared" si="3"/>
        <v>-146406.33999999985</v>
      </c>
      <c r="J53" s="114">
        <f t="shared" si="0"/>
        <v>22500268.66</v>
      </c>
      <c r="K53" s="114">
        <f t="shared" si="1"/>
        <v>-624623.03999999911</v>
      </c>
      <c r="L53" s="207" t="str">
        <f t="shared" si="4"/>
        <v>Due From TF</v>
      </c>
    </row>
    <row r="54" spans="1:12">
      <c r="A54" s="204" t="s">
        <v>61</v>
      </c>
      <c r="B54" s="205">
        <v>12397921</v>
      </c>
      <c r="C54" s="206">
        <v>0</v>
      </c>
      <c r="D54" s="114">
        <v>14272479.43</v>
      </c>
      <c r="E54" s="114">
        <v>334481</v>
      </c>
      <c r="F54" s="114">
        <f t="shared" si="5"/>
        <v>14606960.43</v>
      </c>
      <c r="G54" s="114">
        <v>2009036.7499999998</v>
      </c>
      <c r="H54" s="114">
        <v>12208805.039999999</v>
      </c>
      <c r="I54" s="114">
        <f t="shared" si="3"/>
        <v>-189115.96000000089</v>
      </c>
      <c r="J54" s="114">
        <f t="shared" si="0"/>
        <v>14217841.789999999</v>
      </c>
      <c r="K54" s="114">
        <f t="shared" si="1"/>
        <v>389118.6400000006</v>
      </c>
      <c r="L54" s="207" t="str">
        <f t="shared" si="4"/>
        <v>Due To TF</v>
      </c>
    </row>
    <row r="55" spans="1:12">
      <c r="A55" s="204" t="s">
        <v>33</v>
      </c>
      <c r="B55" s="205">
        <v>2147549</v>
      </c>
      <c r="C55" s="206">
        <v>1229144.3799999999</v>
      </c>
      <c r="D55" s="114">
        <v>1113877.9500000002</v>
      </c>
      <c r="E55" s="114">
        <v>57938</v>
      </c>
      <c r="F55" s="114">
        <f t="shared" si="5"/>
        <v>2400960.33</v>
      </c>
      <c r="G55" s="114">
        <v>0</v>
      </c>
      <c r="H55" s="114">
        <v>2130556.02</v>
      </c>
      <c r="I55" s="114">
        <f t="shared" si="3"/>
        <v>-16992.979999999981</v>
      </c>
      <c r="J55" s="114">
        <f t="shared" si="0"/>
        <v>2130556.02</v>
      </c>
      <c r="K55" s="114">
        <f t="shared" si="1"/>
        <v>270404.31000000006</v>
      </c>
      <c r="L55" s="207" t="str">
        <f t="shared" si="4"/>
        <v>Due To TF</v>
      </c>
    </row>
    <row r="56" spans="1:12">
      <c r="A56" s="204" t="s">
        <v>43</v>
      </c>
      <c r="B56" s="205">
        <v>3582299</v>
      </c>
      <c r="C56" s="206">
        <v>140796.75</v>
      </c>
      <c r="D56" s="114">
        <v>4388338.7799999993</v>
      </c>
      <c r="E56" s="114">
        <v>96646</v>
      </c>
      <c r="F56" s="114">
        <f>SUM(C56:E56)</f>
        <v>4625781.5299999993</v>
      </c>
      <c r="G56" s="114">
        <v>833217.15999999992</v>
      </c>
      <c r="H56" s="114">
        <v>3582299.0000000005</v>
      </c>
      <c r="I56" s="114">
        <f t="shared" si="3"/>
        <v>0</v>
      </c>
      <c r="J56" s="114">
        <f t="shared" si="0"/>
        <v>4415516.16</v>
      </c>
      <c r="K56" s="114">
        <f t="shared" si="1"/>
        <v>210265.36999999918</v>
      </c>
      <c r="L56" s="207" t="str">
        <f t="shared" si="4"/>
        <v>Due To TF</v>
      </c>
    </row>
    <row r="57" spans="1:12">
      <c r="A57" s="204" t="s">
        <v>55</v>
      </c>
      <c r="B57" s="205">
        <v>6684411</v>
      </c>
      <c r="C57" s="206">
        <v>49876.75</v>
      </c>
      <c r="D57" s="114">
        <v>6732976.1600000001</v>
      </c>
      <c r="E57" s="114">
        <v>180337</v>
      </c>
      <c r="F57" s="114">
        <f t="shared" si="5"/>
        <v>6963189.9100000001</v>
      </c>
      <c r="G57" s="114">
        <v>393915.92</v>
      </c>
      <c r="H57" s="114">
        <v>6072288.8499999996</v>
      </c>
      <c r="I57" s="114">
        <f t="shared" si="3"/>
        <v>-612122.15000000037</v>
      </c>
      <c r="J57" s="114">
        <f t="shared" si="0"/>
        <v>6466204.7699999996</v>
      </c>
      <c r="K57" s="114">
        <f t="shared" si="1"/>
        <v>496985.1400000006</v>
      </c>
      <c r="L57" s="207" t="str">
        <f t="shared" si="4"/>
        <v>Due To TF</v>
      </c>
    </row>
    <row r="58" spans="1:12">
      <c r="A58" s="204" t="s">
        <v>44</v>
      </c>
      <c r="B58" s="205">
        <v>3178098</v>
      </c>
      <c r="C58" s="206">
        <v>39548.75</v>
      </c>
      <c r="D58" s="114">
        <v>3683098.77</v>
      </c>
      <c r="E58" s="114">
        <v>85742</v>
      </c>
      <c r="F58" s="114">
        <f t="shared" si="5"/>
        <v>3808389.52</v>
      </c>
      <c r="G58" s="114">
        <v>577336.44999999995</v>
      </c>
      <c r="H58" s="114">
        <v>3178098</v>
      </c>
      <c r="I58" s="114">
        <f t="shared" si="3"/>
        <v>0</v>
      </c>
      <c r="J58" s="114">
        <f t="shared" si="0"/>
        <v>3755434.45</v>
      </c>
      <c r="K58" s="114">
        <f t="shared" si="1"/>
        <v>52955.069999999832</v>
      </c>
      <c r="L58" s="207" t="str">
        <f t="shared" si="4"/>
        <v>Due To TF</v>
      </c>
    </row>
    <row r="59" spans="1:12">
      <c r="A59" s="204" t="s">
        <v>56</v>
      </c>
      <c r="B59" s="205">
        <v>8122696</v>
      </c>
      <c r="C59" s="206">
        <v>1321785.3800000001</v>
      </c>
      <c r="D59" s="114">
        <v>7541054.79</v>
      </c>
      <c r="E59" s="114">
        <v>219140</v>
      </c>
      <c r="F59" s="114">
        <f t="shared" si="5"/>
        <v>9081980.1699999999</v>
      </c>
      <c r="G59" s="114">
        <f>232636.96-71277.6</f>
        <v>161359.35999999999</v>
      </c>
      <c r="H59" s="114">
        <v>7429738.5600000005</v>
      </c>
      <c r="I59" s="114">
        <f t="shared" si="3"/>
        <v>-692957.43999999948</v>
      </c>
      <c r="J59" s="114">
        <f t="shared" si="0"/>
        <v>7591097.9200000009</v>
      </c>
      <c r="K59" s="114">
        <f t="shared" si="1"/>
        <v>1490882.2499999991</v>
      </c>
      <c r="L59" s="207" t="str">
        <f t="shared" si="4"/>
        <v>Due To TF</v>
      </c>
    </row>
    <row r="60" spans="1:12">
      <c r="A60" s="204" t="s">
        <v>57</v>
      </c>
      <c r="B60" s="205">
        <v>8861209</v>
      </c>
      <c r="C60" s="206">
        <v>0</v>
      </c>
      <c r="D60" s="114">
        <v>8452371.2800000012</v>
      </c>
      <c r="E60" s="114">
        <v>239065</v>
      </c>
      <c r="F60" s="114">
        <f t="shared" si="5"/>
        <v>8691436.2800000012</v>
      </c>
      <c r="G60" s="114">
        <v>92211.209999999992</v>
      </c>
      <c r="H60" s="114">
        <v>8800725.4299999997</v>
      </c>
      <c r="I60" s="114">
        <f t="shared" si="3"/>
        <v>-60483.570000000298</v>
      </c>
      <c r="J60" s="114">
        <f t="shared" si="0"/>
        <v>8892936.6400000006</v>
      </c>
      <c r="K60" s="114">
        <f t="shared" si="1"/>
        <v>-201500.3599999994</v>
      </c>
      <c r="L60" s="207" t="str">
        <f t="shared" si="4"/>
        <v>Due From TF</v>
      </c>
    </row>
    <row r="61" spans="1:12">
      <c r="A61" s="204" t="s">
        <v>34</v>
      </c>
      <c r="B61" s="205">
        <v>1897084</v>
      </c>
      <c r="C61" s="206">
        <v>0</v>
      </c>
      <c r="D61" s="114">
        <v>2189765.31</v>
      </c>
      <c r="E61" s="114">
        <v>51181</v>
      </c>
      <c r="F61" s="114">
        <f t="shared" si="5"/>
        <v>2240946.31</v>
      </c>
      <c r="G61" s="114">
        <v>306993.93</v>
      </c>
      <c r="H61" s="114">
        <v>1897084</v>
      </c>
      <c r="I61" s="114">
        <f t="shared" si="3"/>
        <v>0</v>
      </c>
      <c r="J61" s="114">
        <f t="shared" si="0"/>
        <v>2204077.9300000002</v>
      </c>
      <c r="K61" s="114">
        <f>F61-J61</f>
        <v>36868.379999999888</v>
      </c>
      <c r="L61" s="207" t="str">
        <f t="shared" si="4"/>
        <v>Due To TF</v>
      </c>
    </row>
    <row r="62" spans="1:12">
      <c r="A62" s="204" t="s">
        <v>25</v>
      </c>
      <c r="B62" s="205">
        <v>1172095</v>
      </c>
      <c r="C62" s="206">
        <v>179936.37999999998</v>
      </c>
      <c r="D62" s="114">
        <v>1023716.7799999999</v>
      </c>
      <c r="E62" s="114">
        <v>31621</v>
      </c>
      <c r="F62" s="114">
        <f t="shared" si="5"/>
        <v>1235274.1599999999</v>
      </c>
      <c r="G62" s="114">
        <v>4227.0599999999995</v>
      </c>
      <c r="H62" s="114">
        <v>1167867.94</v>
      </c>
      <c r="I62" s="114">
        <f t="shared" si="3"/>
        <v>-4227.0600000000559</v>
      </c>
      <c r="J62" s="114">
        <f t="shared" si="0"/>
        <v>1172095</v>
      </c>
      <c r="K62" s="114">
        <f t="shared" si="1"/>
        <v>63179.159999999916</v>
      </c>
      <c r="L62" s="207" t="str">
        <f t="shared" si="4"/>
        <v>Due To TF</v>
      </c>
    </row>
    <row r="63" spans="1:12">
      <c r="A63" s="208" t="s">
        <v>14</v>
      </c>
      <c r="B63" s="209">
        <v>562835</v>
      </c>
      <c r="C63" s="210">
        <v>135717.12</v>
      </c>
      <c r="D63" s="211">
        <v>402331.53</v>
      </c>
      <c r="E63" s="211">
        <v>15185</v>
      </c>
      <c r="F63" s="211">
        <f t="shared" si="5"/>
        <v>553233.65</v>
      </c>
      <c r="G63" s="211">
        <v>0</v>
      </c>
      <c r="H63" s="211">
        <v>562292.06999999995</v>
      </c>
      <c r="I63" s="211">
        <f t="shared" si="3"/>
        <v>-542.93000000005122</v>
      </c>
      <c r="J63" s="211">
        <f t="shared" si="0"/>
        <v>562292.06999999995</v>
      </c>
      <c r="K63" s="211">
        <f t="shared" si="1"/>
        <v>-9058.4199999999255</v>
      </c>
      <c r="L63" s="212" t="str">
        <f t="shared" si="4"/>
        <v>Due From TF</v>
      </c>
    </row>
    <row r="64" spans="1:12">
      <c r="A64" s="208" t="s">
        <v>4</v>
      </c>
      <c r="B64" s="209">
        <v>485497</v>
      </c>
      <c r="C64" s="210">
        <v>349286.61999999988</v>
      </c>
      <c r="D64" s="211">
        <v>138492.06</v>
      </c>
      <c r="E64" s="211">
        <v>13098</v>
      </c>
      <c r="F64" s="211">
        <f t="shared" si="5"/>
        <v>500876.67999999988</v>
      </c>
      <c r="G64" s="211">
        <v>0</v>
      </c>
      <c r="H64" s="211">
        <v>466253.51</v>
      </c>
      <c r="I64" s="211">
        <f t="shared" si="3"/>
        <v>-19243.489999999991</v>
      </c>
      <c r="J64" s="211">
        <f t="shared" si="0"/>
        <v>466253.51</v>
      </c>
      <c r="K64" s="211">
        <f t="shared" si="1"/>
        <v>34623.169999999867</v>
      </c>
      <c r="L64" s="212" t="str">
        <f t="shared" si="4"/>
        <v>Due To TF</v>
      </c>
    </row>
    <row r="65" spans="1:12">
      <c r="A65" s="204" t="s">
        <v>62</v>
      </c>
      <c r="B65" s="205">
        <v>11626073</v>
      </c>
      <c r="C65" s="206">
        <v>2760621.25</v>
      </c>
      <c r="D65" s="114">
        <v>10569413.039999999</v>
      </c>
      <c r="E65" s="114">
        <v>313658</v>
      </c>
      <c r="F65" s="114">
        <f t="shared" si="5"/>
        <v>13643692.289999999</v>
      </c>
      <c r="G65" s="114">
        <v>31884.37</v>
      </c>
      <c r="H65" s="114">
        <v>10426672.85</v>
      </c>
      <c r="I65" s="114">
        <f t="shared" si="3"/>
        <v>-1199400.1500000004</v>
      </c>
      <c r="J65" s="114">
        <f t="shared" si="0"/>
        <v>10458557.219999999</v>
      </c>
      <c r="K65" s="114">
        <f t="shared" si="1"/>
        <v>3185135.0700000003</v>
      </c>
      <c r="L65" s="207" t="str">
        <f t="shared" si="4"/>
        <v>Due To TF</v>
      </c>
    </row>
    <row r="66" spans="1:12">
      <c r="A66" s="204" t="s">
        <v>26</v>
      </c>
      <c r="B66" s="205">
        <v>688701</v>
      </c>
      <c r="C66" s="206">
        <v>189979.62000000002</v>
      </c>
      <c r="D66" s="114">
        <v>610755.42999999993</v>
      </c>
      <c r="E66" s="114">
        <v>18580</v>
      </c>
      <c r="F66" s="114">
        <f t="shared" si="5"/>
        <v>819315.04999999993</v>
      </c>
      <c r="G66" s="114">
        <v>4146.9799999999996</v>
      </c>
      <c r="H66" s="114">
        <v>688701</v>
      </c>
      <c r="I66" s="114">
        <f t="shared" si="3"/>
        <v>0</v>
      </c>
      <c r="J66" s="114">
        <f t="shared" ref="J66:J67" si="6">SUM(G66:H66)</f>
        <v>692847.98</v>
      </c>
      <c r="K66" s="114">
        <f t="shared" si="1"/>
        <v>126467.06999999995</v>
      </c>
      <c r="L66" s="207" t="str">
        <f t="shared" si="4"/>
        <v>Due To TF</v>
      </c>
    </row>
    <row r="67" spans="1:12">
      <c r="A67" s="204" t="s">
        <v>35</v>
      </c>
      <c r="B67" s="205">
        <v>1649782</v>
      </c>
      <c r="C67" s="206">
        <v>340371.25</v>
      </c>
      <c r="D67" s="114">
        <v>1602680.5</v>
      </c>
      <c r="E67" s="114">
        <v>44509</v>
      </c>
      <c r="F67" s="114">
        <f t="shared" si="5"/>
        <v>1987560.75</v>
      </c>
      <c r="G67" s="114">
        <v>56098.87000000001</v>
      </c>
      <c r="H67" s="114">
        <v>1649782</v>
      </c>
      <c r="I67" s="114">
        <f>H67-B67</f>
        <v>0</v>
      </c>
      <c r="J67" s="114">
        <f t="shared" si="6"/>
        <v>1705880.87</v>
      </c>
      <c r="K67" s="114">
        <f>F67-J67</f>
        <v>281679.87999999989</v>
      </c>
      <c r="L67" s="207" t="str">
        <f>_xlfn.IFS(K67&gt;0,"Due To TF",K67&lt;0,"Due From TF")</f>
        <v>Due To TF</v>
      </c>
    </row>
    <row r="68" spans="1:12">
      <c r="A68" s="208" t="s">
        <v>15</v>
      </c>
      <c r="B68" s="209">
        <v>786795</v>
      </c>
      <c r="C68" s="210">
        <v>299313.25</v>
      </c>
      <c r="D68" s="211">
        <v>506761.27</v>
      </c>
      <c r="E68" s="211">
        <v>21226</v>
      </c>
      <c r="F68" s="211">
        <f t="shared" si="5"/>
        <v>827300.52</v>
      </c>
      <c r="G68" s="211">
        <v>0</v>
      </c>
      <c r="H68" s="211">
        <v>786795</v>
      </c>
      <c r="I68" s="211">
        <f>H68-B68</f>
        <v>0</v>
      </c>
      <c r="J68" s="211">
        <f>SUM(G68:H68)</f>
        <v>786795</v>
      </c>
      <c r="K68" s="211">
        <f>F68-J68</f>
        <v>40505.520000000019</v>
      </c>
      <c r="L68" s="212" t="str">
        <f>_xlfn.IFS(K68&gt;0,"Due To TF",K68&lt;0,"Due From TF")</f>
        <v>Due To TF</v>
      </c>
    </row>
    <row r="69" spans="1:12" ht="16.5" thickBot="1">
      <c r="A69" s="117"/>
      <c r="B69" s="118"/>
      <c r="C69" s="118"/>
      <c r="D69" s="118"/>
      <c r="E69" s="118"/>
      <c r="F69" s="114"/>
      <c r="G69" s="118"/>
      <c r="H69" s="118"/>
      <c r="I69" s="118"/>
      <c r="J69" s="114"/>
      <c r="K69" s="119"/>
      <c r="L69" s="120"/>
    </row>
    <row r="70" spans="1:12" ht="16.5" thickTop="1">
      <c r="A70" s="217" t="s">
        <v>100</v>
      </c>
      <c r="B70" s="218">
        <f>SUM(B2:B68)</f>
        <v>444778204</v>
      </c>
      <c r="C70" s="218">
        <f t="shared" ref="C70:K70" si="7">SUM(C2:C68)</f>
        <v>35491503.159999989</v>
      </c>
      <c r="D70" s="218">
        <f t="shared" si="7"/>
        <v>438294434.63</v>
      </c>
      <c r="E70" s="218">
        <f t="shared" si="7"/>
        <v>11999572.960000001</v>
      </c>
      <c r="F70" s="218">
        <f t="shared" si="7"/>
        <v>485785510.75000006</v>
      </c>
      <c r="G70" s="218">
        <f t="shared" si="7"/>
        <v>28778989.130000003</v>
      </c>
      <c r="H70" s="218">
        <f t="shared" si="7"/>
        <v>429822843.53313607</v>
      </c>
      <c r="I70" s="136">
        <f>SUM(I2:I68)</f>
        <v>-14955360.466864007</v>
      </c>
      <c r="J70" s="219">
        <f t="shared" si="7"/>
        <v>458601832.66313601</v>
      </c>
      <c r="K70" s="219">
        <f t="shared" si="7"/>
        <v>27183678.086864021</v>
      </c>
      <c r="L70" s="218"/>
    </row>
    <row r="71" spans="1:12">
      <c r="D71" s="116"/>
      <c r="I71" s="116"/>
      <c r="J71" s="116"/>
    </row>
    <row r="72" spans="1:12">
      <c r="A72" s="122"/>
      <c r="B72" s="122"/>
      <c r="G72" s="220"/>
      <c r="H72" s="221"/>
      <c r="J72" s="225"/>
      <c r="L72" s="123"/>
    </row>
    <row r="73" spans="1:12" ht="15.75" customHeight="1">
      <c r="A73" s="428"/>
      <c r="B73" s="428"/>
      <c r="C73" s="428"/>
      <c r="D73" s="428"/>
      <c r="E73" s="124"/>
      <c r="F73" s="124"/>
      <c r="G73" s="222"/>
      <c r="H73" s="221"/>
      <c r="I73" s="124"/>
      <c r="J73" s="225"/>
      <c r="L73" s="123"/>
    </row>
    <row r="74" spans="1:12">
      <c r="A74" s="124"/>
      <c r="B74" s="124"/>
      <c r="C74" s="124"/>
      <c r="D74" s="124"/>
      <c r="E74" s="124"/>
      <c r="F74" s="124"/>
      <c r="G74" s="125"/>
      <c r="H74" s="116"/>
      <c r="I74" s="124"/>
      <c r="J74" s="116"/>
    </row>
    <row r="75" spans="1:12">
      <c r="G75" s="220"/>
    </row>
    <row r="76" spans="1:12">
      <c r="K76" s="123"/>
    </row>
    <row r="77" spans="1:12">
      <c r="H77" s="223"/>
      <c r="I77" s="116"/>
      <c r="K77" s="116"/>
    </row>
    <row r="78" spans="1:12">
      <c r="I78" s="116"/>
    </row>
    <row r="80" spans="1:12" s="123" customFormat="1">
      <c r="G80" s="224"/>
    </row>
  </sheetData>
  <mergeCells count="1">
    <mergeCell ref="A73:D73"/>
  </mergeCells>
  <pageMargins left="0.5" right="0.5" top="0.5" bottom="1" header="0.25" footer="0.25"/>
  <pageSetup paperSize="5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D66D-0F66-4B2D-A58A-6AEA620A4F60}">
  <sheetPr>
    <tabColor rgb="FF0070C0"/>
  </sheetPr>
  <dimension ref="A1:E11"/>
  <sheetViews>
    <sheetView topLeftCell="B1" zoomScale="150" zoomScaleNormal="150" workbookViewId="0">
      <selection activeCell="A14" sqref="A14"/>
    </sheetView>
  </sheetViews>
  <sheetFormatPr defaultRowHeight="16.5"/>
  <cols>
    <col min="1" max="1" width="69" style="127" customWidth="1"/>
    <col min="2" max="2" width="19.140625" style="127" customWidth="1"/>
    <col min="3" max="3" width="3.85546875" style="127" customWidth="1"/>
    <col min="4" max="5" width="17.28515625" style="127" customWidth="1"/>
    <col min="6" max="16384" width="9.140625" style="127"/>
  </cols>
  <sheetData>
    <row r="1" spans="1:5" s="126" customFormat="1" ht="19.5">
      <c r="A1" s="429" t="s">
        <v>197</v>
      </c>
      <c r="B1" s="429"/>
    </row>
    <row r="2" spans="1:5" s="126" customFormat="1" ht="19.5">
      <c r="D2" s="135" t="s">
        <v>101</v>
      </c>
    </row>
    <row r="3" spans="1:5">
      <c r="A3" s="127" t="s">
        <v>198</v>
      </c>
      <c r="B3" s="128">
        <v>441000000</v>
      </c>
    </row>
    <row r="4" spans="1:5">
      <c r="A4" s="127" t="s">
        <v>199</v>
      </c>
      <c r="B4" s="128">
        <v>1600000</v>
      </c>
      <c r="D4" s="226">
        <f>2719382.32</f>
        <v>2719382.32</v>
      </c>
      <c r="E4" s="129">
        <f>D4-B4</f>
        <v>1119382.3199999998</v>
      </c>
    </row>
    <row r="5" spans="1:5">
      <c r="A5" s="127" t="s">
        <v>102</v>
      </c>
      <c r="B5" s="130">
        <f>B4*-0.1</f>
        <v>-160000</v>
      </c>
      <c r="C5" s="130"/>
      <c r="D5" s="130">
        <f t="shared" ref="D5" si="0">D4*-0.1</f>
        <v>-271938.23200000002</v>
      </c>
      <c r="E5" s="131">
        <f>-(B5-D5)</f>
        <v>-111938.23200000002</v>
      </c>
    </row>
    <row r="6" spans="1:5">
      <c r="A6" s="127" t="s">
        <v>200</v>
      </c>
      <c r="B6" s="128">
        <v>9750224</v>
      </c>
      <c r="E6" s="134">
        <f>E4+E5</f>
        <v>1007444.0879999998</v>
      </c>
    </row>
    <row r="7" spans="1:5" ht="17.25" thickBot="1">
      <c r="A7" s="127" t="s">
        <v>201</v>
      </c>
      <c r="B7" s="128">
        <v>1019573.415</v>
      </c>
    </row>
    <row r="8" spans="1:5" ht="17.25" thickTop="1">
      <c r="B8" s="132">
        <f>SUM(B3:B7)</f>
        <v>453209797.41500002</v>
      </c>
    </row>
    <row r="9" spans="1:5">
      <c r="B9" s="128"/>
    </row>
    <row r="11" spans="1:5">
      <c r="B11" s="133"/>
      <c r="D11"/>
    </row>
  </sheetData>
  <mergeCells count="1">
    <mergeCell ref="A1:B1"/>
  </mergeCells>
  <printOptions horizontalCentered="1"/>
  <pageMargins left="1" right="1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New Revenue Summary</vt:lpstr>
      <vt:lpstr>Issue Requests </vt:lpstr>
      <vt:lpstr>BUDGET CALCULATION </vt:lpstr>
      <vt:lpstr>FRS Calc.   </vt:lpstr>
      <vt:lpstr>FRS Blended Rate</vt:lpstr>
      <vt:lpstr>WWM Applied to $453.2M </vt:lpstr>
      <vt:lpstr>WWM Applied to $453.2M (by PG)</vt:lpstr>
      <vt:lpstr>UBF (21-22 Settle-Up) </vt:lpstr>
      <vt:lpstr>Additional CE (21-22) </vt:lpstr>
      <vt:lpstr>Peer Group Comparison </vt:lpstr>
      <vt:lpstr>Reduction Exercise </vt:lpstr>
      <vt:lpstr>'Additional CE (21-22) '!Print_Area</vt:lpstr>
      <vt:lpstr>'BUDGET CALCULATION '!Print_Area</vt:lpstr>
      <vt:lpstr>'New Revenue Summary'!Print_Area</vt:lpstr>
      <vt:lpstr>'BUDGET CALCULATION '!Print_Titles</vt:lpstr>
      <vt:lpstr>'Issue Requests '!Print_Titles</vt:lpstr>
      <vt:lpstr>'Peer Group Comparison '!Print_Titles</vt:lpstr>
      <vt:lpstr>'Reduction Exercise '!Print_Titles</vt:lpstr>
      <vt:lpstr>'UBF (21-22 Settle-Up) '!Print_Titles</vt:lpstr>
      <vt:lpstr>'WWM Applied to $453.2M '!Print_Titles</vt:lpstr>
      <vt:lpstr>'WWM Applied to $453.2M (by PG)'!Print_Titles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Griffin Kolchakian</cp:lastModifiedBy>
  <cp:lastPrinted>2023-08-24T19:36:15Z</cp:lastPrinted>
  <dcterms:created xsi:type="dcterms:W3CDTF">2021-03-31T23:54:41Z</dcterms:created>
  <dcterms:modified xsi:type="dcterms:W3CDTF">2023-10-25T15:32:41Z</dcterms:modified>
</cp:coreProperties>
</file>