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2020 Meetings\"/>
    </mc:Choice>
  </mc:AlternateContent>
  <xr:revisionPtr revIDLastSave="0" documentId="13_ncr:1_{7952AB9B-0D69-4060-8C4D-B535E16A7653}" xr6:coauthVersionLast="47" xr6:coauthVersionMax="47" xr10:uidLastSave="{00000000-0000-0000-0000-000000000000}"/>
  <bookViews>
    <workbookView xWindow="285" yWindow="75" windowWidth="13725" windowHeight="15255" firstSheet="2" activeTab="2" xr2:uid="{84122252-4428-46A4-801B-5000D2D89BFD}"/>
  </bookViews>
  <sheets>
    <sheet name="CFY 2020-21 Reductions" sheetId="1" state="hidden" r:id="rId1"/>
    <sheet name="Weighted Cases Calc" sheetId="8" state="hidden" r:id="rId2"/>
    <sheet name="New Revenue Summary" sheetId="10" r:id="rId3"/>
    <sheet name="BUDGET CALC.  " sheetId="7" r:id="rId4"/>
    <sheet name="Weighted Cases Calc.  " sheetId="2" r:id="rId5"/>
    <sheet name="Budget Issues Summary" sheetId="9" r:id="rId6"/>
    <sheet name="Peer Group WW wo Jury" sheetId="4" state="hidden" r:id="rId7"/>
  </sheets>
  <definedNames>
    <definedName name="_xlnm._FilterDatabase" localSheetId="3" hidden="1">'BUDGET CALC.  '!$A$5:$R$72</definedName>
    <definedName name="_xlnm._FilterDatabase" localSheetId="5" hidden="1">'Budget Issues Summary'!$A$1:$I$323</definedName>
    <definedName name="_xlnm._FilterDatabase" localSheetId="0" hidden="1">'CFY 2020-21 Reductions'!$A$5:$AC$72</definedName>
    <definedName name="_xlnm.Print_Area" localSheetId="3">'BUDGET CALC.  '!$A:$R</definedName>
    <definedName name="_xlnm.Print_Area" localSheetId="0">'CFY 2020-21 Reductions'!$A:$AC</definedName>
    <definedName name="_xlnm.Print_Area" localSheetId="2">'New Revenue Summary'!$A$1:$B$23</definedName>
    <definedName name="_xlnm.Print_Titles" localSheetId="3">'BUDGET CALC.  '!$A:$B,'BUDGET CALC.  '!$1:$5</definedName>
    <definedName name="_xlnm.Print_Titles" localSheetId="5">'Budget Issues Summary'!$1:$1</definedName>
    <definedName name="_xlnm.Print_Titles" localSheetId="0">'CFY 2020-21 Reductions'!$A:$B,'CFY 2020-21 Reductions'!$1:$5</definedName>
    <definedName name="_xlnm.Print_Titles" localSheetId="6">'Peer Group WW wo Jury'!$2:$2</definedName>
    <definedName name="_xlnm.Print_Titles" localSheetId="1">'Weighted Cases Calc'!$A:$C,'Weighted Cases Calc'!$1:$3</definedName>
    <definedName name="_xlnm.Print_Titles" localSheetId="4">'Weighted Cases Calc.  '!$A:$C,'Weighted Cases Calc. 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0" l="1"/>
  <c r="B13" i="10" l="1"/>
  <c r="B14" i="10" s="1"/>
  <c r="B7" i="10"/>
  <c r="B20" i="10" s="1"/>
  <c r="B21" i="10" s="1"/>
  <c r="J77" i="7"/>
  <c r="G7" i="9" l="1"/>
  <c r="H7" i="9"/>
  <c r="I8" i="9"/>
  <c r="G14" i="9"/>
  <c r="H14" i="9"/>
  <c r="I15" i="9" s="1"/>
  <c r="I18" i="9"/>
  <c r="G22" i="9"/>
  <c r="H22" i="9"/>
  <c r="I23" i="9" s="1"/>
  <c r="I26" i="9"/>
  <c r="G36" i="9"/>
  <c r="H36" i="9"/>
  <c r="I37" i="9" s="1"/>
  <c r="G42" i="9"/>
  <c r="H42" i="9"/>
  <c r="I43" i="9" s="1"/>
  <c r="G48" i="9"/>
  <c r="H48" i="9"/>
  <c r="I49" i="9" s="1"/>
  <c r="G54" i="9"/>
  <c r="H54" i="9"/>
  <c r="I55" i="9" s="1"/>
  <c r="G59" i="9"/>
  <c r="H59" i="9"/>
  <c r="I60" i="9" s="1"/>
  <c r="G63" i="9"/>
  <c r="H63" i="9"/>
  <c r="I64" i="9" s="1"/>
  <c r="I67" i="9"/>
  <c r="G71" i="9"/>
  <c r="H71" i="9"/>
  <c r="I72" i="9" s="1"/>
  <c r="G78" i="9"/>
  <c r="H78" i="9"/>
  <c r="I79" i="9"/>
  <c r="G82" i="9"/>
  <c r="H82" i="9"/>
  <c r="I83" i="9" s="1"/>
  <c r="G87" i="9"/>
  <c r="H87" i="9"/>
  <c r="I88" i="9"/>
  <c r="I91" i="9"/>
  <c r="G97" i="9"/>
  <c r="H97" i="9"/>
  <c r="I98" i="9"/>
  <c r="I101" i="9"/>
  <c r="G104" i="9"/>
  <c r="H104" i="9"/>
  <c r="I105" i="9" s="1"/>
  <c r="G109" i="9"/>
  <c r="H109" i="9"/>
  <c r="I110" i="9"/>
  <c r="I113" i="9"/>
  <c r="G117" i="9"/>
  <c r="H117" i="9"/>
  <c r="I118" i="9" s="1"/>
  <c r="I121" i="9"/>
  <c r="G125" i="9"/>
  <c r="H125" i="9"/>
  <c r="I126" i="9" s="1"/>
  <c r="G130" i="9"/>
  <c r="H130" i="9"/>
  <c r="I131" i="9"/>
  <c r="G138" i="9"/>
  <c r="H138" i="9"/>
  <c r="I139" i="9" s="1"/>
  <c r="G145" i="9"/>
  <c r="H145" i="9"/>
  <c r="I146" i="9"/>
  <c r="G149" i="9"/>
  <c r="H149" i="9"/>
  <c r="I150" i="9" s="1"/>
  <c r="I153" i="9"/>
  <c r="G156" i="9"/>
  <c r="H156" i="9"/>
  <c r="I157" i="9"/>
  <c r="G160" i="9"/>
  <c r="H160" i="9"/>
  <c r="I161" i="9"/>
  <c r="I164" i="9"/>
  <c r="G170" i="9"/>
  <c r="H170" i="9"/>
  <c r="I171" i="9"/>
  <c r="G178" i="9"/>
  <c r="H178" i="9"/>
  <c r="I179" i="9" s="1"/>
  <c r="G182" i="9"/>
  <c r="H182" i="9"/>
  <c r="I183" i="9" s="1"/>
  <c r="G186" i="9"/>
  <c r="H186" i="9"/>
  <c r="I187" i="9"/>
  <c r="G194" i="9"/>
  <c r="H194" i="9"/>
  <c r="I195" i="9"/>
  <c r="G200" i="9"/>
  <c r="H200" i="9"/>
  <c r="I201" i="9" s="1"/>
  <c r="G205" i="9"/>
  <c r="H205" i="9"/>
  <c r="I206" i="9"/>
  <c r="G210" i="9"/>
  <c r="H210" i="9"/>
  <c r="I211" i="9"/>
  <c r="G214" i="9"/>
  <c r="H214" i="9"/>
  <c r="I215" i="9" s="1"/>
  <c r="I218" i="9"/>
  <c r="G221" i="9"/>
  <c r="H221" i="9"/>
  <c r="I222" i="9" s="1"/>
  <c r="G225" i="9"/>
  <c r="H225" i="9"/>
  <c r="I226" i="9" s="1"/>
  <c r="G230" i="9"/>
  <c r="H230" i="9"/>
  <c r="I231" i="9"/>
  <c r="I234" i="9"/>
  <c r="G240" i="9"/>
  <c r="H240" i="9"/>
  <c r="I241" i="9"/>
  <c r="G246" i="9"/>
  <c r="H246" i="9"/>
  <c r="I247" i="9" s="1"/>
  <c r="G250" i="9"/>
  <c r="H250" i="9"/>
  <c r="I251" i="9"/>
  <c r="G255" i="9"/>
  <c r="H255" i="9"/>
  <c r="I256" i="9" s="1"/>
  <c r="G260" i="9"/>
  <c r="H260" i="9"/>
  <c r="I261" i="9"/>
  <c r="G265" i="9"/>
  <c r="H265" i="9"/>
  <c r="I266" i="9" s="1"/>
  <c r="G270" i="9"/>
  <c r="H270" i="9"/>
  <c r="I271" i="9"/>
  <c r="I274" i="9"/>
  <c r="G277" i="9"/>
  <c r="H277" i="9"/>
  <c r="I278" i="9"/>
  <c r="I281" i="9"/>
  <c r="G284" i="9"/>
  <c r="H284" i="9"/>
  <c r="I285" i="9"/>
  <c r="G289" i="9"/>
  <c r="H289" i="9"/>
  <c r="I290" i="9"/>
  <c r="I293" i="9"/>
  <c r="G297" i="9"/>
  <c r="H297" i="9"/>
  <c r="I298" i="9" s="1"/>
  <c r="G302" i="9"/>
  <c r="H302" i="9"/>
  <c r="I303" i="9"/>
  <c r="I306" i="9"/>
  <c r="G310" i="9"/>
  <c r="H310" i="9"/>
  <c r="I311" i="9" s="1"/>
  <c r="I314" i="9"/>
  <c r="G318" i="9"/>
  <c r="H318" i="9"/>
  <c r="I319" i="9"/>
  <c r="I322" i="9"/>
  <c r="G324" i="9"/>
  <c r="H324" i="9"/>
  <c r="I324" i="9" l="1"/>
  <c r="F68" i="7" l="1"/>
  <c r="I66" i="8"/>
  <c r="N8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3" i="1"/>
  <c r="T35" i="1"/>
  <c r="T38" i="1"/>
  <c r="T6" i="1"/>
  <c r="G72" i="8"/>
  <c r="H66" i="8"/>
  <c r="H65" i="8"/>
  <c r="H58" i="8"/>
  <c r="H57" i="8"/>
  <c r="H50" i="8"/>
  <c r="H49" i="8"/>
  <c r="H42" i="8"/>
  <c r="H41" i="8"/>
  <c r="H40" i="8"/>
  <c r="H32" i="8"/>
  <c r="H30" i="8"/>
  <c r="G1" i="8"/>
  <c r="H67" i="8" s="1"/>
  <c r="P74" i="7"/>
  <c r="G74" i="7"/>
  <c r="H70" i="7"/>
  <c r="F2" i="7"/>
  <c r="F74" i="7" s="1"/>
  <c r="H59" i="7"/>
  <c r="J59" i="7" s="1"/>
  <c r="M38" i="7"/>
  <c r="M35" i="7"/>
  <c r="M33" i="7"/>
  <c r="M31" i="7"/>
  <c r="H31" i="7"/>
  <c r="M30" i="7"/>
  <c r="M29" i="7"/>
  <c r="M28" i="7"/>
  <c r="M27" i="7"/>
  <c r="M26" i="7"/>
  <c r="M25" i="7"/>
  <c r="H25" i="7"/>
  <c r="M24" i="7"/>
  <c r="M23" i="7"/>
  <c r="M22" i="7"/>
  <c r="H22" i="7"/>
  <c r="M21" i="7"/>
  <c r="H21" i="7"/>
  <c r="M20" i="7"/>
  <c r="M19" i="7"/>
  <c r="M18" i="7"/>
  <c r="M17" i="7"/>
  <c r="M16" i="7"/>
  <c r="M15" i="7"/>
  <c r="M14" i="7"/>
  <c r="M13" i="7"/>
  <c r="H13" i="7"/>
  <c r="M12" i="7"/>
  <c r="H12" i="7"/>
  <c r="M11" i="7"/>
  <c r="M10" i="7"/>
  <c r="H10" i="7"/>
  <c r="M9" i="7"/>
  <c r="M8" i="7"/>
  <c r="H8" i="7"/>
  <c r="M7" i="7"/>
  <c r="M6" i="7"/>
  <c r="G2" i="7"/>
  <c r="E2" i="7"/>
  <c r="E74" i="7" s="1"/>
  <c r="D2" i="7"/>
  <c r="D74" i="7" s="1"/>
  <c r="H17" i="7" l="1"/>
  <c r="J17" i="7" s="1"/>
  <c r="O17" i="7" s="1"/>
  <c r="H61" i="7"/>
  <c r="J61" i="7" s="1"/>
  <c r="H46" i="7"/>
  <c r="J46" i="7" s="1"/>
  <c r="H18" i="7"/>
  <c r="J18" i="7" s="1"/>
  <c r="H47" i="7"/>
  <c r="J47" i="7" s="1"/>
  <c r="H48" i="7"/>
  <c r="J48" i="7" s="1"/>
  <c r="H35" i="7"/>
  <c r="J35" i="7" s="1"/>
  <c r="H20" i="7"/>
  <c r="J20" i="7" s="1"/>
  <c r="O20" i="7" s="1"/>
  <c r="H27" i="7"/>
  <c r="J27" i="7" s="1"/>
  <c r="O27" i="7" s="1"/>
  <c r="H36" i="7"/>
  <c r="J36" i="7" s="1"/>
  <c r="H51" i="7"/>
  <c r="J51" i="7" s="1"/>
  <c r="H67" i="7"/>
  <c r="J67" i="7" s="1"/>
  <c r="H37" i="7"/>
  <c r="J37" i="7" s="1"/>
  <c r="H52" i="7"/>
  <c r="J52" i="7" s="1"/>
  <c r="H24" i="7"/>
  <c r="J24" i="7" s="1"/>
  <c r="O24" i="7" s="1"/>
  <c r="H60" i="7"/>
  <c r="J60" i="7" s="1"/>
  <c r="H63" i="7"/>
  <c r="J63" i="7" s="1"/>
  <c r="H49" i="7"/>
  <c r="J49" i="7" s="1"/>
  <c r="H50" i="7"/>
  <c r="J50" i="7" s="1"/>
  <c r="H38" i="7"/>
  <c r="J38" i="7" s="1"/>
  <c r="H69" i="7"/>
  <c r="J69" i="7" s="1"/>
  <c r="H14" i="7"/>
  <c r="J14" i="7" s="1"/>
  <c r="O14" i="7" s="1"/>
  <c r="H40" i="7"/>
  <c r="J40" i="7" s="1"/>
  <c r="H56" i="7"/>
  <c r="J56" i="7" s="1"/>
  <c r="H71" i="7"/>
  <c r="J71" i="7" s="1"/>
  <c r="H15" i="7"/>
  <c r="H30" i="7"/>
  <c r="J30" i="7" s="1"/>
  <c r="O30" i="7" s="1"/>
  <c r="H41" i="7"/>
  <c r="J41" i="7" s="1"/>
  <c r="H57" i="7"/>
  <c r="J57" i="7" s="1"/>
  <c r="H72" i="7"/>
  <c r="J72" i="7" s="1"/>
  <c r="H9" i="7"/>
  <c r="J9" i="7" s="1"/>
  <c r="O9" i="7" s="1"/>
  <c r="H44" i="7"/>
  <c r="J44" i="7" s="1"/>
  <c r="H45" i="7"/>
  <c r="J45" i="7" s="1"/>
  <c r="H62" i="7"/>
  <c r="J62" i="7" s="1"/>
  <c r="H11" i="7"/>
  <c r="J11" i="7" s="1"/>
  <c r="H26" i="7"/>
  <c r="J26" i="7" s="1"/>
  <c r="O26" i="7" s="1"/>
  <c r="H65" i="7"/>
  <c r="J65" i="7" s="1"/>
  <c r="H66" i="7"/>
  <c r="J66" i="7" s="1"/>
  <c r="H28" i="7"/>
  <c r="J28" i="7" s="1"/>
  <c r="H53" i="7"/>
  <c r="J53" i="7" s="1"/>
  <c r="H39" i="7"/>
  <c r="J39" i="7" s="1"/>
  <c r="H23" i="7"/>
  <c r="J23" i="7" s="1"/>
  <c r="H42" i="7"/>
  <c r="J42" i="7" s="1"/>
  <c r="H58" i="7"/>
  <c r="J58" i="7" s="1"/>
  <c r="H33" i="7"/>
  <c r="J33" i="7" s="1"/>
  <c r="O33" i="7" s="1"/>
  <c r="C3" i="7"/>
  <c r="H34" i="7"/>
  <c r="J34" i="7" s="1"/>
  <c r="H64" i="7"/>
  <c r="J64" i="7" s="1"/>
  <c r="H19" i="7"/>
  <c r="J19" i="7" s="1"/>
  <c r="O19" i="7" s="1"/>
  <c r="H54" i="7"/>
  <c r="J54" i="7" s="1"/>
  <c r="H29" i="7"/>
  <c r="J29" i="7" s="1"/>
  <c r="O29" i="7" s="1"/>
  <c r="H55" i="7"/>
  <c r="J55" i="7" s="1"/>
  <c r="H7" i="7"/>
  <c r="J7" i="7" s="1"/>
  <c r="O7" i="7" s="1"/>
  <c r="H16" i="7"/>
  <c r="J16" i="7" s="1"/>
  <c r="H43" i="7"/>
  <c r="J43" i="7" s="1"/>
  <c r="H32" i="7"/>
  <c r="J32" i="7" s="1"/>
  <c r="H48" i="8"/>
  <c r="H56" i="8"/>
  <c r="H64" i="8"/>
  <c r="H39" i="8"/>
  <c r="H47" i="8"/>
  <c r="H55" i="8"/>
  <c r="H63" i="8"/>
  <c r="H38" i="8"/>
  <c r="H46" i="8"/>
  <c r="H54" i="8"/>
  <c r="H62" i="8"/>
  <c r="H70" i="8"/>
  <c r="H37" i="8"/>
  <c r="H45" i="8"/>
  <c r="H53" i="8"/>
  <c r="H61" i="8"/>
  <c r="H69" i="8"/>
  <c r="H35" i="8"/>
  <c r="H72" i="8" s="1"/>
  <c r="H44" i="8"/>
  <c r="H52" i="8"/>
  <c r="H60" i="8"/>
  <c r="H68" i="8"/>
  <c r="H34" i="8"/>
  <c r="H43" i="8"/>
  <c r="H51" i="8"/>
  <c r="H59" i="8"/>
  <c r="H68" i="7"/>
  <c r="J68" i="7" s="1"/>
  <c r="J21" i="7"/>
  <c r="J10" i="7"/>
  <c r="J22" i="7"/>
  <c r="J25" i="7"/>
  <c r="O25" i="7" s="1"/>
  <c r="J31" i="7"/>
  <c r="J12" i="7"/>
  <c r="J13" i="7"/>
  <c r="O13" i="7" s="1"/>
  <c r="J15" i="7"/>
  <c r="O15" i="7" s="1"/>
  <c r="C2" i="7"/>
  <c r="H6" i="7"/>
  <c r="J70" i="7"/>
  <c r="N23" i="7" l="1"/>
  <c r="O23" i="7"/>
  <c r="N12" i="7"/>
  <c r="O12" i="7"/>
  <c r="N31" i="7"/>
  <c r="O31" i="7"/>
  <c r="N28" i="7"/>
  <c r="O28" i="7"/>
  <c r="N35" i="7"/>
  <c r="O35" i="7"/>
  <c r="N22" i="7"/>
  <c r="O22" i="7"/>
  <c r="N16" i="7"/>
  <c r="O16" i="7"/>
  <c r="L21" i="7"/>
  <c r="O21" i="7"/>
  <c r="N38" i="7"/>
  <c r="O38" i="7"/>
  <c r="L18" i="7"/>
  <c r="O18" i="7"/>
  <c r="Q18" i="7" s="1"/>
  <c r="N10" i="7"/>
  <c r="O10" i="7"/>
  <c r="N11" i="7"/>
  <c r="O11" i="7"/>
  <c r="N29" i="7"/>
  <c r="L29" i="7"/>
  <c r="N18" i="7"/>
  <c r="N27" i="7"/>
  <c r="L16" i="7"/>
  <c r="L27" i="7"/>
  <c r="L10" i="7"/>
  <c r="R27" i="7"/>
  <c r="N7" i="7"/>
  <c r="R29" i="7"/>
  <c r="L31" i="7"/>
  <c r="R25" i="7"/>
  <c r="N21" i="7"/>
  <c r="L12" i="7"/>
  <c r="N25" i="7"/>
  <c r="L25" i="7"/>
  <c r="L22" i="7"/>
  <c r="Q27" i="7"/>
  <c r="Q29" i="7"/>
  <c r="Q25" i="7"/>
  <c r="I74" i="7"/>
  <c r="I2" i="7"/>
  <c r="L14" i="7"/>
  <c r="N19" i="7"/>
  <c r="L19" i="7"/>
  <c r="L20" i="7"/>
  <c r="L30" i="7"/>
  <c r="L13" i="7"/>
  <c r="N15" i="7"/>
  <c r="L15" i="7"/>
  <c r="J3" i="7"/>
  <c r="L7" i="7"/>
  <c r="N14" i="7"/>
  <c r="N20" i="7"/>
  <c r="N30" i="7"/>
  <c r="H74" i="7"/>
  <c r="H77" i="7" s="1"/>
  <c r="J6" i="7"/>
  <c r="O6" i="7" s="1"/>
  <c r="N13" i="7"/>
  <c r="L9" i="7"/>
  <c r="N9" i="7"/>
  <c r="L28" i="7"/>
  <c r="L26" i="7"/>
  <c r="L23" i="7"/>
  <c r="N26" i="7"/>
  <c r="C74" i="7"/>
  <c r="H2" i="7"/>
  <c r="L11" i="7"/>
  <c r="N33" i="7"/>
  <c r="L33" i="7"/>
  <c r="N24" i="7"/>
  <c r="L24" i="7"/>
  <c r="L38" i="7"/>
  <c r="L35" i="7"/>
  <c r="J8" i="7"/>
  <c r="O8" i="7" s="1"/>
  <c r="L17" i="7"/>
  <c r="N17" i="7"/>
  <c r="R18" i="7" l="1"/>
  <c r="R16" i="7"/>
  <c r="Q16" i="7"/>
  <c r="R31" i="7"/>
  <c r="Q31" i="7"/>
  <c r="R22" i="7"/>
  <c r="Q21" i="7"/>
  <c r="R21" i="7"/>
  <c r="R12" i="7"/>
  <c r="Q12" i="7"/>
  <c r="R10" i="7"/>
  <c r="Q10" i="7"/>
  <c r="J2" i="7"/>
  <c r="Q22" i="7"/>
  <c r="Q11" i="7"/>
  <c r="R11" i="7"/>
  <c r="R9" i="7"/>
  <c r="Q9" i="7"/>
  <c r="R7" i="7"/>
  <c r="Q7" i="7"/>
  <c r="R23" i="7"/>
  <c r="Q23" i="7"/>
  <c r="R26" i="7"/>
  <c r="Q26" i="7"/>
  <c r="Q38" i="7"/>
  <c r="R38" i="7"/>
  <c r="Q33" i="7"/>
  <c r="R33" i="7"/>
  <c r="R28" i="7"/>
  <c r="Q28" i="7"/>
  <c r="R30" i="7"/>
  <c r="Q30" i="7"/>
  <c r="Q24" i="7"/>
  <c r="R24" i="7"/>
  <c r="R15" i="7"/>
  <c r="Q15" i="7"/>
  <c r="R14" i="7"/>
  <c r="Q14" i="7"/>
  <c r="L8" i="7"/>
  <c r="N8" i="7"/>
  <c r="R20" i="7"/>
  <c r="Q20" i="7"/>
  <c r="Q17" i="7"/>
  <c r="R17" i="7"/>
  <c r="R35" i="7"/>
  <c r="Q35" i="7"/>
  <c r="R13" i="7"/>
  <c r="Q13" i="7"/>
  <c r="Q19" i="7"/>
  <c r="R19" i="7"/>
  <c r="L6" i="7"/>
  <c r="J4" i="7"/>
  <c r="J74" i="7"/>
  <c r="N6" i="7"/>
  <c r="O1" i="7" l="1"/>
  <c r="K2" i="7" s="1"/>
  <c r="K36" i="7" s="1"/>
  <c r="M2" i="7"/>
  <c r="R6" i="7"/>
  <c r="Q6" i="7"/>
  <c r="Q8" i="7"/>
  <c r="R8" i="7"/>
  <c r="L36" i="7" l="1"/>
  <c r="K51" i="7"/>
  <c r="K43" i="7"/>
  <c r="K58" i="7"/>
  <c r="K44" i="7"/>
  <c r="K42" i="7"/>
  <c r="K55" i="7"/>
  <c r="K57" i="7"/>
  <c r="K40" i="7"/>
  <c r="K49" i="7"/>
  <c r="K56" i="7"/>
  <c r="K65" i="7"/>
  <c r="K70" i="7"/>
  <c r="K54" i="7"/>
  <c r="K67" i="7"/>
  <c r="K62" i="7"/>
  <c r="K61" i="7"/>
  <c r="K47" i="7"/>
  <c r="K52" i="7"/>
  <c r="K48" i="7"/>
  <c r="K32" i="7"/>
  <c r="K37" i="7"/>
  <c r="K63" i="7"/>
  <c r="K68" i="7"/>
  <c r="K60" i="7"/>
  <c r="K39" i="7"/>
  <c r="K71" i="7"/>
  <c r="K34" i="7"/>
  <c r="K45" i="7"/>
  <c r="K72" i="7"/>
  <c r="K69" i="7"/>
  <c r="K59" i="7"/>
  <c r="K50" i="7"/>
  <c r="K46" i="7"/>
  <c r="K66" i="7"/>
  <c r="L2" i="7"/>
  <c r="K41" i="7"/>
  <c r="K64" i="7"/>
  <c r="K53" i="7"/>
  <c r="N2" i="7"/>
  <c r="J1" i="2"/>
  <c r="L63" i="7"/>
  <c r="L48" i="7"/>
  <c r="L66" i="7"/>
  <c r="L40" i="7"/>
  <c r="L52" i="7"/>
  <c r="L44" i="7"/>
  <c r="L54" i="7" l="1"/>
  <c r="L49" i="7"/>
  <c r="L69" i="7"/>
  <c r="L65" i="7"/>
  <c r="L57" i="7"/>
  <c r="L34" i="7"/>
  <c r="L55" i="7"/>
  <c r="L67" i="7"/>
  <c r="L45" i="7"/>
  <c r="L64" i="7"/>
  <c r="L37" i="7"/>
  <c r="L42" i="7"/>
  <c r="L72" i="7"/>
  <c r="L56" i="7"/>
  <c r="L60" i="7"/>
  <c r="L53" i="7"/>
  <c r="L58" i="7"/>
  <c r="L46" i="7"/>
  <c r="L61" i="7"/>
  <c r="L70" i="7"/>
  <c r="L71" i="7"/>
  <c r="L39" i="7"/>
  <c r="L68" i="7"/>
  <c r="L41" i="7"/>
  <c r="L32" i="7"/>
  <c r="L43" i="7"/>
  <c r="L47" i="7"/>
  <c r="L51" i="7"/>
  <c r="L50" i="7"/>
  <c r="L59" i="7"/>
  <c r="L62" i="7"/>
  <c r="K74" i="7"/>
  <c r="L74" i="7" s="1"/>
  <c r="N10" i="1"/>
  <c r="O31" i="1" l="1"/>
  <c r="O21" i="1"/>
  <c r="N21" i="1"/>
  <c r="N12" i="1"/>
  <c r="O12" i="1" s="1"/>
  <c r="O10" i="1"/>
  <c r="O8" i="1"/>
  <c r="N25" i="1"/>
  <c r="O25" i="1" s="1"/>
  <c r="N22" i="1"/>
  <c r="O22" i="1" s="1"/>
  <c r="M74" i="1" l="1"/>
  <c r="N74" i="1"/>
  <c r="O2" i="1"/>
  <c r="V74" i="1" l="1"/>
  <c r="G1" i="2" l="1"/>
  <c r="K74" i="1"/>
  <c r="AA74" i="1" l="1"/>
  <c r="Y74" i="1"/>
  <c r="E3" i="4"/>
  <c r="G3" i="4"/>
  <c r="E4" i="4"/>
  <c r="G4" i="4"/>
  <c r="E5" i="4"/>
  <c r="G5" i="4"/>
  <c r="E6" i="4"/>
  <c r="G6" i="4"/>
  <c r="C7" i="4"/>
  <c r="D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C19" i="4"/>
  <c r="D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C31" i="4"/>
  <c r="D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C41" i="4"/>
  <c r="D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C51" i="4"/>
  <c r="D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C65" i="4"/>
  <c r="D65" i="4"/>
  <c r="E66" i="4"/>
  <c r="G66" i="4"/>
  <c r="E67" i="4"/>
  <c r="G67" i="4"/>
  <c r="E68" i="4"/>
  <c r="G68" i="4"/>
  <c r="E69" i="4"/>
  <c r="G69" i="4"/>
  <c r="E70" i="4"/>
  <c r="G70" i="4"/>
  <c r="C71" i="4"/>
  <c r="D71" i="4"/>
  <c r="E72" i="4"/>
  <c r="G72" i="4"/>
  <c r="E73" i="4"/>
  <c r="G73" i="4"/>
  <c r="E74" i="4"/>
  <c r="G74" i="4"/>
  <c r="E75" i="4"/>
  <c r="G75" i="4"/>
  <c r="E76" i="4"/>
  <c r="G76" i="4"/>
  <c r="C77" i="4"/>
  <c r="D77" i="4"/>
  <c r="H39" i="2"/>
  <c r="H48" i="2"/>
  <c r="H49" i="2"/>
  <c r="H66" i="2"/>
  <c r="H40" i="2"/>
  <c r="H30" i="2"/>
  <c r="H41" i="2"/>
  <c r="H50" i="2"/>
  <c r="H61" i="2"/>
  <c r="H51" i="2"/>
  <c r="H32" i="2"/>
  <c r="H42" i="2"/>
  <c r="H67" i="2"/>
  <c r="H34" i="2"/>
  <c r="H52" i="2"/>
  <c r="H62" i="2"/>
  <c r="H53" i="2"/>
  <c r="H54" i="2"/>
  <c r="H55" i="2"/>
  <c r="H43" i="2"/>
  <c r="H68" i="2"/>
  <c r="H44" i="2"/>
  <c r="H35" i="2"/>
  <c r="H45" i="2"/>
  <c r="H69" i="2"/>
  <c r="H56" i="2"/>
  <c r="H70" i="2"/>
  <c r="H57" i="2"/>
  <c r="H63" i="2"/>
  <c r="H64" i="2"/>
  <c r="H46" i="2"/>
  <c r="H58" i="2"/>
  <c r="H47" i="2"/>
  <c r="H59" i="2"/>
  <c r="H60" i="2"/>
  <c r="H37" i="2"/>
  <c r="H65" i="2"/>
  <c r="H38" i="2"/>
  <c r="G72" i="2"/>
  <c r="D2" i="1"/>
  <c r="D74" i="1" s="1"/>
  <c r="E2" i="1"/>
  <c r="E74" i="1" s="1"/>
  <c r="F2" i="1"/>
  <c r="F74" i="1" s="1"/>
  <c r="H2" i="1"/>
  <c r="H74" i="1" s="1"/>
  <c r="I2" i="1"/>
  <c r="I74" i="1" s="1"/>
  <c r="K2" i="1"/>
  <c r="G41" i="1"/>
  <c r="L41" i="1" s="1"/>
  <c r="G10" i="1"/>
  <c r="L10" i="1" s="1"/>
  <c r="G50" i="1"/>
  <c r="L50" i="1" s="1"/>
  <c r="G21" i="1"/>
  <c r="L21" i="1" s="1"/>
  <c r="G51" i="1"/>
  <c r="L51" i="1" s="1"/>
  <c r="Q51" i="1" s="1"/>
  <c r="G68" i="1"/>
  <c r="J68" i="1"/>
  <c r="J2" i="1" s="1"/>
  <c r="J74" i="1" s="1"/>
  <c r="G6" i="1"/>
  <c r="L6" i="1" s="1"/>
  <c r="G42" i="1"/>
  <c r="L42" i="1" s="1"/>
  <c r="G32" i="1"/>
  <c r="L32" i="1" s="1"/>
  <c r="G43" i="1"/>
  <c r="L43" i="1" s="1"/>
  <c r="G52" i="1"/>
  <c r="L52" i="1" s="1"/>
  <c r="P52" i="1" s="1"/>
  <c r="G33" i="1"/>
  <c r="L33" i="1" s="1"/>
  <c r="P33" i="1" s="1"/>
  <c r="G22" i="1"/>
  <c r="L22" i="1" s="1"/>
  <c r="G11" i="1"/>
  <c r="L11" i="1" s="1"/>
  <c r="G63" i="1"/>
  <c r="L63" i="1" s="1"/>
  <c r="P63" i="1" s="1"/>
  <c r="G53" i="1"/>
  <c r="L53" i="1" s="1"/>
  <c r="G34" i="1"/>
  <c r="L34" i="1" s="1"/>
  <c r="G12" i="1"/>
  <c r="L12" i="1" s="1"/>
  <c r="Q12" i="1" s="1"/>
  <c r="G23" i="1"/>
  <c r="L23" i="1" s="1"/>
  <c r="P23" i="1" s="1"/>
  <c r="G13" i="1"/>
  <c r="L13" i="1" s="1"/>
  <c r="P13" i="1" s="1"/>
  <c r="G14" i="1"/>
  <c r="L14" i="1" s="1"/>
  <c r="G15" i="1"/>
  <c r="L15" i="1" s="1"/>
  <c r="G16" i="1"/>
  <c r="L16" i="1" s="1"/>
  <c r="P16" i="1" s="1"/>
  <c r="G24" i="1"/>
  <c r="L24" i="1" s="1"/>
  <c r="G25" i="1"/>
  <c r="L25" i="1" s="1"/>
  <c r="G44" i="1"/>
  <c r="L44" i="1" s="1"/>
  <c r="Q44" i="1" s="1"/>
  <c r="G35" i="1"/>
  <c r="L35" i="1" s="1"/>
  <c r="P35" i="1" s="1"/>
  <c r="G69" i="1"/>
  <c r="L69" i="1" s="1"/>
  <c r="G17" i="1"/>
  <c r="L17" i="1" s="1"/>
  <c r="G36" i="1"/>
  <c r="L36" i="1" s="1"/>
  <c r="G26" i="1"/>
  <c r="L26" i="1" s="1"/>
  <c r="P26" i="1" s="1"/>
  <c r="G18" i="1"/>
  <c r="L18" i="1" s="1"/>
  <c r="G7" i="1"/>
  <c r="L7" i="1" s="1"/>
  <c r="Q7" i="1" s="1"/>
  <c r="G54" i="1"/>
  <c r="L54" i="1" s="1"/>
  <c r="Q54" i="1" s="1"/>
  <c r="G64" i="1"/>
  <c r="L64" i="1" s="1"/>
  <c r="P64" i="1" s="1"/>
  <c r="G55" i="1"/>
  <c r="L55" i="1" s="1"/>
  <c r="P55" i="1" s="1"/>
  <c r="G27" i="1"/>
  <c r="L27" i="1" s="1"/>
  <c r="G8" i="1"/>
  <c r="L8" i="1" s="1"/>
  <c r="G28" i="1"/>
  <c r="L28" i="1" s="1"/>
  <c r="P28" i="1" s="1"/>
  <c r="G56" i="1"/>
  <c r="L56" i="1" s="1"/>
  <c r="G57" i="1"/>
  <c r="L57" i="1" s="1"/>
  <c r="G45" i="1"/>
  <c r="L45" i="1" s="1"/>
  <c r="Q45" i="1" s="1"/>
  <c r="G70" i="1"/>
  <c r="L70" i="1" s="1"/>
  <c r="P70" i="1" s="1"/>
  <c r="G46" i="1"/>
  <c r="L46" i="1" s="1"/>
  <c r="P46" i="1" s="1"/>
  <c r="G37" i="1"/>
  <c r="L37" i="1" s="1"/>
  <c r="G47" i="1"/>
  <c r="L47" i="1" s="1"/>
  <c r="G29" i="1"/>
  <c r="L29" i="1" s="1"/>
  <c r="Q29" i="1" s="1"/>
  <c r="G71" i="1"/>
  <c r="L71" i="1" s="1"/>
  <c r="Q71" i="1" s="1"/>
  <c r="G58" i="1"/>
  <c r="L58" i="1" s="1"/>
  <c r="G72" i="1"/>
  <c r="L72" i="1" s="1"/>
  <c r="Q72" i="1" s="1"/>
  <c r="G59" i="1"/>
  <c r="L59" i="1" s="1"/>
  <c r="G65" i="1"/>
  <c r="L65" i="1" s="1"/>
  <c r="G66" i="1"/>
  <c r="L66" i="1" s="1"/>
  <c r="P66" i="1" s="1"/>
  <c r="G38" i="1"/>
  <c r="L38" i="1" s="1"/>
  <c r="G48" i="1"/>
  <c r="L48" i="1" s="1"/>
  <c r="P48" i="1" s="1"/>
  <c r="G60" i="1"/>
  <c r="L60" i="1" s="1"/>
  <c r="Q60" i="1" s="1"/>
  <c r="G49" i="1"/>
  <c r="L49" i="1" s="1"/>
  <c r="G61" i="1"/>
  <c r="L61" i="1" s="1"/>
  <c r="Q61" i="1" s="1"/>
  <c r="G62" i="1"/>
  <c r="L62" i="1" s="1"/>
  <c r="P62" i="1" s="1"/>
  <c r="G39" i="1"/>
  <c r="L39" i="1" s="1"/>
  <c r="G30" i="1"/>
  <c r="L30" i="1" s="1"/>
  <c r="P30" i="1" s="1"/>
  <c r="G19" i="1"/>
  <c r="L19" i="1" s="1"/>
  <c r="P19" i="1" s="1"/>
  <c r="G9" i="1"/>
  <c r="L9" i="1" s="1"/>
  <c r="P9" i="1" s="1"/>
  <c r="G67" i="1"/>
  <c r="L67" i="1" s="1"/>
  <c r="Q67" i="1" s="1"/>
  <c r="G31" i="1"/>
  <c r="L31" i="1" s="1"/>
  <c r="Q31" i="1" s="1"/>
  <c r="G40" i="1"/>
  <c r="L40" i="1" s="1"/>
  <c r="G20" i="1"/>
  <c r="L20" i="1" s="1"/>
  <c r="H72" i="2" l="1"/>
  <c r="D61" i="2"/>
  <c r="D61" i="8"/>
  <c r="D46" i="2"/>
  <c r="D46" i="8"/>
  <c r="D64" i="2"/>
  <c r="D64" i="8"/>
  <c r="D44" i="2"/>
  <c r="D44" i="8"/>
  <c r="D53" i="2"/>
  <c r="D53" i="8"/>
  <c r="D60" i="2"/>
  <c r="D60" i="8"/>
  <c r="D68" i="2"/>
  <c r="D68" i="8"/>
  <c r="D62" i="2"/>
  <c r="D62" i="8"/>
  <c r="D50" i="2"/>
  <c r="D50" i="8"/>
  <c r="E77" i="4"/>
  <c r="F74" i="4" s="1"/>
  <c r="H74" i="4" s="1"/>
  <c r="I74" i="4" s="1"/>
  <c r="J74" i="4" s="1"/>
  <c r="P6" i="1"/>
  <c r="X6" i="1" s="1"/>
  <c r="U30" i="1"/>
  <c r="U23" i="1"/>
  <c r="L68" i="1"/>
  <c r="L74" i="1" s="1"/>
  <c r="Q48" i="1"/>
  <c r="Q34" i="1"/>
  <c r="P34" i="1"/>
  <c r="Q57" i="1"/>
  <c r="P57" i="1"/>
  <c r="Q40" i="1"/>
  <c r="P40" i="1"/>
  <c r="Q49" i="1"/>
  <c r="P49" i="1"/>
  <c r="P67" i="1"/>
  <c r="Q55" i="1"/>
  <c r="P44" i="1"/>
  <c r="Q13" i="1"/>
  <c r="P51" i="1"/>
  <c r="Q19" i="1"/>
  <c r="Q28" i="1"/>
  <c r="E65" i="4"/>
  <c r="F64" i="4" s="1"/>
  <c r="H64" i="4" s="1"/>
  <c r="I64" i="4" s="1"/>
  <c r="J64" i="4" s="1"/>
  <c r="E51" i="4"/>
  <c r="F47" i="4" s="1"/>
  <c r="H47" i="4" s="1"/>
  <c r="I47" i="4" s="1"/>
  <c r="J47" i="4" s="1"/>
  <c r="E71" i="4"/>
  <c r="F70" i="4" s="1"/>
  <c r="H70" i="4" s="1"/>
  <c r="I70" i="4" s="1"/>
  <c r="J70" i="4" s="1"/>
  <c r="E19" i="4"/>
  <c r="F14" i="4" s="1"/>
  <c r="H14" i="4" s="1"/>
  <c r="I14" i="4" s="1"/>
  <c r="J14" i="4" s="1"/>
  <c r="E41" i="4"/>
  <c r="F33" i="4" s="1"/>
  <c r="H33" i="4" s="1"/>
  <c r="I33" i="4" s="1"/>
  <c r="J33" i="4" s="1"/>
  <c r="F39" i="4"/>
  <c r="H39" i="4" s="1"/>
  <c r="I39" i="4" s="1"/>
  <c r="J39" i="4" s="1"/>
  <c r="C79" i="4"/>
  <c r="F68" i="4"/>
  <c r="H68" i="4" s="1"/>
  <c r="I68" i="4" s="1"/>
  <c r="J68" i="4" s="1"/>
  <c r="F18" i="4"/>
  <c r="H18" i="4" s="1"/>
  <c r="I18" i="4" s="1"/>
  <c r="J18" i="4" s="1"/>
  <c r="F76" i="4"/>
  <c r="H76" i="4" s="1"/>
  <c r="I76" i="4" s="1"/>
  <c r="J76" i="4" s="1"/>
  <c r="G79" i="4"/>
  <c r="E31" i="4"/>
  <c r="F28" i="4" s="1"/>
  <c r="H28" i="4" s="1"/>
  <c r="I28" i="4" s="1"/>
  <c r="J28" i="4" s="1"/>
  <c r="F12" i="4"/>
  <c r="H12" i="4" s="1"/>
  <c r="I12" i="4" s="1"/>
  <c r="J12" i="4" s="1"/>
  <c r="D79" i="4"/>
  <c r="F15" i="4"/>
  <c r="H15" i="4" s="1"/>
  <c r="I15" i="4" s="1"/>
  <c r="J15" i="4" s="1"/>
  <c r="E7" i="4"/>
  <c r="F6" i="4" s="1"/>
  <c r="H6" i="4" s="1"/>
  <c r="I6" i="4" s="1"/>
  <c r="J6" i="4" s="1"/>
  <c r="F48" i="4"/>
  <c r="H48" i="4" s="1"/>
  <c r="I48" i="4" s="1"/>
  <c r="J48" i="4" s="1"/>
  <c r="F43" i="4"/>
  <c r="H43" i="4" s="1"/>
  <c r="I43" i="4" s="1"/>
  <c r="J43" i="4" s="1"/>
  <c r="F17" i="4"/>
  <c r="H17" i="4" s="1"/>
  <c r="I17" i="4" s="1"/>
  <c r="J17" i="4" s="1"/>
  <c r="F13" i="4"/>
  <c r="H13" i="4" s="1"/>
  <c r="I13" i="4" s="1"/>
  <c r="J13" i="4" s="1"/>
  <c r="U35" i="1"/>
  <c r="P69" i="1"/>
  <c r="Q69" i="1"/>
  <c r="P65" i="1"/>
  <c r="Q65" i="1"/>
  <c r="P20" i="1"/>
  <c r="Q20" i="1"/>
  <c r="Q43" i="1"/>
  <c r="P43" i="1"/>
  <c r="Q25" i="1"/>
  <c r="P25" i="1"/>
  <c r="Q58" i="1"/>
  <c r="P58" i="1"/>
  <c r="P7" i="1"/>
  <c r="X7" i="1" s="1"/>
  <c r="Q33" i="1"/>
  <c r="Q9" i="1"/>
  <c r="P60" i="1"/>
  <c r="Q46" i="1"/>
  <c r="P54" i="1"/>
  <c r="Q6" i="1"/>
  <c r="P31" i="1"/>
  <c r="P29" i="1"/>
  <c r="P39" i="1"/>
  <c r="Q39" i="1"/>
  <c r="U9" i="1"/>
  <c r="U26" i="1"/>
  <c r="U28" i="1"/>
  <c r="P17" i="1"/>
  <c r="Q17" i="1"/>
  <c r="U16" i="1"/>
  <c r="P22" i="1"/>
  <c r="Q22" i="1"/>
  <c r="P14" i="1"/>
  <c r="Q14" i="1"/>
  <c r="P8" i="1"/>
  <c r="Q8" i="1"/>
  <c r="Q66" i="1"/>
  <c r="P72" i="1"/>
  <c r="P56" i="1"/>
  <c r="Q56" i="1"/>
  <c r="P36" i="1"/>
  <c r="Q36" i="1"/>
  <c r="U13" i="1"/>
  <c r="P12" i="1"/>
  <c r="U33" i="1"/>
  <c r="P42" i="1"/>
  <c r="Q42" i="1"/>
  <c r="P11" i="1"/>
  <c r="Q11" i="1"/>
  <c r="P15" i="1"/>
  <c r="Q15" i="1"/>
  <c r="P27" i="1"/>
  <c r="Q27" i="1"/>
  <c r="P24" i="1"/>
  <c r="Q24" i="1"/>
  <c r="P53" i="1"/>
  <c r="Q53" i="1"/>
  <c r="P41" i="1"/>
  <c r="Q41" i="1"/>
  <c r="P47" i="1"/>
  <c r="Q47" i="1"/>
  <c r="P18" i="1"/>
  <c r="Q18" i="1"/>
  <c r="Q62" i="1"/>
  <c r="P61" i="1"/>
  <c r="P59" i="1"/>
  <c r="Q59" i="1"/>
  <c r="Q26" i="1"/>
  <c r="P50" i="1"/>
  <c r="Q50" i="1"/>
  <c r="U19" i="1"/>
  <c r="P71" i="1"/>
  <c r="Q16" i="1"/>
  <c r="Q63" i="1"/>
  <c r="P37" i="1"/>
  <c r="Q37" i="1"/>
  <c r="Q30" i="1"/>
  <c r="P38" i="1"/>
  <c r="Q38" i="1"/>
  <c r="P45" i="1"/>
  <c r="P32" i="1"/>
  <c r="Q32" i="1"/>
  <c r="Q70" i="1"/>
  <c r="Q64" i="1"/>
  <c r="Q35" i="1"/>
  <c r="Q23" i="1"/>
  <c r="Q52" i="1"/>
  <c r="G2" i="1"/>
  <c r="L2" i="1" s="1"/>
  <c r="P2" i="1" s="1"/>
  <c r="D65" i="2" l="1"/>
  <c r="D65" i="8"/>
  <c r="D48" i="2"/>
  <c r="D48" i="8"/>
  <c r="D47" i="2"/>
  <c r="D47" i="8"/>
  <c r="D35" i="2"/>
  <c r="D35" i="8"/>
  <c r="D52" i="2"/>
  <c r="D52" i="8"/>
  <c r="D38" i="2"/>
  <c r="D38" i="8"/>
  <c r="D40" i="2"/>
  <c r="D40" i="8"/>
  <c r="D63" i="2"/>
  <c r="D63" i="8"/>
  <c r="D57" i="2"/>
  <c r="D57" i="8"/>
  <c r="D39" i="2"/>
  <c r="D39" i="8"/>
  <c r="D67" i="2"/>
  <c r="D67" i="8"/>
  <c r="D49" i="2"/>
  <c r="D49" i="8"/>
  <c r="D70" i="2"/>
  <c r="D70" i="8"/>
  <c r="D45" i="2"/>
  <c r="D45" i="8"/>
  <c r="D30" i="2"/>
  <c r="D30" i="8"/>
  <c r="D59" i="2"/>
  <c r="D59" i="8"/>
  <c r="D34" i="2"/>
  <c r="D34" i="8"/>
  <c r="D58" i="2"/>
  <c r="D58" i="8"/>
  <c r="D41" i="2"/>
  <c r="D41" i="8"/>
  <c r="D55" i="2"/>
  <c r="D55" i="8"/>
  <c r="D56" i="2"/>
  <c r="D56" i="8"/>
  <c r="D43" i="2"/>
  <c r="D43" i="8"/>
  <c r="D51" i="2"/>
  <c r="D51" i="8"/>
  <c r="D42" i="2"/>
  <c r="D42" i="8"/>
  <c r="D54" i="2"/>
  <c r="D54" i="8"/>
  <c r="D37" i="2"/>
  <c r="D37" i="8"/>
  <c r="D32" i="2"/>
  <c r="D32" i="8"/>
  <c r="D69" i="2"/>
  <c r="D69" i="8"/>
  <c r="U6" i="1"/>
  <c r="F16" i="4"/>
  <c r="H16" i="4" s="1"/>
  <c r="I16" i="4" s="1"/>
  <c r="J16" i="4" s="1"/>
  <c r="F36" i="4"/>
  <c r="H36" i="4" s="1"/>
  <c r="I36" i="4" s="1"/>
  <c r="J36" i="4" s="1"/>
  <c r="F75" i="4"/>
  <c r="H75" i="4" s="1"/>
  <c r="I75" i="4" s="1"/>
  <c r="J75" i="4" s="1"/>
  <c r="F73" i="4"/>
  <c r="H73" i="4" s="1"/>
  <c r="I73" i="4" s="1"/>
  <c r="J73" i="4" s="1"/>
  <c r="F32" i="4"/>
  <c r="H32" i="4" s="1"/>
  <c r="I32" i="4" s="1"/>
  <c r="F11" i="4"/>
  <c r="H11" i="4" s="1"/>
  <c r="I11" i="4" s="1"/>
  <c r="J11" i="4" s="1"/>
  <c r="F72" i="4"/>
  <c r="H72" i="4" s="1"/>
  <c r="I72" i="4" s="1"/>
  <c r="I77" i="4" s="1"/>
  <c r="F34" i="4"/>
  <c r="H34" i="4" s="1"/>
  <c r="I34" i="4" s="1"/>
  <c r="J34" i="4" s="1"/>
  <c r="U29" i="1"/>
  <c r="Q68" i="1"/>
  <c r="P68" i="1"/>
  <c r="D66" i="8" s="1"/>
  <c r="F59" i="4"/>
  <c r="H59" i="4" s="1"/>
  <c r="I59" i="4" s="1"/>
  <c r="J59" i="4" s="1"/>
  <c r="F38" i="4"/>
  <c r="H38" i="4" s="1"/>
  <c r="I38" i="4" s="1"/>
  <c r="J38" i="4" s="1"/>
  <c r="F40" i="4"/>
  <c r="H40" i="4" s="1"/>
  <c r="I40" i="4" s="1"/>
  <c r="J40" i="4" s="1"/>
  <c r="F54" i="4"/>
  <c r="H54" i="4" s="1"/>
  <c r="I54" i="4" s="1"/>
  <c r="J54" i="4" s="1"/>
  <c r="F55" i="4"/>
  <c r="H55" i="4" s="1"/>
  <c r="I55" i="4" s="1"/>
  <c r="J55" i="4" s="1"/>
  <c r="F52" i="4"/>
  <c r="H52" i="4" s="1"/>
  <c r="I52" i="4" s="1"/>
  <c r="J52" i="4" s="1"/>
  <c r="F57" i="4"/>
  <c r="H57" i="4" s="1"/>
  <c r="I57" i="4" s="1"/>
  <c r="J57" i="4" s="1"/>
  <c r="F62" i="4"/>
  <c r="H62" i="4" s="1"/>
  <c r="I62" i="4" s="1"/>
  <c r="J62" i="4" s="1"/>
  <c r="F63" i="4"/>
  <c r="H63" i="4" s="1"/>
  <c r="I63" i="4" s="1"/>
  <c r="J63" i="4" s="1"/>
  <c r="F53" i="4"/>
  <c r="H53" i="4" s="1"/>
  <c r="I53" i="4" s="1"/>
  <c r="J53" i="4" s="1"/>
  <c r="F58" i="4"/>
  <c r="H58" i="4" s="1"/>
  <c r="I58" i="4" s="1"/>
  <c r="J58" i="4" s="1"/>
  <c r="F56" i="4"/>
  <c r="H56" i="4" s="1"/>
  <c r="I56" i="4" s="1"/>
  <c r="J56" i="4" s="1"/>
  <c r="F61" i="4"/>
  <c r="H61" i="4" s="1"/>
  <c r="I61" i="4" s="1"/>
  <c r="J61" i="4" s="1"/>
  <c r="F60" i="4"/>
  <c r="H60" i="4" s="1"/>
  <c r="I60" i="4" s="1"/>
  <c r="J60" i="4" s="1"/>
  <c r="F10" i="4"/>
  <c r="H10" i="4" s="1"/>
  <c r="I10" i="4" s="1"/>
  <c r="J10" i="4" s="1"/>
  <c r="F9" i="4"/>
  <c r="H9" i="4" s="1"/>
  <c r="I9" i="4" s="1"/>
  <c r="J9" i="4" s="1"/>
  <c r="F37" i="4"/>
  <c r="H37" i="4" s="1"/>
  <c r="I37" i="4" s="1"/>
  <c r="J37" i="4" s="1"/>
  <c r="F8" i="4"/>
  <c r="H8" i="4" s="1"/>
  <c r="I8" i="4" s="1"/>
  <c r="F35" i="4"/>
  <c r="H35" i="4" s="1"/>
  <c r="I35" i="4" s="1"/>
  <c r="J35" i="4" s="1"/>
  <c r="F49" i="4"/>
  <c r="H49" i="4" s="1"/>
  <c r="I49" i="4" s="1"/>
  <c r="J49" i="4" s="1"/>
  <c r="F67" i="4"/>
  <c r="H67" i="4" s="1"/>
  <c r="I67" i="4" s="1"/>
  <c r="J67" i="4" s="1"/>
  <c r="F50" i="4"/>
  <c r="H50" i="4" s="1"/>
  <c r="I50" i="4" s="1"/>
  <c r="J50" i="4" s="1"/>
  <c r="F45" i="4"/>
  <c r="H45" i="4" s="1"/>
  <c r="I45" i="4" s="1"/>
  <c r="J45" i="4" s="1"/>
  <c r="F69" i="4"/>
  <c r="H69" i="4" s="1"/>
  <c r="I69" i="4" s="1"/>
  <c r="J69" i="4" s="1"/>
  <c r="F46" i="4"/>
  <c r="H46" i="4" s="1"/>
  <c r="I46" i="4" s="1"/>
  <c r="J46" i="4" s="1"/>
  <c r="F66" i="4"/>
  <c r="H66" i="4" s="1"/>
  <c r="I66" i="4" s="1"/>
  <c r="J66" i="4" s="1"/>
  <c r="F42" i="4"/>
  <c r="H42" i="4" s="1"/>
  <c r="I42" i="4" s="1"/>
  <c r="J42" i="4" s="1"/>
  <c r="F44" i="4"/>
  <c r="H44" i="4" s="1"/>
  <c r="I44" i="4" s="1"/>
  <c r="J44" i="4" s="1"/>
  <c r="E79" i="4"/>
  <c r="F4" i="4"/>
  <c r="H4" i="4" s="1"/>
  <c r="I4" i="4" s="1"/>
  <c r="J4" i="4" s="1"/>
  <c r="F5" i="4"/>
  <c r="H5" i="4" s="1"/>
  <c r="I5" i="4" s="1"/>
  <c r="J5" i="4" s="1"/>
  <c r="F3" i="4"/>
  <c r="H3" i="4" s="1"/>
  <c r="I3" i="4" s="1"/>
  <c r="F25" i="4"/>
  <c r="H25" i="4" s="1"/>
  <c r="I25" i="4" s="1"/>
  <c r="J25" i="4" s="1"/>
  <c r="F29" i="4"/>
  <c r="H29" i="4" s="1"/>
  <c r="I29" i="4" s="1"/>
  <c r="J29" i="4" s="1"/>
  <c r="F21" i="4"/>
  <c r="H21" i="4" s="1"/>
  <c r="I21" i="4" s="1"/>
  <c r="J21" i="4" s="1"/>
  <c r="F27" i="4"/>
  <c r="H27" i="4" s="1"/>
  <c r="I27" i="4" s="1"/>
  <c r="J27" i="4" s="1"/>
  <c r="F23" i="4"/>
  <c r="H23" i="4" s="1"/>
  <c r="I23" i="4" s="1"/>
  <c r="J23" i="4" s="1"/>
  <c r="F26" i="4"/>
  <c r="H26" i="4" s="1"/>
  <c r="I26" i="4" s="1"/>
  <c r="J26" i="4" s="1"/>
  <c r="F24" i="4"/>
  <c r="H24" i="4" s="1"/>
  <c r="I24" i="4" s="1"/>
  <c r="J24" i="4" s="1"/>
  <c r="F22" i="4"/>
  <c r="H22" i="4" s="1"/>
  <c r="I22" i="4" s="1"/>
  <c r="J22" i="4" s="1"/>
  <c r="F20" i="4"/>
  <c r="H20" i="4" s="1"/>
  <c r="I20" i="4" s="1"/>
  <c r="J20" i="4" s="1"/>
  <c r="F30" i="4"/>
  <c r="H30" i="4" s="1"/>
  <c r="I30" i="4" s="1"/>
  <c r="J30" i="4" s="1"/>
  <c r="J32" i="4"/>
  <c r="J8" i="4"/>
  <c r="U20" i="1"/>
  <c r="U7" i="1"/>
  <c r="U25" i="1"/>
  <c r="U31" i="1"/>
  <c r="U24" i="1"/>
  <c r="U15" i="1"/>
  <c r="U12" i="1"/>
  <c r="U14" i="1"/>
  <c r="U11" i="1"/>
  <c r="U27" i="1"/>
  <c r="U38" i="1"/>
  <c r="G74" i="1"/>
  <c r="U18" i="1"/>
  <c r="U8" i="1"/>
  <c r="U22" i="1"/>
  <c r="U17" i="1"/>
  <c r="D72" i="8" l="1"/>
  <c r="D1" i="8" s="1"/>
  <c r="E69" i="8" s="1"/>
  <c r="P3" i="1"/>
  <c r="D66" i="2"/>
  <c r="J72" i="4"/>
  <c r="I19" i="4"/>
  <c r="J19" i="4" s="1"/>
  <c r="I41" i="4"/>
  <c r="J41" i="4" s="1"/>
  <c r="I65" i="4"/>
  <c r="J65" i="4" s="1"/>
  <c r="I51" i="4"/>
  <c r="J51" i="4" s="1"/>
  <c r="I71" i="4"/>
  <c r="J71" i="4" s="1"/>
  <c r="I31" i="4"/>
  <c r="J31" i="4" s="1"/>
  <c r="H79" i="4"/>
  <c r="I7" i="4"/>
  <c r="J7" i="4" s="1"/>
  <c r="J3" i="4"/>
  <c r="E41" i="8" l="1"/>
  <c r="E66" i="8"/>
  <c r="E50" i="8"/>
  <c r="E60" i="8"/>
  <c r="E58" i="8"/>
  <c r="E65" i="8"/>
  <c r="E57" i="8"/>
  <c r="E47" i="8"/>
  <c r="E59" i="8"/>
  <c r="E61" i="8"/>
  <c r="E51" i="8"/>
  <c r="E56" i="8"/>
  <c r="E62" i="8"/>
  <c r="E32" i="8"/>
  <c r="E42" i="8"/>
  <c r="E43" i="8"/>
  <c r="E52" i="8"/>
  <c r="E63" i="8"/>
  <c r="E55" i="8"/>
  <c r="E49" i="8"/>
  <c r="E30" i="8"/>
  <c r="E39" i="8"/>
  <c r="E44" i="8"/>
  <c r="E37" i="8"/>
  <c r="E53" i="8"/>
  <c r="E45" i="8"/>
  <c r="E40" i="8"/>
  <c r="E38" i="8"/>
  <c r="E35" i="8"/>
  <c r="E54" i="8"/>
  <c r="E67" i="8"/>
  <c r="E34" i="8"/>
  <c r="E68" i="8"/>
  <c r="E46" i="8"/>
  <c r="E64" i="8"/>
  <c r="E70" i="8"/>
  <c r="E48" i="8"/>
  <c r="D72" i="2"/>
  <c r="D1" i="2" s="1"/>
  <c r="I79" i="4"/>
  <c r="J79" i="4" s="1"/>
  <c r="E72" i="8" l="1"/>
  <c r="E38" i="2"/>
  <c r="E44" i="2"/>
  <c r="E57" i="2"/>
  <c r="E32" i="2"/>
  <c r="E46" i="2"/>
  <c r="E55" i="2"/>
  <c r="E63" i="2"/>
  <c r="E60" i="2"/>
  <c r="E50" i="2"/>
  <c r="E52" i="2"/>
  <c r="E54" i="2"/>
  <c r="E42" i="2"/>
  <c r="E53" i="2"/>
  <c r="E68" i="2"/>
  <c r="E41" i="2"/>
  <c r="E59" i="2"/>
  <c r="E62" i="2"/>
  <c r="E64" i="2"/>
  <c r="E67" i="2"/>
  <c r="E61" i="2"/>
  <c r="E39" i="2"/>
  <c r="E49" i="2"/>
  <c r="E45" i="2"/>
  <c r="E58" i="2"/>
  <c r="E56" i="2"/>
  <c r="E51" i="2"/>
  <c r="E30" i="2"/>
  <c r="E35" i="2"/>
  <c r="E65" i="2"/>
  <c r="E40" i="2"/>
  <c r="E47" i="2"/>
  <c r="E37" i="2"/>
  <c r="E48" i="2"/>
  <c r="E43" i="2"/>
  <c r="E70" i="2"/>
  <c r="E34" i="2"/>
  <c r="E69" i="2"/>
  <c r="E66" i="2"/>
  <c r="I82" i="4"/>
  <c r="E72" i="2" l="1"/>
  <c r="X8" i="1"/>
  <c r="S8" i="1"/>
  <c r="X16" i="1"/>
  <c r="X22" i="1"/>
  <c r="X30" i="1"/>
  <c r="S30" i="1"/>
  <c r="X38" i="1"/>
  <c r="S38" i="1"/>
  <c r="X9" i="1"/>
  <c r="S9" i="1"/>
  <c r="X29" i="1"/>
  <c r="X27" i="1"/>
  <c r="S27" i="1"/>
  <c r="X15" i="1"/>
  <c r="X28" i="1"/>
  <c r="X20" i="1"/>
  <c r="X35" i="1"/>
  <c r="X13" i="1"/>
  <c r="X33" i="1"/>
  <c r="X11" i="1"/>
  <c r="X25" i="1"/>
  <c r="X23" i="1"/>
  <c r="S31" i="1"/>
  <c r="X26" i="1"/>
  <c r="S26" i="1"/>
  <c r="S17" i="1"/>
  <c r="X18" i="1"/>
  <c r="X19" i="1"/>
  <c r="X24" i="1"/>
  <c r="S14" i="1"/>
  <c r="X12" i="1"/>
  <c r="S12" i="1"/>
  <c r="S6" i="1"/>
  <c r="S22" i="1" l="1"/>
  <c r="S23" i="1"/>
  <c r="S16" i="1"/>
  <c r="S33" i="1"/>
  <c r="S29" i="1"/>
  <c r="AB33" i="1"/>
  <c r="Z33" i="1"/>
  <c r="AB15" i="1"/>
  <c r="Z15" i="1"/>
  <c r="AB29" i="1"/>
  <c r="Z29" i="1"/>
  <c r="AB30" i="1"/>
  <c r="Z30" i="1"/>
  <c r="Z26" i="1"/>
  <c r="AB26" i="1"/>
  <c r="AB35" i="1"/>
  <c r="Z35" i="1"/>
  <c r="AB19" i="1"/>
  <c r="Z19" i="1"/>
  <c r="AB20" i="1"/>
  <c r="Z20" i="1"/>
  <c r="Z24" i="1"/>
  <c r="AB24" i="1"/>
  <c r="AB12" i="1"/>
  <c r="Z12" i="1"/>
  <c r="AB28" i="1"/>
  <c r="Z28" i="1"/>
  <c r="AB27" i="1"/>
  <c r="Z27" i="1"/>
  <c r="Z22" i="1"/>
  <c r="AB22" i="1"/>
  <c r="AB11" i="1"/>
  <c r="Z11" i="1"/>
  <c r="Z9" i="1"/>
  <c r="AB9" i="1"/>
  <c r="AB23" i="1"/>
  <c r="Z23" i="1"/>
  <c r="AB13" i="1"/>
  <c r="Z13" i="1"/>
  <c r="AB7" i="1"/>
  <c r="Z7" i="1"/>
  <c r="Z38" i="1"/>
  <c r="AB38" i="1"/>
  <c r="Z18" i="1"/>
  <c r="AB18" i="1"/>
  <c r="Z8" i="1"/>
  <c r="AB8" i="1"/>
  <c r="Z25" i="1"/>
  <c r="AB25" i="1"/>
  <c r="AB16" i="1"/>
  <c r="Z16" i="1"/>
  <c r="S24" i="1"/>
  <c r="S19" i="1"/>
  <c r="S25" i="1"/>
  <c r="S13" i="1"/>
  <c r="S35" i="1"/>
  <c r="S15" i="1"/>
  <c r="S7" i="1"/>
  <c r="X17" i="1"/>
  <c r="X14" i="1"/>
  <c r="X31" i="1"/>
  <c r="S18" i="1"/>
  <c r="S11" i="1"/>
  <c r="S20" i="1"/>
  <c r="S28" i="1"/>
  <c r="AC13" i="1" l="1"/>
  <c r="AD13" i="1"/>
  <c r="AC35" i="1"/>
  <c r="AD35" i="1"/>
  <c r="AC29" i="1"/>
  <c r="AD29" i="1"/>
  <c r="AC23" i="1"/>
  <c r="AD23" i="1"/>
  <c r="AC27" i="1"/>
  <c r="AD27" i="1"/>
  <c r="AC12" i="1"/>
  <c r="AD12" i="1"/>
  <c r="AC20" i="1"/>
  <c r="AD20" i="1"/>
  <c r="AC15" i="1"/>
  <c r="AD15" i="1"/>
  <c r="AC18" i="1"/>
  <c r="AD18" i="1"/>
  <c r="AC9" i="1"/>
  <c r="AD9" i="1"/>
  <c r="AC26" i="1"/>
  <c r="AD26" i="1"/>
  <c r="AC24" i="1"/>
  <c r="AD24" i="1"/>
  <c r="AC11" i="1"/>
  <c r="AD11" i="1"/>
  <c r="AC28" i="1"/>
  <c r="AD28" i="1"/>
  <c r="AC19" i="1"/>
  <c r="AD19" i="1"/>
  <c r="AC30" i="1"/>
  <c r="AD30" i="1"/>
  <c r="AC38" i="1"/>
  <c r="AD38" i="1"/>
  <c r="AC8" i="1"/>
  <c r="AD8" i="1"/>
  <c r="AC16" i="1"/>
  <c r="AD16" i="1"/>
  <c r="AC7" i="1"/>
  <c r="AD7" i="1"/>
  <c r="AC33" i="1"/>
  <c r="AD33" i="1"/>
  <c r="AC25" i="1"/>
  <c r="AD25" i="1"/>
  <c r="AC22" i="1"/>
  <c r="AD22" i="1"/>
  <c r="AB17" i="1"/>
  <c r="Z17" i="1"/>
  <c r="Z6" i="1"/>
  <c r="AD6" i="1" s="1"/>
  <c r="AB6" i="1"/>
  <c r="AB14" i="1"/>
  <c r="Z14" i="1"/>
  <c r="AB31" i="1"/>
  <c r="Z31" i="1"/>
  <c r="AC17" i="1" l="1"/>
  <c r="AD17" i="1"/>
  <c r="AC31" i="1"/>
  <c r="AD31" i="1"/>
  <c r="AC14" i="1"/>
  <c r="AD14" i="1"/>
  <c r="AC6" i="1"/>
  <c r="Q10" i="1" l="1"/>
  <c r="P10" i="1"/>
  <c r="S10" i="1" l="1"/>
  <c r="X10" i="1"/>
  <c r="U10" i="1"/>
  <c r="AB10" i="1" l="1"/>
  <c r="Z10" i="1"/>
  <c r="AD10" i="1" l="1"/>
  <c r="AC10" i="1"/>
  <c r="Q2" i="1" l="1"/>
  <c r="O74" i="1"/>
  <c r="Q74" i="1" s="1"/>
  <c r="Q21" i="1"/>
  <c r="P21" i="1"/>
  <c r="U21" i="1" s="1"/>
  <c r="P4" i="1" l="1"/>
  <c r="X21" i="1"/>
  <c r="AB21" i="1" s="1"/>
  <c r="P74" i="1"/>
  <c r="W74" i="1" s="1"/>
  <c r="S21" i="1"/>
  <c r="X1" i="1"/>
  <c r="R2" i="1" l="1"/>
  <c r="T2" i="1"/>
  <c r="J1" i="8" s="1"/>
  <c r="Z21" i="1"/>
  <c r="AC21" i="1" s="1"/>
  <c r="F1" i="8" l="1"/>
  <c r="I1" i="8"/>
  <c r="AD21" i="1"/>
  <c r="R63" i="1"/>
  <c r="R67" i="1"/>
  <c r="R47" i="1"/>
  <c r="R55" i="1"/>
  <c r="R53" i="1"/>
  <c r="R65" i="1"/>
  <c r="R49" i="1"/>
  <c r="R57" i="1"/>
  <c r="R37" i="1"/>
  <c r="R44" i="1"/>
  <c r="R64" i="1"/>
  <c r="R60" i="1"/>
  <c r="R41" i="1"/>
  <c r="R46" i="1"/>
  <c r="R61" i="1"/>
  <c r="R52" i="1"/>
  <c r="R69" i="1"/>
  <c r="R70" i="1"/>
  <c r="R32" i="1"/>
  <c r="R40" i="1"/>
  <c r="R68" i="1"/>
  <c r="R43" i="1"/>
  <c r="R56" i="1"/>
  <c r="R54" i="1"/>
  <c r="R50" i="1"/>
  <c r="R39" i="1"/>
  <c r="R66" i="1"/>
  <c r="R62" i="1"/>
  <c r="S2" i="1"/>
  <c r="R58" i="1"/>
  <c r="R34" i="1"/>
  <c r="R72" i="1"/>
  <c r="R59" i="1"/>
  <c r="R36" i="1"/>
  <c r="R45" i="1"/>
  <c r="R71" i="1"/>
  <c r="R51" i="1"/>
  <c r="R42" i="1"/>
  <c r="R48" i="1"/>
  <c r="U2" i="1"/>
  <c r="I37" i="8" l="1"/>
  <c r="I65" i="8"/>
  <c r="I52" i="8"/>
  <c r="I38" i="8"/>
  <c r="I57" i="8"/>
  <c r="I49" i="8"/>
  <c r="I35" i="8"/>
  <c r="I56" i="8"/>
  <c r="I41" i="8"/>
  <c r="I44" i="8"/>
  <c r="I50" i="8"/>
  <c r="I48" i="8"/>
  <c r="I30" i="8"/>
  <c r="I42" i="8"/>
  <c r="I40" i="8"/>
  <c r="I32" i="8"/>
  <c r="I67" i="8"/>
  <c r="I53" i="8"/>
  <c r="I58" i="8"/>
  <c r="I64" i="8"/>
  <c r="I61" i="8"/>
  <c r="I43" i="8"/>
  <c r="I68" i="8"/>
  <c r="I69" i="8"/>
  <c r="I60" i="8"/>
  <c r="I34" i="8"/>
  <c r="I54" i="8"/>
  <c r="I63" i="8"/>
  <c r="I46" i="8"/>
  <c r="I47" i="8"/>
  <c r="I55" i="8"/>
  <c r="I45" i="8"/>
  <c r="I70" i="8"/>
  <c r="I59" i="8"/>
  <c r="I51" i="8"/>
  <c r="I39" i="8"/>
  <c r="I62" i="8"/>
  <c r="E1" i="8"/>
  <c r="F30" i="8"/>
  <c r="F69" i="8"/>
  <c r="J69" i="8" s="1"/>
  <c r="F34" i="8"/>
  <c r="F35" i="8"/>
  <c r="F70" i="8"/>
  <c r="F37" i="8"/>
  <c r="F68" i="8"/>
  <c r="F57" i="8"/>
  <c r="F47" i="8"/>
  <c r="F38" i="8"/>
  <c r="F64" i="8"/>
  <c r="F53" i="8"/>
  <c r="J53" i="8" s="1"/>
  <c r="F65" i="8"/>
  <c r="J65" i="8" s="1"/>
  <c r="F44" i="8"/>
  <c r="J44" i="8" s="1"/>
  <c r="F62" i="8"/>
  <c r="F49" i="8"/>
  <c r="J49" i="8" s="1"/>
  <c r="F40" i="8"/>
  <c r="J40" i="8" s="1"/>
  <c r="F52" i="8"/>
  <c r="F50" i="8"/>
  <c r="F42" i="8"/>
  <c r="F58" i="8"/>
  <c r="J58" i="8" s="1"/>
  <c r="F56" i="8"/>
  <c r="F46" i="8"/>
  <c r="J46" i="8" s="1"/>
  <c r="F59" i="8"/>
  <c r="F61" i="8"/>
  <c r="J61" i="8" s="1"/>
  <c r="F48" i="8"/>
  <c r="F54" i="8"/>
  <c r="F43" i="8"/>
  <c r="F60" i="8"/>
  <c r="F45" i="8"/>
  <c r="F41" i="8"/>
  <c r="F66" i="8"/>
  <c r="J66" i="8" s="1"/>
  <c r="F32" i="8"/>
  <c r="F67" i="8"/>
  <c r="F55" i="8"/>
  <c r="F63" i="8"/>
  <c r="F51" i="8"/>
  <c r="J51" i="8" s="1"/>
  <c r="F39" i="8"/>
  <c r="S48" i="1"/>
  <c r="S56" i="1"/>
  <c r="S61" i="1"/>
  <c r="S49" i="1"/>
  <c r="S57" i="1"/>
  <c r="S58" i="1"/>
  <c r="S43" i="1"/>
  <c r="S46" i="1"/>
  <c r="S65" i="1"/>
  <c r="S72" i="1"/>
  <c r="S51" i="1"/>
  <c r="S68" i="1"/>
  <c r="S41" i="1"/>
  <c r="S53" i="1"/>
  <c r="S52" i="1"/>
  <c r="S62" i="1"/>
  <c r="S60" i="1"/>
  <c r="S55" i="1"/>
  <c r="S54" i="1"/>
  <c r="S42" i="1"/>
  <c r="S40" i="1"/>
  <c r="S66" i="1"/>
  <c r="S32" i="1"/>
  <c r="R74" i="1"/>
  <c r="S74" i="1" s="1"/>
  <c r="S64" i="1"/>
  <c r="S47" i="1"/>
  <c r="S34" i="1"/>
  <c r="S71" i="1"/>
  <c r="F1" i="2"/>
  <c r="I1" i="2"/>
  <c r="S45" i="1"/>
  <c r="S36" i="1"/>
  <c r="S39" i="1"/>
  <c r="S70" i="1"/>
  <c r="S44" i="1"/>
  <c r="S67" i="1"/>
  <c r="S59" i="1"/>
  <c r="S50" i="1"/>
  <c r="S69" i="1"/>
  <c r="S37" i="1"/>
  <c r="S63" i="1"/>
  <c r="J39" i="8" l="1"/>
  <c r="K39" i="8" s="1"/>
  <c r="J62" i="8"/>
  <c r="J60" i="8"/>
  <c r="T62" i="1" s="1"/>
  <c r="J70" i="8"/>
  <c r="T72" i="1" s="1"/>
  <c r="J67" i="8"/>
  <c r="K67" i="8" s="1"/>
  <c r="J47" i="8"/>
  <c r="T49" i="1" s="1"/>
  <c r="J42" i="8"/>
  <c r="K42" i="8" s="1"/>
  <c r="J43" i="8"/>
  <c r="T45" i="1" s="1"/>
  <c r="J57" i="8"/>
  <c r="T59" i="1" s="1"/>
  <c r="J63" i="8"/>
  <c r="K63" i="8" s="1"/>
  <c r="J59" i="8"/>
  <c r="K59" i="8" s="1"/>
  <c r="J54" i="8"/>
  <c r="T56" i="1" s="1"/>
  <c r="J48" i="8"/>
  <c r="K48" i="8" s="1"/>
  <c r="J52" i="8"/>
  <c r="K52" i="8" s="1"/>
  <c r="J38" i="8"/>
  <c r="K38" i="8" s="1"/>
  <c r="K61" i="8"/>
  <c r="T63" i="1"/>
  <c r="J30" i="8"/>
  <c r="F72" i="8"/>
  <c r="J41" i="8"/>
  <c r="K46" i="8"/>
  <c r="T48" i="1"/>
  <c r="K62" i="8"/>
  <c r="T64" i="1"/>
  <c r="J68" i="8"/>
  <c r="K40" i="8"/>
  <c r="T42" i="1"/>
  <c r="K66" i="8"/>
  <c r="T68" i="1"/>
  <c r="K49" i="8"/>
  <c r="T51" i="1"/>
  <c r="J45" i="8"/>
  <c r="J56" i="8"/>
  <c r="K44" i="8"/>
  <c r="T46" i="1"/>
  <c r="J37" i="8"/>
  <c r="I72" i="8"/>
  <c r="K51" i="8"/>
  <c r="T53" i="1"/>
  <c r="K58" i="8"/>
  <c r="T60" i="1"/>
  <c r="K65" i="8"/>
  <c r="T67" i="1"/>
  <c r="K69" i="8"/>
  <c r="T71" i="1"/>
  <c r="J32" i="8"/>
  <c r="K53" i="8"/>
  <c r="T55" i="1"/>
  <c r="J35" i="8"/>
  <c r="J55" i="8"/>
  <c r="J50" i="8"/>
  <c r="J64" i="8"/>
  <c r="J34" i="8"/>
  <c r="I30" i="2"/>
  <c r="I57" i="2"/>
  <c r="I38" i="2"/>
  <c r="I45" i="2"/>
  <c r="I39" i="2"/>
  <c r="I42" i="2"/>
  <c r="I49" i="2"/>
  <c r="I53" i="2"/>
  <c r="I35" i="2"/>
  <c r="I66" i="2"/>
  <c r="I51" i="2"/>
  <c r="I54" i="2"/>
  <c r="I48" i="2"/>
  <c r="I47" i="2"/>
  <c r="I40" i="2"/>
  <c r="I34" i="2"/>
  <c r="I68" i="2"/>
  <c r="I55" i="2"/>
  <c r="I60" i="2"/>
  <c r="I43" i="2"/>
  <c r="I44" i="2"/>
  <c r="I62" i="2"/>
  <c r="I50" i="2"/>
  <c r="I70" i="2"/>
  <c r="I41" i="2"/>
  <c r="I52" i="2"/>
  <c r="I58" i="2"/>
  <c r="I32" i="2"/>
  <c r="I64" i="2"/>
  <c r="I61" i="2"/>
  <c r="I46" i="2"/>
  <c r="I69" i="2"/>
  <c r="I65" i="2"/>
  <c r="I59" i="2"/>
  <c r="I56" i="2"/>
  <c r="I67" i="2"/>
  <c r="I37" i="2"/>
  <c r="I63" i="2"/>
  <c r="F39" i="2"/>
  <c r="F37" i="2"/>
  <c r="F58" i="2"/>
  <c r="F48" i="2"/>
  <c r="F45" i="2"/>
  <c r="F61" i="2"/>
  <c r="F63" i="2"/>
  <c r="F67" i="2"/>
  <c r="F30" i="2"/>
  <c r="F42" i="2"/>
  <c r="F68" i="2"/>
  <c r="F54" i="2"/>
  <c r="F59" i="2"/>
  <c r="F34" i="2"/>
  <c r="F38" i="2"/>
  <c r="F50" i="2"/>
  <c r="F49" i="2"/>
  <c r="F65" i="2"/>
  <c r="F66" i="2"/>
  <c r="F46" i="2"/>
  <c r="E1" i="2"/>
  <c r="F57" i="2"/>
  <c r="F41" i="2"/>
  <c r="F44" i="2"/>
  <c r="F43" i="2"/>
  <c r="F35" i="2"/>
  <c r="F64" i="2"/>
  <c r="F47" i="2"/>
  <c r="F70" i="2"/>
  <c r="F53" i="2"/>
  <c r="F62" i="2"/>
  <c r="F56" i="2"/>
  <c r="F55" i="2"/>
  <c r="F40" i="2"/>
  <c r="F60" i="2"/>
  <c r="F51" i="2"/>
  <c r="F32" i="2"/>
  <c r="F52" i="2"/>
  <c r="F69" i="2"/>
  <c r="J68" i="2" l="1"/>
  <c r="M70" i="7" s="1"/>
  <c r="T69" i="1"/>
  <c r="T41" i="1"/>
  <c r="K43" i="8"/>
  <c r="K47" i="8"/>
  <c r="K60" i="8"/>
  <c r="K70" i="8"/>
  <c r="T40" i="1"/>
  <c r="T44" i="1"/>
  <c r="T61" i="1"/>
  <c r="K57" i="8"/>
  <c r="K54" i="8"/>
  <c r="T65" i="1"/>
  <c r="T54" i="1"/>
  <c r="T50" i="1"/>
  <c r="K68" i="8"/>
  <c r="T70" i="1"/>
  <c r="K37" i="8"/>
  <c r="T39" i="1"/>
  <c r="K55" i="8"/>
  <c r="T57" i="1"/>
  <c r="T32" i="1"/>
  <c r="J72" i="8"/>
  <c r="K72" i="8" s="1"/>
  <c r="K30" i="8"/>
  <c r="K35" i="8"/>
  <c r="T37" i="1"/>
  <c r="K56" i="8"/>
  <c r="T58" i="1"/>
  <c r="K50" i="8"/>
  <c r="T52" i="1"/>
  <c r="K45" i="8"/>
  <c r="T47" i="1"/>
  <c r="K41" i="8"/>
  <c r="T43" i="1"/>
  <c r="K34" i="8"/>
  <c r="T36" i="1"/>
  <c r="K64" i="8"/>
  <c r="T66" i="1"/>
  <c r="K32" i="8"/>
  <c r="T34" i="1"/>
  <c r="J49" i="2"/>
  <c r="M51" i="7" s="1"/>
  <c r="O51" i="7" s="1"/>
  <c r="J59" i="2"/>
  <c r="M61" i="7" s="1"/>
  <c r="O61" i="7" s="1"/>
  <c r="J37" i="2"/>
  <c r="M39" i="7" s="1"/>
  <c r="O39" i="7" s="1"/>
  <c r="J43" i="2"/>
  <c r="M45" i="7" s="1"/>
  <c r="O45" i="7" s="1"/>
  <c r="J55" i="2"/>
  <c r="M57" i="7" s="1"/>
  <c r="O57" i="7" s="1"/>
  <c r="J56" i="2"/>
  <c r="M58" i="7" s="1"/>
  <c r="O58" i="7" s="1"/>
  <c r="J38" i="2"/>
  <c r="M40" i="7" s="1"/>
  <c r="O40" i="7" s="1"/>
  <c r="J52" i="2"/>
  <c r="M54" i="7" s="1"/>
  <c r="O54" i="7" s="1"/>
  <c r="J57" i="2"/>
  <c r="M59" i="7" s="1"/>
  <c r="O59" i="7" s="1"/>
  <c r="J60" i="2"/>
  <c r="M62" i="7" s="1"/>
  <c r="O62" i="7" s="1"/>
  <c r="J66" i="2"/>
  <c r="M68" i="7" s="1"/>
  <c r="O68" i="7" s="1"/>
  <c r="J40" i="2"/>
  <c r="M42" i="7" s="1"/>
  <c r="O42" i="7" s="1"/>
  <c r="J35" i="2"/>
  <c r="M37" i="7" s="1"/>
  <c r="O37" i="7" s="1"/>
  <c r="J65" i="2"/>
  <c r="M67" i="7" s="1"/>
  <c r="O67" i="7" s="1"/>
  <c r="J42" i="2"/>
  <c r="M44" i="7" s="1"/>
  <c r="O44" i="7" s="1"/>
  <c r="J62" i="2"/>
  <c r="M64" i="7" s="1"/>
  <c r="O64" i="7" s="1"/>
  <c r="J41" i="2"/>
  <c r="M43" i="7" s="1"/>
  <c r="O43" i="7" s="1"/>
  <c r="J51" i="2"/>
  <c r="M53" i="7" s="1"/>
  <c r="O53" i="7" s="1"/>
  <c r="J39" i="2"/>
  <c r="M41" i="7" s="1"/>
  <c r="O41" i="7" s="1"/>
  <c r="J61" i="2"/>
  <c r="M63" i="7" s="1"/>
  <c r="O63" i="7" s="1"/>
  <c r="J47" i="2"/>
  <c r="M49" i="7" s="1"/>
  <c r="O49" i="7" s="1"/>
  <c r="J44" i="2"/>
  <c r="M46" i="7" s="1"/>
  <c r="O46" i="7" s="1"/>
  <c r="J67" i="2"/>
  <c r="M69" i="7" s="1"/>
  <c r="O69" i="7" s="1"/>
  <c r="J45" i="2"/>
  <c r="M47" i="7" s="1"/>
  <c r="O47" i="7" s="1"/>
  <c r="J54" i="2"/>
  <c r="M56" i="7" s="1"/>
  <c r="O56" i="7" s="1"/>
  <c r="J32" i="2"/>
  <c r="M34" i="7" s="1"/>
  <c r="O34" i="7" s="1"/>
  <c r="J64" i="2"/>
  <c r="M66" i="7" s="1"/>
  <c r="O66" i="7" s="1"/>
  <c r="J58" i="2"/>
  <c r="M60" i="7" s="1"/>
  <c r="O60" i="7" s="1"/>
  <c r="J50" i="2"/>
  <c r="M52" i="7" s="1"/>
  <c r="O52" i="7" s="1"/>
  <c r="J30" i="2"/>
  <c r="M32" i="7" s="1"/>
  <c r="O32" i="7" s="1"/>
  <c r="F72" i="2"/>
  <c r="J69" i="2"/>
  <c r="M71" i="7" s="1"/>
  <c r="O71" i="7" s="1"/>
  <c r="J63" i="2"/>
  <c r="M65" i="7" s="1"/>
  <c r="O65" i="7" s="1"/>
  <c r="J53" i="2"/>
  <c r="M55" i="7" s="1"/>
  <c r="O55" i="7" s="1"/>
  <c r="J34" i="2"/>
  <c r="M36" i="7" s="1"/>
  <c r="O36" i="7" s="1"/>
  <c r="J70" i="2"/>
  <c r="M72" i="7" s="1"/>
  <c r="O72" i="7" s="1"/>
  <c r="J46" i="2"/>
  <c r="M48" i="7" s="1"/>
  <c r="O48" i="7" s="1"/>
  <c r="J48" i="2"/>
  <c r="M50" i="7" s="1"/>
  <c r="O50" i="7" s="1"/>
  <c r="K68" i="2"/>
  <c r="I72" i="2"/>
  <c r="N70" i="7" l="1"/>
  <c r="O70" i="7"/>
  <c r="N43" i="7"/>
  <c r="N50" i="7"/>
  <c r="M74" i="7"/>
  <c r="N74" i="7" s="1"/>
  <c r="N32" i="7"/>
  <c r="N46" i="7"/>
  <c r="N67" i="7"/>
  <c r="N58" i="7"/>
  <c r="N51" i="7"/>
  <c r="N49" i="7"/>
  <c r="N57" i="7"/>
  <c r="N72" i="7"/>
  <c r="N60" i="7"/>
  <c r="N63" i="7"/>
  <c r="N42" i="7"/>
  <c r="N45" i="7"/>
  <c r="N56" i="7"/>
  <c r="N48" i="7"/>
  <c r="N37" i="7"/>
  <c r="N36" i="7"/>
  <c r="N66" i="7"/>
  <c r="N41" i="7"/>
  <c r="N68" i="7"/>
  <c r="N39" i="7"/>
  <c r="N65" i="7"/>
  <c r="N52" i="7"/>
  <c r="N55" i="7"/>
  <c r="N34" i="7"/>
  <c r="N53" i="7"/>
  <c r="N62" i="7"/>
  <c r="N61" i="7"/>
  <c r="N59" i="7"/>
  <c r="N71" i="7"/>
  <c r="N47" i="7"/>
  <c r="N64" i="7"/>
  <c r="N54" i="7"/>
  <c r="Q70" i="7"/>
  <c r="R70" i="7"/>
  <c r="N69" i="7"/>
  <c r="N44" i="7"/>
  <c r="N40" i="7"/>
  <c r="K45" i="2"/>
  <c r="U46" i="1"/>
  <c r="U67" i="1"/>
  <c r="X58" i="1"/>
  <c r="U59" i="1"/>
  <c r="K55" i="2"/>
  <c r="K58" i="2"/>
  <c r="K40" i="2"/>
  <c r="K43" i="2"/>
  <c r="K41" i="2"/>
  <c r="K49" i="2"/>
  <c r="U64" i="1"/>
  <c r="U49" i="1"/>
  <c r="K64" i="2"/>
  <c r="X41" i="1"/>
  <c r="K66" i="2"/>
  <c r="U39" i="1"/>
  <c r="X52" i="1"/>
  <c r="X37" i="1"/>
  <c r="U63" i="1"/>
  <c r="X34" i="1"/>
  <c r="U53" i="1"/>
  <c r="U62" i="1"/>
  <c r="U61" i="1"/>
  <c r="U56" i="1"/>
  <c r="K52" i="2"/>
  <c r="U69" i="1"/>
  <c r="U44" i="1"/>
  <c r="K38" i="2"/>
  <c r="U51" i="1"/>
  <c r="U45" i="1"/>
  <c r="K59" i="2"/>
  <c r="K35" i="2"/>
  <c r="X68" i="1"/>
  <c r="X57" i="1"/>
  <c r="U43" i="1"/>
  <c r="K37" i="2"/>
  <c r="K62" i="2"/>
  <c r="X54" i="1"/>
  <c r="K65" i="2"/>
  <c r="K42" i="2"/>
  <c r="U40" i="1"/>
  <c r="K57" i="2"/>
  <c r="X42" i="1"/>
  <c r="K47" i="2"/>
  <c r="K60" i="2"/>
  <c r="K56" i="2"/>
  <c r="K61" i="2"/>
  <c r="U66" i="1"/>
  <c r="K51" i="2"/>
  <c r="K39" i="2"/>
  <c r="K54" i="2"/>
  <c r="U47" i="1"/>
  <c r="K32" i="2"/>
  <c r="K50" i="2"/>
  <c r="K44" i="2"/>
  <c r="K67" i="2"/>
  <c r="X60" i="1"/>
  <c r="K63" i="2"/>
  <c r="J72" i="2"/>
  <c r="K72" i="2" s="1"/>
  <c r="K30" i="2"/>
  <c r="K48" i="2"/>
  <c r="K46" i="2"/>
  <c r="U70" i="1"/>
  <c r="X70" i="1"/>
  <c r="Z70" i="1" s="1"/>
  <c r="K70" i="2"/>
  <c r="K53" i="2"/>
  <c r="K34" i="2"/>
  <c r="K69" i="2"/>
  <c r="Q47" i="7" l="1"/>
  <c r="R47" i="7"/>
  <c r="R71" i="7"/>
  <c r="Q71" i="7"/>
  <c r="Q53" i="7"/>
  <c r="R53" i="7"/>
  <c r="Q65" i="7"/>
  <c r="R65" i="7"/>
  <c r="Q66" i="7"/>
  <c r="R66" i="7"/>
  <c r="R56" i="7"/>
  <c r="Q56" i="7"/>
  <c r="R60" i="7"/>
  <c r="Q60" i="7"/>
  <c r="Q51" i="7"/>
  <c r="R51" i="7"/>
  <c r="R32" i="7"/>
  <c r="Q32" i="7"/>
  <c r="O74" i="7"/>
  <c r="Q54" i="7"/>
  <c r="R54" i="7"/>
  <c r="R59" i="7"/>
  <c r="Q59" i="7"/>
  <c r="R34" i="7"/>
  <c r="Q34" i="7"/>
  <c r="Q39" i="7"/>
  <c r="R39" i="7"/>
  <c r="Q36" i="7"/>
  <c r="R36" i="7"/>
  <c r="Q45" i="7"/>
  <c r="R45" i="7"/>
  <c r="Q72" i="7"/>
  <c r="R72" i="7"/>
  <c r="R58" i="7"/>
  <c r="Q58" i="7"/>
  <c r="R40" i="7"/>
  <c r="Q40" i="7"/>
  <c r="R44" i="7"/>
  <c r="Q44" i="7"/>
  <c r="Q64" i="7"/>
  <c r="R64" i="7"/>
  <c r="Q61" i="7"/>
  <c r="R61" i="7"/>
  <c r="Q55" i="7"/>
  <c r="R55" i="7"/>
  <c r="R68" i="7"/>
  <c r="Q68" i="7"/>
  <c r="R37" i="7"/>
  <c r="Q37" i="7"/>
  <c r="Q42" i="7"/>
  <c r="R42" i="7"/>
  <c r="R57" i="7"/>
  <c r="Q57" i="7"/>
  <c r="Q67" i="7"/>
  <c r="R67" i="7"/>
  <c r="R50" i="7"/>
  <c r="Q50" i="7"/>
  <c r="R69" i="7"/>
  <c r="Q69" i="7"/>
  <c r="R62" i="7"/>
  <c r="Q62" i="7"/>
  <c r="R52" i="7"/>
  <c r="Q52" i="7"/>
  <c r="Q41" i="7"/>
  <c r="R41" i="7"/>
  <c r="Q48" i="7"/>
  <c r="R48" i="7"/>
  <c r="R63" i="7"/>
  <c r="Q63" i="7"/>
  <c r="Q49" i="7"/>
  <c r="R49" i="7"/>
  <c r="R46" i="7"/>
  <c r="Q46" i="7"/>
  <c r="Q43" i="7"/>
  <c r="R43" i="7"/>
  <c r="U58" i="1"/>
  <c r="X49" i="1"/>
  <c r="Z49" i="1" s="1"/>
  <c r="X56" i="1"/>
  <c r="Z56" i="1" s="1"/>
  <c r="U34" i="1"/>
  <c r="X44" i="1"/>
  <c r="AB44" i="1" s="1"/>
  <c r="U52" i="1"/>
  <c r="U37" i="1"/>
  <c r="U41" i="1"/>
  <c r="U68" i="1"/>
  <c r="X69" i="1"/>
  <c r="Z69" i="1" s="1"/>
  <c r="X53" i="1"/>
  <c r="Z53" i="1" s="1"/>
  <c r="X64" i="1"/>
  <c r="AB64" i="1" s="1"/>
  <c r="X62" i="1"/>
  <c r="AB62" i="1" s="1"/>
  <c r="X67" i="1"/>
  <c r="AB67" i="1" s="1"/>
  <c r="X46" i="1"/>
  <c r="AB46" i="1" s="1"/>
  <c r="X63" i="1"/>
  <c r="AB63" i="1" s="1"/>
  <c r="X61" i="1"/>
  <c r="Z61" i="1" s="1"/>
  <c r="X39" i="1"/>
  <c r="Z39" i="1" s="1"/>
  <c r="X59" i="1"/>
  <c r="Z59" i="1" s="1"/>
  <c r="X51" i="1"/>
  <c r="Z51" i="1" s="1"/>
  <c r="X45" i="1"/>
  <c r="Z45" i="1" s="1"/>
  <c r="U54" i="1"/>
  <c r="U57" i="1"/>
  <c r="X43" i="1"/>
  <c r="AB43" i="1" s="1"/>
  <c r="X47" i="1"/>
  <c r="AB47" i="1" s="1"/>
  <c r="X40" i="1"/>
  <c r="AB40" i="1" s="1"/>
  <c r="U42" i="1"/>
  <c r="X66" i="1"/>
  <c r="AB66" i="1" s="1"/>
  <c r="U60" i="1"/>
  <c r="U32" i="1"/>
  <c r="T74" i="1"/>
  <c r="U74" i="1" s="1"/>
  <c r="X32" i="1"/>
  <c r="Z41" i="1"/>
  <c r="AB41" i="1"/>
  <c r="AB34" i="1"/>
  <c r="Z34" i="1"/>
  <c r="AB49" i="1"/>
  <c r="Z57" i="1"/>
  <c r="AB57" i="1"/>
  <c r="AB52" i="1"/>
  <c r="Z52" i="1"/>
  <c r="U65" i="1"/>
  <c r="X65" i="1"/>
  <c r="U48" i="1"/>
  <c r="X48" i="1"/>
  <c r="U72" i="1"/>
  <c r="X72" i="1"/>
  <c r="Z60" i="1"/>
  <c r="AB60" i="1"/>
  <c r="U36" i="1"/>
  <c r="X36" i="1"/>
  <c r="Z42" i="1"/>
  <c r="AB42" i="1"/>
  <c r="Z58" i="1"/>
  <c r="AB58" i="1"/>
  <c r="AB54" i="1"/>
  <c r="Z54" i="1"/>
  <c r="AB70" i="1"/>
  <c r="U50" i="1"/>
  <c r="X50" i="1"/>
  <c r="Z68" i="1"/>
  <c r="AB68" i="1"/>
  <c r="AB37" i="1"/>
  <c r="Z37" i="1"/>
  <c r="U71" i="1"/>
  <c r="X71" i="1"/>
  <c r="U55" i="1"/>
  <c r="X55" i="1"/>
  <c r="R74" i="7" l="1"/>
  <c r="AB56" i="1"/>
  <c r="Q74" i="7"/>
  <c r="Z44" i="1"/>
  <c r="AD44" i="1" s="1"/>
  <c r="Z46" i="1"/>
  <c r="AD46" i="1" s="1"/>
  <c r="Z63" i="1"/>
  <c r="AD63" i="1" s="1"/>
  <c r="AB53" i="1"/>
  <c r="Z64" i="1"/>
  <c r="AD64" i="1" s="1"/>
  <c r="AB69" i="1"/>
  <c r="AB61" i="1"/>
  <c r="Z62" i="1"/>
  <c r="AD62" i="1" s="1"/>
  <c r="Z67" i="1"/>
  <c r="AD67" i="1" s="1"/>
  <c r="AB39" i="1"/>
  <c r="AB45" i="1"/>
  <c r="AB59" i="1"/>
  <c r="AB51" i="1"/>
  <c r="Z47" i="1"/>
  <c r="AC47" i="1" s="1"/>
  <c r="Z40" i="1"/>
  <c r="AD40" i="1" s="1"/>
  <c r="Z43" i="1"/>
  <c r="AC43" i="1" s="1"/>
  <c r="Z66" i="1"/>
  <c r="AC66" i="1" s="1"/>
  <c r="AD58" i="1"/>
  <c r="AC58" i="1"/>
  <c r="AD49" i="1"/>
  <c r="AC49" i="1"/>
  <c r="AC41" i="1"/>
  <c r="AD41" i="1"/>
  <c r="AD54" i="1"/>
  <c r="AC54" i="1"/>
  <c r="AB32" i="1"/>
  <c r="Z32" i="1"/>
  <c r="X74" i="1"/>
  <c r="AB74" i="1" s="1"/>
  <c r="Z50" i="1"/>
  <c r="AB50" i="1"/>
  <c r="AC57" i="1"/>
  <c r="AD57" i="1"/>
  <c r="AC52" i="1"/>
  <c r="AD52" i="1"/>
  <c r="AC53" i="1"/>
  <c r="AD53" i="1"/>
  <c r="AD34" i="1"/>
  <c r="AC34" i="1"/>
  <c r="Z71" i="1"/>
  <c r="AB71" i="1"/>
  <c r="AC37" i="1"/>
  <c r="AD37" i="1"/>
  <c r="AC45" i="1"/>
  <c r="AD45" i="1"/>
  <c r="AD59" i="1"/>
  <c r="AC59" i="1"/>
  <c r="AB55" i="1"/>
  <c r="Z55" i="1"/>
  <c r="AC61" i="1"/>
  <c r="AD61" i="1"/>
  <c r="AB65" i="1"/>
  <c r="Z65" i="1"/>
  <c r="AD56" i="1"/>
  <c r="AC56" i="1"/>
  <c r="AB72" i="1"/>
  <c r="Z72" i="1"/>
  <c r="AC68" i="1"/>
  <c r="AD68" i="1"/>
  <c r="AC39" i="1"/>
  <c r="AD39" i="1"/>
  <c r="Z48" i="1"/>
  <c r="AB48" i="1"/>
  <c r="AD42" i="1"/>
  <c r="AC42" i="1"/>
  <c r="AC69" i="1"/>
  <c r="AD69" i="1"/>
  <c r="AC70" i="1"/>
  <c r="AD70" i="1"/>
  <c r="AB36" i="1"/>
  <c r="Z36" i="1"/>
  <c r="AD60" i="1"/>
  <c r="AC60" i="1"/>
  <c r="AD51" i="1"/>
  <c r="AC51" i="1"/>
  <c r="AC67" i="1" l="1"/>
  <c r="AC44" i="1"/>
  <c r="AC64" i="1"/>
  <c r="AC63" i="1"/>
  <c r="AC46" i="1"/>
  <c r="AC62" i="1"/>
  <c r="AD47" i="1"/>
  <c r="AC40" i="1"/>
  <c r="AD43" i="1"/>
  <c r="AD66" i="1"/>
  <c r="AD71" i="1"/>
  <c r="AC71" i="1"/>
  <c r="AD65" i="1"/>
  <c r="AC65" i="1"/>
  <c r="AD50" i="1"/>
  <c r="AC50" i="1"/>
  <c r="AC72" i="1"/>
  <c r="AD72" i="1"/>
  <c r="AC36" i="1"/>
  <c r="AD36" i="1"/>
  <c r="AD32" i="1"/>
  <c r="AC32" i="1"/>
  <c r="Z74" i="1"/>
  <c r="AC74" i="1" s="1"/>
  <c r="AC48" i="1"/>
  <c r="AD48" i="1"/>
  <c r="AC55" i="1"/>
  <c r="AD55" i="1"/>
  <c r="AD74" i="1" l="1"/>
</calcChain>
</file>

<file path=xl/sharedStrings.xml><?xml version="1.0" encoding="utf-8"?>
<sst xmlns="http://schemas.openxmlformats.org/spreadsheetml/2006/main" count="1365" uniqueCount="236">
  <si>
    <t>STATEWIDE TOTAL</t>
  </si>
  <si>
    <t>x</t>
  </si>
  <si>
    <t>Washington</t>
  </si>
  <si>
    <t>Walton</t>
  </si>
  <si>
    <t>Wakulla</t>
  </si>
  <si>
    <t>Volusia</t>
  </si>
  <si>
    <t>Union</t>
  </si>
  <si>
    <t>Taylor</t>
  </si>
  <si>
    <t>Suwannee</t>
  </si>
  <si>
    <t>Sumter</t>
  </si>
  <si>
    <t>Seminole</t>
  </si>
  <si>
    <t>Sarasota</t>
  </si>
  <si>
    <t>Santa Rosa</t>
  </si>
  <si>
    <t>Saint Lucie</t>
  </si>
  <si>
    <t>Saint Johns</t>
  </si>
  <si>
    <t>Putnam</t>
  </si>
  <si>
    <t>Polk</t>
  </si>
  <si>
    <t>Pinellas</t>
  </si>
  <si>
    <t>Pasco</t>
  </si>
  <si>
    <t>Palm Beach</t>
  </si>
  <si>
    <t>Osceola</t>
  </si>
  <si>
    <t>Orange</t>
  </si>
  <si>
    <t>Okeechobee</t>
  </si>
  <si>
    <t>Okaloosa</t>
  </si>
  <si>
    <t>Nassau</t>
  </si>
  <si>
    <t>Monroe</t>
  </si>
  <si>
    <t>Miami-Dade</t>
  </si>
  <si>
    <t>Martin</t>
  </si>
  <si>
    <t>Marion</t>
  </si>
  <si>
    <t>Manatee</t>
  </si>
  <si>
    <t>Madison</t>
  </si>
  <si>
    <t>Liberty</t>
  </si>
  <si>
    <t>Levy</t>
  </si>
  <si>
    <t>Leon</t>
  </si>
  <si>
    <t>Lee</t>
  </si>
  <si>
    <t>Lake</t>
  </si>
  <si>
    <t>Lafayette</t>
  </si>
  <si>
    <t>Jefferson</t>
  </si>
  <si>
    <t>Jackson</t>
  </si>
  <si>
    <t>Indian River</t>
  </si>
  <si>
    <t>Holmes</t>
  </si>
  <si>
    <t>Hillsborough</t>
  </si>
  <si>
    <t>Highlands</t>
  </si>
  <si>
    <t>Hernando</t>
  </si>
  <si>
    <t>Hendry</t>
  </si>
  <si>
    <t>Hardee</t>
  </si>
  <si>
    <t>Hamilton</t>
  </si>
  <si>
    <t>Gulf</t>
  </si>
  <si>
    <t>Glades</t>
  </si>
  <si>
    <t>Gilchrist</t>
  </si>
  <si>
    <t>Gadsden</t>
  </si>
  <si>
    <t>Franklin</t>
  </si>
  <si>
    <t>Flagler</t>
  </si>
  <si>
    <t>Escambia</t>
  </si>
  <si>
    <t>Duval</t>
  </si>
  <si>
    <t>Dixie</t>
  </si>
  <si>
    <t>DeSoto</t>
  </si>
  <si>
    <t>Columbia</t>
  </si>
  <si>
    <t>Collier</t>
  </si>
  <si>
    <t>Clay</t>
  </si>
  <si>
    <t>Citrus</t>
  </si>
  <si>
    <t>Charlotte</t>
  </si>
  <si>
    <t>Calhoun</t>
  </si>
  <si>
    <t>Broward</t>
  </si>
  <si>
    <t>Brevard</t>
  </si>
  <si>
    <t>Bradford</t>
  </si>
  <si>
    <t>Bay</t>
  </si>
  <si>
    <t>Baker</t>
  </si>
  <si>
    <t>Alachua</t>
  </si>
  <si>
    <t>Total Percent change from CFY 2019-20 Approved Budget</t>
  </si>
  <si>
    <t>Total Percent change from CFY 2020-21 Budget Request</t>
  </si>
  <si>
    <t>Reduction percentage</t>
  </si>
  <si>
    <r>
      <rPr>
        <b/>
        <sz val="10"/>
        <color rgb="FFFF0000"/>
        <rFont val="Franklin Gothic Book"/>
        <family val="2"/>
      </rPr>
      <t xml:space="preserve">DEDUCT 
</t>
    </r>
    <r>
      <rPr>
        <b/>
        <sz val="10"/>
        <rFont val="Franklin Gothic Book"/>
        <family val="2"/>
      </rPr>
      <t>Peer Group Cost Per Case Average</t>
    </r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</si>
  <si>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</t>
    </r>
    <r>
      <rPr>
        <b/>
        <sz val="10"/>
        <color theme="1"/>
        <rFont val="Franklin Gothic Book"/>
        <family val="2"/>
      </rPr>
      <t>Weighted Cases Distribution</t>
    </r>
  </si>
  <si>
    <t>Budget Request Increase</t>
  </si>
  <si>
    <t>CFY 2021 Total Budget Request</t>
  </si>
  <si>
    <r>
      <rPr>
        <b/>
        <sz val="10"/>
        <color theme="9"/>
        <rFont val="Franklin Gothic Book"/>
        <family val="2"/>
      </rPr>
      <t xml:space="preserve">ADD
</t>
    </r>
    <r>
      <rPr>
        <sz val="10"/>
        <color theme="1"/>
        <rFont val="Franklin Gothic Book"/>
        <family val="2"/>
      </rPr>
      <t>3% of Salary Increase</t>
    </r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</si>
  <si>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Vacant Positions over 180 Days</t>
    </r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</si>
  <si>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Prior Year
Non-Recurring Special Funding</t>
    </r>
  </si>
  <si>
    <r>
      <rPr>
        <b/>
        <sz val="10"/>
        <color rgb="FFFF0000"/>
        <rFont val="Franklin Gothic Book"/>
        <family val="2"/>
      </rPr>
      <t xml:space="preserve">DEDUCT
</t>
    </r>
    <r>
      <rPr>
        <sz val="10"/>
        <color theme="1"/>
        <rFont val="Franklin Gothic Book"/>
        <family val="2"/>
      </rPr>
      <t>Prior Year Cumulative Excess</t>
    </r>
  </si>
  <si>
    <t>TOTAL Approved Aggregate
CFY1920 Budget w/o Jury</t>
  </si>
  <si>
    <t>CFY1819
Cumulative Excess Revenue Carry Forward</t>
  </si>
  <si>
    <t>CFY1819
Unspent Funds Carry Forward</t>
  </si>
  <si>
    <t>CFY1920
CCOC New Revenue</t>
  </si>
  <si>
    <t>Fiscally Constrained</t>
  </si>
  <si>
    <t>Peer
Group</t>
  </si>
  <si>
    <t>County</t>
  </si>
  <si>
    <t>STATEWIDE TOTALS</t>
  </si>
  <si>
    <t>CFY2021 Revenue Limited Budget Authority</t>
  </si>
  <si>
    <t xml:space="preserve">Base Budget Adjustments </t>
  </si>
  <si>
    <t>CFY1920 Current Operational Budget</t>
  </si>
  <si>
    <t>Percent Reduction</t>
  </si>
  <si>
    <t>Weighted Workload Reduction</t>
  </si>
  <si>
    <t>Percent of Total Weighted Measure</t>
  </si>
  <si>
    <t>Total Weighted Workload Measure</t>
  </si>
  <si>
    <t>Percent of Total Budget</t>
  </si>
  <si>
    <t>Peer Group</t>
  </si>
  <si>
    <t>Calculation Line</t>
  </si>
  <si>
    <t>Peer Groups</t>
  </si>
  <si>
    <t>CFY 2017-18 Weighted Workload Measure</t>
  </si>
  <si>
    <t xml:space="preserve">Cost Per Weighted Case </t>
  </si>
  <si>
    <t>Percent Above or Below PG Average</t>
  </si>
  <si>
    <t>Weighted Workload Adjustment</t>
  </si>
  <si>
    <t>Weighted Workload Reduction Share</t>
  </si>
  <si>
    <t>Percent of WW Reduction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</si>
  <si>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</si>
  <si>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</si>
  <si>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</si>
  <si>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</si>
  <si>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</si>
  <si>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</si>
  <si>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</si>
  <si>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</si>
  <si>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Grand Total</t>
  </si>
  <si>
    <t>Reduction Target</t>
  </si>
  <si>
    <t>Over Target</t>
  </si>
  <si>
    <t>CFY 2020-21 Budget Request W/O JURY</t>
  </si>
  <si>
    <t>TOTAL CFY2021
Revenue-Based Budget Calculation</t>
  </si>
  <si>
    <t>Aggregate CFY2021 Budget</t>
  </si>
  <si>
    <t>TOTAL
CFY2021
Base Budget Calculation W/O Jury</t>
  </si>
  <si>
    <t>CFY 2021 Total Budget Request W/O Jury</t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</si>
  <si>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</t>
    </r>
    <r>
      <rPr>
        <b/>
        <sz val="10"/>
        <color theme="1"/>
        <rFont val="Franklin Gothic Book"/>
        <family val="2"/>
      </rPr>
      <t>Across the Board</t>
    </r>
  </si>
  <si>
    <t>Pro-Rata Reduction Share</t>
  </si>
  <si>
    <r>
      <rPr>
        <b/>
        <sz val="11"/>
        <color rgb="FFFF0000"/>
        <rFont val="Franklin Gothic Book"/>
        <family val="2"/>
      </rPr>
      <t>DEDUCT</t>
    </r>
    <r>
      <rPr>
        <b/>
        <sz val="11"/>
        <color theme="1"/>
        <rFont val="Franklin Gothic Book"/>
        <family val="2"/>
      </rPr>
      <t xml:space="preserve">
Total Budget deduction
(Across the Board)</t>
    </r>
  </si>
  <si>
    <t>Aggregate
CFY1920 Budget</t>
  </si>
  <si>
    <r>
      <rPr>
        <b/>
        <sz val="11"/>
        <color theme="9" tint="-0.499984740745262"/>
        <rFont val="Franklin Gothic Book"/>
        <family val="2"/>
      </rPr>
      <t>Add</t>
    </r>
    <r>
      <rPr>
        <b/>
        <sz val="11"/>
        <color theme="1"/>
        <rFont val="Franklin Gothic Book"/>
        <family val="2"/>
      </rPr>
      <t xml:space="preserve">
Weighted Workload Distribution</t>
    </r>
  </si>
  <si>
    <t>Total cut</t>
  </si>
  <si>
    <t>CFY2021
Jury Budget Authority
(State GAA)</t>
  </si>
  <si>
    <r>
      <rPr>
        <b/>
        <sz val="10"/>
        <color theme="9"/>
        <rFont val="Franklin Gothic Book"/>
        <family val="2"/>
      </rPr>
      <t xml:space="preserve">ADD
</t>
    </r>
    <r>
      <rPr>
        <sz val="10"/>
        <color theme="1"/>
        <rFont val="Franklin Gothic Book"/>
        <family val="2"/>
      </rPr>
      <t>FRS Increases Only</t>
    </r>
  </si>
  <si>
    <t>FCC Original FRS Request</t>
  </si>
  <si>
    <t>Non-FCC TBR</t>
  </si>
  <si>
    <t>FCC TBR</t>
  </si>
  <si>
    <t>Adjustment to FCC FRS Request to Cap Budget</t>
  </si>
  <si>
    <t>GRAND TOTAL</t>
  </si>
  <si>
    <t>REQUEST TOTAL</t>
  </si>
  <si>
    <t>Pay &amp; Benefit Increases</t>
  </si>
  <si>
    <t>Court Functions/Training</t>
  </si>
  <si>
    <t>Yes</t>
  </si>
  <si>
    <t>Collections</t>
  </si>
  <si>
    <t>Health Insurance Increase</t>
  </si>
  <si>
    <t>FRS Increase</t>
  </si>
  <si>
    <t>Cost Shift from County</t>
  </si>
  <si>
    <t>Clerk Court Percentage</t>
  </si>
  <si>
    <t>Traffic Division</t>
  </si>
  <si>
    <t>Performance Measures</t>
  </si>
  <si>
    <t>Injunctions</t>
  </si>
  <si>
    <t>Pay Equity</t>
  </si>
  <si>
    <t>Increase related to 3% in Base</t>
  </si>
  <si>
    <t>3% Raise</t>
  </si>
  <si>
    <t>AO/Supreme Court Order</t>
  </si>
  <si>
    <t>Jury Increase</t>
  </si>
  <si>
    <t>Group Health</t>
  </si>
  <si>
    <t>Compliance</t>
  </si>
  <si>
    <t>Other</t>
  </si>
  <si>
    <t>Markeith Loyd Trials</t>
  </si>
  <si>
    <t>No</t>
  </si>
  <si>
    <t>County Support</t>
  </si>
  <si>
    <t>Continuation Budget</t>
  </si>
  <si>
    <t>Clerk Salary Increase</t>
  </si>
  <si>
    <t>Felony Clerk Overlap</t>
  </si>
  <si>
    <t>FRS Class Change</t>
  </si>
  <si>
    <t>Leave Payouts</t>
  </si>
  <si>
    <t>Audit Finding</t>
  </si>
  <si>
    <t>Finance Division</t>
  </si>
  <si>
    <t>Legislative Mandate</t>
  </si>
  <si>
    <t>Appeals - SB 1392</t>
  </si>
  <si>
    <t>Efficiencies</t>
  </si>
  <si>
    <t>Pro Se Department</t>
  </si>
  <si>
    <t>Branch Location - Staffing</t>
  </si>
  <si>
    <t>Increase Salary Minimums</t>
  </si>
  <si>
    <t>Operating Costs</t>
  </si>
  <si>
    <t>IT Funded from CCOC</t>
  </si>
  <si>
    <t>Court Technology - Personnel</t>
  </si>
  <si>
    <t>New FTE - Reporting</t>
  </si>
  <si>
    <t>Pay &amp; Benefit Adjustments</t>
  </si>
  <si>
    <t>FRS and Health Increase</t>
  </si>
  <si>
    <t>FRS, FICA, Health, Payouts</t>
  </si>
  <si>
    <t>Clerk Retirement</t>
  </si>
  <si>
    <t>FRS</t>
  </si>
  <si>
    <t>Jury Management Software</t>
  </si>
  <si>
    <t>Pension</t>
  </si>
  <si>
    <t>Laptops/Cameras</t>
  </si>
  <si>
    <t>Health/Dental/Life Insurance</t>
  </si>
  <si>
    <t>Fund current FTE from CCOC</t>
  </si>
  <si>
    <t>CMS Increase</t>
  </si>
  <si>
    <t>New FTE - Asst. Chief Deputy</t>
  </si>
  <si>
    <t>Call Center</t>
  </si>
  <si>
    <t>Overtime</t>
  </si>
  <si>
    <t>Merit Increases</t>
  </si>
  <si>
    <t>Clerk Technology</t>
  </si>
  <si>
    <t>Overtime - COVID</t>
  </si>
  <si>
    <t>Felony - Front Counter</t>
  </si>
  <si>
    <t>Circuit Civil/Family Division</t>
  </si>
  <si>
    <t>Budget Analyst</t>
  </si>
  <si>
    <t>Felony - Case Management</t>
  </si>
  <si>
    <t>Domestic Violence Unit</t>
  </si>
  <si>
    <t>Felony - Clerks</t>
  </si>
  <si>
    <t>Child Support Costs</t>
  </si>
  <si>
    <t>Clerk IT FTE</t>
  </si>
  <si>
    <t>DROP Payouts</t>
  </si>
  <si>
    <t>Requested FTE</t>
  </si>
  <si>
    <t>Issue Category</t>
  </si>
  <si>
    <t>Issue Description</t>
  </si>
  <si>
    <t>Recurring
Yes / No</t>
  </si>
  <si>
    <t>Priority</t>
  </si>
  <si>
    <t>Base Budget</t>
  </si>
  <si>
    <t>CFY 20-21 Aggregate Court-Related Budget</t>
  </si>
  <si>
    <t>CFY 20-21
Revenue-Limited Budget</t>
  </si>
  <si>
    <t>Approved 
CFY 19-20 Operational Budget Authority</t>
  </si>
  <si>
    <t>Base Budget Calculation</t>
  </si>
  <si>
    <t xml:space="preserve">Base Budget with Jury:  </t>
  </si>
  <si>
    <t xml:space="preserve">Jury Funding:  </t>
  </si>
  <si>
    <t xml:space="preserve">CFY 20-21
Base Budget </t>
  </si>
  <si>
    <t>Base Budget + FRS Increase</t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</si>
  <si>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</t>
    </r>
    <r>
      <rPr>
        <b/>
        <sz val="10"/>
        <color theme="1"/>
        <rFont val="Franklin Gothic Book"/>
        <family val="2"/>
      </rPr>
      <t>Across-the-Board</t>
    </r>
  </si>
  <si>
    <t>Percent change from Budget Request</t>
  </si>
  <si>
    <t>CFY 20-21 Revenue-Limited Budget</t>
  </si>
  <si>
    <r>
      <rPr>
        <b/>
        <sz val="10"/>
        <color theme="9"/>
        <rFont val="Franklin Gothic Book"/>
        <family val="2"/>
      </rPr>
      <t xml:space="preserve">ADD
</t>
    </r>
    <r>
      <rPr>
        <b/>
        <sz val="10"/>
        <color theme="1"/>
        <rFont val="Franklin Gothic Book"/>
        <family val="2"/>
      </rPr>
      <t>3% of Salary Increase</t>
    </r>
  </si>
  <si>
    <r>
      <rPr>
        <b/>
        <sz val="10"/>
        <color theme="9"/>
        <rFont val="Franklin Gothic Book"/>
        <family val="2"/>
      </rPr>
      <t>ADD</t>
    </r>
    <r>
      <rPr>
        <b/>
        <sz val="10"/>
        <rFont val="Franklin Gothic Book"/>
        <family val="2"/>
      </rPr>
      <t xml:space="preserve">
Approved
FRS Increase</t>
    </r>
  </si>
  <si>
    <t>Jury Budget Authority
(State GR)</t>
  </si>
  <si>
    <r>
      <rPr>
        <b/>
        <sz val="11"/>
        <color rgb="FFFF0000"/>
        <rFont val="Franklin Gothic Book"/>
        <family val="2"/>
      </rPr>
      <t>DEDUCT</t>
    </r>
    <r>
      <rPr>
        <b/>
        <sz val="11"/>
        <color theme="1"/>
        <rFont val="Franklin Gothic Book"/>
        <family val="2"/>
      </rPr>
      <t xml:space="preserve">
Total Budget Deduction (Across the-Board)</t>
    </r>
  </si>
  <si>
    <r>
      <rPr>
        <b/>
        <sz val="11"/>
        <color theme="9" tint="-0.499984740745262"/>
        <rFont val="Franklin Gothic Book"/>
        <family val="2"/>
      </rPr>
      <t>ADD</t>
    </r>
    <r>
      <rPr>
        <b/>
        <sz val="11"/>
        <color theme="1"/>
        <rFont val="Franklin Gothic Book"/>
        <family val="2"/>
      </rPr>
      <t xml:space="preserve">
Weighted Workload Distribution</t>
    </r>
  </si>
  <si>
    <r>
      <rPr>
        <b/>
        <sz val="10"/>
        <color rgb="FFFF0000"/>
        <rFont val="Franklin Gothic Book"/>
        <family val="2"/>
      </rPr>
      <t xml:space="preserve">DEDUCT
</t>
    </r>
    <r>
      <rPr>
        <b/>
        <sz val="10"/>
        <color theme="1"/>
        <rFont val="Franklin Gothic Book"/>
        <family val="2"/>
      </rPr>
      <t>Prior Year Cumulative Excess</t>
    </r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</si>
  <si>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Prior Year
Non-Recurring Special Funding</t>
    </r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</si>
  <si>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Vacant Positions over 180 Days</t>
    </r>
  </si>
  <si>
    <t xml:space="preserve">Needs-Based Budget:  </t>
  </si>
  <si>
    <t>New Revenue Summary</t>
  </si>
  <si>
    <t>Net Budget Increase</t>
  </si>
  <si>
    <r>
      <t xml:space="preserve">   * </t>
    </r>
    <r>
      <rPr>
        <i/>
        <u/>
        <sz val="16"/>
        <color theme="1"/>
        <rFont val="Franklin Gothic Book"/>
        <family val="2"/>
      </rPr>
      <t>updated [1/31/22]</t>
    </r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</si>
  <si>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2020-21)  </t>
    </r>
    <r>
      <rPr>
        <u/>
        <sz val="14"/>
        <color theme="1"/>
        <rFont val="Franklin Gothic Book"/>
        <family val="2"/>
      </rPr>
      <t>[July 2020</t>
    </r>
    <r>
      <rPr>
        <sz val="14"/>
        <color theme="1"/>
        <rFont val="Franklin Gothic Book"/>
        <family val="2"/>
      </rPr>
      <t>]</t>
    </r>
  </si>
  <si>
    <r>
      <t xml:space="preserve">Jury Management Funding </t>
    </r>
    <r>
      <rPr>
        <sz val="14"/>
        <color theme="1"/>
        <rFont val="Franklin Gothic Book"/>
        <family val="2"/>
      </rPr>
      <t>(State GR)</t>
    </r>
  </si>
  <si>
    <t>CFY 2020-21 Revenue-Limited Budget</t>
  </si>
  <si>
    <t>CFY 2020-21 Total Court-Side Budget Authority</t>
  </si>
  <si>
    <t>Year-over-Year Total Court-Side Budget Authority Increase</t>
  </si>
  <si>
    <r>
      <t xml:space="preserve">Prior Year Total Court-Side Budget Authority </t>
    </r>
    <r>
      <rPr>
        <sz val="14"/>
        <color theme="1"/>
        <rFont val="Franklin Gothic Book"/>
        <family val="2"/>
      </rPr>
      <t>(CFY 2019-20)</t>
    </r>
  </si>
  <si>
    <r>
      <t xml:space="preserve">Prior Year Revenue-Limited Budget [reduced due to Covid-19] </t>
    </r>
    <r>
      <rPr>
        <sz val="14"/>
        <color theme="1"/>
        <rFont val="Franklin Gothic Book"/>
        <family val="2"/>
      </rPr>
      <t>(CFY 2019-20)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</si>
</sst>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FF0000"/>
      <name val="Franklin Gothic Book"/>
      <family val="2"/>
    </font>
    <font>
      <sz val="10"/>
      <color rgb="FFFF0000"/>
      <name val="Franklin Gothic Book"/>
      <family val="2"/>
    </font>
    <font>
      <sz val="10"/>
      <name val="Franklin Gothic Book"/>
      <family val="2"/>
    </font>
    <font>
      <sz val="10"/>
      <color theme="9" tint="-0.249977111117893"/>
      <name val="Franklin Gothic Book"/>
      <family val="2"/>
    </font>
    <font>
      <b/>
      <sz val="10"/>
      <name val="Franklin Gothic Book"/>
      <family val="2"/>
    </font>
    <font>
      <b/>
      <sz val="10"/>
      <color theme="9"/>
      <name val="Franklin Gothic Book"/>
      <family val="2"/>
    </font>
    <font>
      <b/>
      <sz val="11"/>
      <color rgb="FFFF0000"/>
      <name val="Franklin Gothic Book"/>
      <family val="2"/>
    </font>
    <font>
      <b/>
      <sz val="10"/>
      <color theme="9" tint="-0.499984740745262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color theme="9" tint="-0.499984740745262"/>
      <name val="Franklin Gothic Book"/>
      <family val="2"/>
    </font>
    <font>
      <sz val="11"/>
      <color theme="1"/>
      <name val="Franklin Gothic Book"/>
      <family val="2"/>
    </font>
    <font>
      <b/>
      <sz val="11"/>
      <color theme="9" tint="-0.499984740745262"/>
      <name val="Franklin Gothic Book"/>
      <family val="2"/>
    </font>
    <font>
      <sz val="11"/>
      <name val="Franklin Gothic Book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9" tint="-0.249977111117893"/>
      <name val="Franklin Gothic Book"/>
      <family val="2"/>
    </font>
    <font>
      <b/>
      <sz val="9"/>
      <color theme="1"/>
      <name val="Franklin Gothic Book"/>
      <family val="2"/>
    </font>
    <font>
      <b/>
      <sz val="9"/>
      <color rgb="FFFF0000"/>
      <name val="Franklin Gothic Book"/>
      <family val="2"/>
    </font>
    <font>
      <sz val="9"/>
      <color rgb="FFFF0000"/>
      <name val="Franklin Gothic Book"/>
      <family val="2"/>
    </font>
    <font>
      <sz val="9"/>
      <color theme="1"/>
      <name val="Franklin Gothic Book"/>
      <family val="2"/>
    </font>
    <font>
      <b/>
      <sz val="10"/>
      <color theme="0"/>
      <name val="Franklin Gothic Book"/>
      <family val="2"/>
    </font>
    <font>
      <sz val="9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4"/>
      <color theme="1"/>
      <name val="Franklin Gothic Book"/>
      <family val="2"/>
    </font>
    <font>
      <u/>
      <sz val="14"/>
      <color theme="1"/>
      <name val="Franklin Gothic Book"/>
      <family val="2"/>
    </font>
    <font>
      <i/>
      <sz val="16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6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1" fillId="4" borderId="37">
      <alignment horizontal="center" vertical="center"/>
      <protection locked="0"/>
    </xf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top"/>
    </xf>
    <xf numFmtId="6" fontId="4" fillId="0" borderId="0" xfId="0" applyNumberFormat="1" applyFont="1"/>
    <xf numFmtId="42" fontId="4" fillId="0" borderId="0" xfId="1" applyNumberFormat="1" applyFont="1"/>
    <xf numFmtId="10" fontId="6" fillId="0" borderId="2" xfId="2" applyNumberFormat="1" applyFont="1" applyBorder="1" applyAlignment="1">
      <alignment horizontal="center" vertical="center"/>
    </xf>
    <xf numFmtId="6" fontId="5" fillId="0" borderId="1" xfId="1" applyNumberFormat="1" applyFont="1" applyBorder="1" applyAlignment="1">
      <alignment vertical="top"/>
    </xf>
    <xf numFmtId="10" fontId="7" fillId="0" borderId="2" xfId="2" applyNumberFormat="1" applyFont="1" applyBorder="1" applyAlignment="1">
      <alignment horizontal="center" vertical="center"/>
    </xf>
    <xf numFmtId="6" fontId="7" fillId="0" borderId="2" xfId="1" applyNumberFormat="1" applyFont="1" applyBorder="1" applyAlignment="1">
      <alignment vertical="top"/>
    </xf>
    <xf numFmtId="10" fontId="8" fillId="0" borderId="2" xfId="2" applyNumberFormat="1" applyFont="1" applyBorder="1" applyAlignment="1">
      <alignment horizontal="center" vertical="top"/>
    </xf>
    <xf numFmtId="165" fontId="7" fillId="0" borderId="4" xfId="1" applyNumberFormat="1" applyFont="1" applyBorder="1" applyAlignment="1">
      <alignment vertical="top"/>
    </xf>
    <xf numFmtId="165" fontId="7" fillId="0" borderId="2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5" fillId="0" borderId="5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165" fontId="5" fillId="0" borderId="5" xfId="1" applyNumberFormat="1" applyFont="1" applyBorder="1" applyAlignment="1">
      <alignment horizontal="center" vertical="center"/>
    </xf>
    <xf numFmtId="6" fontId="5" fillId="0" borderId="5" xfId="1" applyNumberFormat="1" applyFont="1" applyBorder="1"/>
    <xf numFmtId="165" fontId="4" fillId="0" borderId="5" xfId="1" applyNumberFormat="1" applyFont="1" applyBorder="1" applyAlignment="1">
      <alignment horizontal="center" vertical="center"/>
    </xf>
    <xf numFmtId="6" fontId="4" fillId="0" borderId="5" xfId="1" applyNumberFormat="1" applyFont="1" applyBorder="1"/>
    <xf numFmtId="165" fontId="7" fillId="0" borderId="5" xfId="1" applyNumberFormat="1" applyFont="1" applyBorder="1" applyAlignment="1">
      <alignment horizontal="center" vertical="center"/>
    </xf>
    <xf numFmtId="6" fontId="7" fillId="0" borderId="5" xfId="1" applyNumberFormat="1" applyFont="1" applyBorder="1"/>
    <xf numFmtId="165" fontId="7" fillId="0" borderId="5" xfId="1" applyNumberFormat="1" applyFont="1" applyBorder="1" applyAlignment="1">
      <alignment horizontal="center" vertical="top"/>
    </xf>
    <xf numFmtId="165" fontId="4" fillId="0" borderId="5" xfId="1" applyNumberFormat="1" applyFont="1" applyBorder="1"/>
    <xf numFmtId="165" fontId="7" fillId="0" borderId="5" xfId="1" applyNumberFormat="1" applyFont="1" applyBorder="1"/>
    <xf numFmtId="164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0" fontId="6" fillId="0" borderId="8" xfId="2" applyNumberFormat="1" applyFont="1" applyBorder="1" applyAlignment="1">
      <alignment horizontal="center" vertical="center"/>
    </xf>
    <xf numFmtId="6" fontId="5" fillId="0" borderId="9" xfId="1" applyNumberFormat="1" applyFont="1" applyBorder="1" applyAlignment="1">
      <alignment vertical="top"/>
    </xf>
    <xf numFmtId="10" fontId="7" fillId="0" borderId="8" xfId="2" applyNumberFormat="1" applyFont="1" applyBorder="1" applyAlignment="1">
      <alignment horizontal="center" vertical="center"/>
    </xf>
    <xf numFmtId="6" fontId="8" fillId="0" borderId="10" xfId="1" applyNumberFormat="1" applyFont="1" applyBorder="1" applyAlignment="1">
      <alignment vertical="top"/>
    </xf>
    <xf numFmtId="6" fontId="7" fillId="0" borderId="10" xfId="1" applyNumberFormat="1" applyFont="1" applyBorder="1" applyAlignment="1">
      <alignment vertical="top"/>
    </xf>
    <xf numFmtId="6" fontId="7" fillId="0" borderId="11" xfId="1" applyNumberFormat="1" applyFont="1" applyBorder="1" applyAlignment="1">
      <alignment vertical="top"/>
    </xf>
    <xf numFmtId="10" fontId="8" fillId="0" borderId="12" xfId="2" applyNumberFormat="1" applyFont="1" applyBorder="1" applyAlignment="1">
      <alignment horizontal="center" vertical="top"/>
    </xf>
    <xf numFmtId="6" fontId="9" fillId="0" borderId="14" xfId="1" applyNumberFormat="1" applyFont="1" applyBorder="1" applyAlignment="1">
      <alignment vertical="top"/>
    </xf>
    <xf numFmtId="6" fontId="7" fillId="0" borderId="15" xfId="1" applyNumberFormat="1" applyFont="1" applyBorder="1" applyAlignment="1">
      <alignment vertical="top"/>
    </xf>
    <xf numFmtId="6" fontId="4" fillId="0" borderId="16" xfId="1" applyNumberFormat="1" applyFont="1" applyBorder="1" applyAlignment="1">
      <alignment vertical="top"/>
    </xf>
    <xf numFmtId="6" fontId="4" fillId="0" borderId="10" xfId="0" applyNumberFormat="1" applyFont="1" applyBorder="1" applyAlignment="1">
      <alignment vertical="top"/>
    </xf>
    <xf numFmtId="6" fontId="4" fillId="0" borderId="15" xfId="0" applyNumberFormat="1" applyFont="1" applyBorder="1" applyAlignment="1">
      <alignment vertical="top"/>
    </xf>
    <xf numFmtId="0" fontId="4" fillId="0" borderId="1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6" fontId="5" fillId="0" borderId="18" xfId="1" applyNumberFormat="1" applyFont="1" applyBorder="1" applyAlignment="1">
      <alignment vertical="top"/>
    </xf>
    <xf numFmtId="6" fontId="8" fillId="0" borderId="19" xfId="1" applyNumberFormat="1" applyFont="1" applyBorder="1" applyAlignment="1">
      <alignment vertical="top"/>
    </xf>
    <xf numFmtId="6" fontId="7" fillId="0" borderId="19" xfId="1" applyNumberFormat="1" applyFont="1" applyBorder="1" applyAlignment="1">
      <alignment vertical="top"/>
    </xf>
    <xf numFmtId="10" fontId="8" fillId="0" borderId="16" xfId="2" applyNumberFormat="1" applyFont="1" applyBorder="1" applyAlignment="1">
      <alignment horizontal="center" vertical="top"/>
    </xf>
    <xf numFmtId="6" fontId="9" fillId="0" borderId="20" xfId="1" applyNumberFormat="1" applyFont="1" applyBorder="1" applyAlignment="1">
      <alignment vertical="top"/>
    </xf>
    <xf numFmtId="6" fontId="9" fillId="0" borderId="21" xfId="1" applyNumberFormat="1" applyFont="1" applyBorder="1" applyAlignment="1">
      <alignment vertical="top"/>
    </xf>
    <xf numFmtId="6" fontId="7" fillId="0" borderId="22" xfId="1" applyNumberFormat="1" applyFont="1" applyBorder="1" applyAlignment="1">
      <alignment vertical="top"/>
    </xf>
    <xf numFmtId="6" fontId="4" fillId="0" borderId="19" xfId="0" applyNumberFormat="1" applyFont="1" applyBorder="1" applyAlignment="1">
      <alignment vertical="top"/>
    </xf>
    <xf numFmtId="6" fontId="4" fillId="0" borderId="22" xfId="0" applyNumberFormat="1" applyFont="1" applyBorder="1" applyAlignment="1">
      <alignment vertical="top"/>
    </xf>
    <xf numFmtId="0" fontId="4" fillId="0" borderId="2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vertical="top"/>
    </xf>
    <xf numFmtId="6" fontId="5" fillId="0" borderId="16" xfId="1" applyNumberFormat="1" applyFont="1" applyBorder="1" applyAlignment="1">
      <alignment vertical="top"/>
    </xf>
    <xf numFmtId="6" fontId="8" fillId="0" borderId="24" xfId="1" applyNumberFormat="1" applyFont="1" applyBorder="1" applyAlignment="1">
      <alignment vertical="top"/>
    </xf>
    <xf numFmtId="6" fontId="7" fillId="0" borderId="24" xfId="1" applyNumberFormat="1" applyFont="1" applyBorder="1" applyAlignment="1">
      <alignment vertical="top"/>
    </xf>
    <xf numFmtId="6" fontId="9" fillId="0" borderId="25" xfId="1" applyNumberFormat="1" applyFont="1" applyBorder="1" applyAlignment="1">
      <alignment vertical="top"/>
    </xf>
    <xf numFmtId="6" fontId="9" fillId="0" borderId="26" xfId="1" applyNumberFormat="1" applyFont="1" applyBorder="1" applyAlignment="1">
      <alignment vertical="top"/>
    </xf>
    <xf numFmtId="6" fontId="7" fillId="0" borderId="8" xfId="1" applyNumberFormat="1" applyFont="1" applyBorder="1" applyAlignment="1">
      <alignment vertical="top"/>
    </xf>
    <xf numFmtId="6" fontId="4" fillId="0" borderId="27" xfId="0" applyNumberFormat="1" applyFont="1" applyBorder="1" applyAlignment="1">
      <alignment vertical="top"/>
    </xf>
    <xf numFmtId="6" fontId="4" fillId="0" borderId="28" xfId="0" applyNumberFormat="1" applyFont="1" applyBorder="1" applyAlignment="1">
      <alignment vertical="top"/>
    </xf>
    <xf numFmtId="0" fontId="4" fillId="0" borderId="2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0" fontId="4" fillId="0" borderId="0" xfId="0" applyFont="1" applyAlignment="1">
      <alignment vertical="center"/>
    </xf>
    <xf numFmtId="10" fontId="5" fillId="0" borderId="4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4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0" fontId="7" fillId="0" borderId="31" xfId="2" applyNumberFormat="1" applyFont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0" fontId="8" fillId="0" borderId="31" xfId="2" applyNumberFormat="1" applyFont="1" applyBorder="1" applyAlignment="1">
      <alignment horizontal="center" vertical="top"/>
    </xf>
    <xf numFmtId="164" fontId="9" fillId="2" borderId="3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0" fontId="8" fillId="0" borderId="8" xfId="2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/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/>
    <xf numFmtId="0" fontId="5" fillId="0" borderId="32" xfId="0" applyFont="1" applyBorder="1"/>
    <xf numFmtId="0" fontId="4" fillId="3" borderId="1" xfId="0" applyFont="1" applyFill="1" applyBorder="1"/>
    <xf numFmtId="0" fontId="4" fillId="0" borderId="33" xfId="0" applyFont="1" applyBorder="1" applyAlignment="1">
      <alignment horizontal="center"/>
    </xf>
    <xf numFmtId="0" fontId="4" fillId="0" borderId="32" xfId="0" applyFont="1" applyBorder="1"/>
    <xf numFmtId="0" fontId="4" fillId="0" borderId="0" xfId="0" applyFont="1" applyAlignment="1">
      <alignment horizontal="right"/>
    </xf>
    <xf numFmtId="10" fontId="12" fillId="0" borderId="1" xfId="3" applyNumberFormat="1" applyFont="1" applyBorder="1" applyAlignment="1">
      <alignment vertical="top"/>
    </xf>
    <xf numFmtId="164" fontId="6" fillId="0" borderId="2" xfId="4" applyNumberFormat="1" applyFont="1" applyBorder="1" applyAlignment="1">
      <alignment vertical="top"/>
    </xf>
    <xf numFmtId="164" fontId="13" fillId="0" borderId="2" xfId="4" applyNumberFormat="1" applyFont="1" applyBorder="1" applyAlignment="1">
      <alignment vertical="top"/>
    </xf>
    <xf numFmtId="166" fontId="5" fillId="0" borderId="1" xfId="5" applyNumberFormat="1" applyFont="1" applyBorder="1" applyAlignment="1">
      <alignment vertical="top"/>
    </xf>
    <xf numFmtId="9" fontId="5" fillId="0" borderId="1" xfId="2" applyFont="1" applyBorder="1" applyAlignment="1">
      <alignment vertical="top"/>
    </xf>
    <xf numFmtId="164" fontId="5" fillId="0" borderId="1" xfId="4" applyNumberFormat="1" applyFont="1" applyBorder="1" applyAlignment="1">
      <alignment horizontal="right" vertical="top"/>
    </xf>
    <xf numFmtId="10" fontId="12" fillId="0" borderId="16" xfId="3" applyNumberFormat="1" applyFont="1" applyBorder="1" applyAlignment="1">
      <alignment vertical="top"/>
    </xf>
    <xf numFmtId="164" fontId="15" fillId="0" borderId="24" xfId="4" applyNumberFormat="1" applyFont="1" applyBorder="1" applyAlignment="1">
      <alignment horizontal="right" vertical="top"/>
    </xf>
    <xf numFmtId="164" fontId="16" fillId="0" borderId="24" xfId="4" applyNumberFormat="1" applyFont="1" applyBorder="1" applyAlignment="1">
      <alignment horizontal="right" vertical="top"/>
    </xf>
    <xf numFmtId="10" fontId="14" fillId="0" borderId="16" xfId="3" applyNumberFormat="1" applyFont="1" applyBorder="1" applyAlignment="1">
      <alignment vertical="top"/>
    </xf>
    <xf numFmtId="166" fontId="14" fillId="0" borderId="9" xfId="5" applyNumberFormat="1" applyFont="1" applyBorder="1" applyAlignment="1">
      <alignment vertical="top"/>
    </xf>
    <xf numFmtId="0" fontId="17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vertical="top"/>
    </xf>
    <xf numFmtId="166" fontId="14" fillId="0" borderId="18" xfId="5" applyNumberFormat="1" applyFont="1" applyBorder="1" applyAlignment="1">
      <alignment vertical="top"/>
    </xf>
    <xf numFmtId="164" fontId="14" fillId="0" borderId="18" xfId="4" applyNumberFormat="1" applyFont="1" applyBorder="1" applyAlignment="1">
      <alignment horizontal="right" vertical="top"/>
    </xf>
    <xf numFmtId="0" fontId="17" fillId="0" borderId="18" xfId="0" applyFont="1" applyBorder="1" applyAlignment="1">
      <alignment horizontal="center" vertical="top"/>
    </xf>
    <xf numFmtId="0" fontId="17" fillId="0" borderId="18" xfId="0" applyFont="1" applyBorder="1" applyAlignment="1">
      <alignment vertical="top"/>
    </xf>
    <xf numFmtId="166" fontId="14" fillId="0" borderId="16" xfId="5" applyNumberFormat="1" applyFont="1" applyBorder="1" applyAlignment="1">
      <alignment vertical="top"/>
    </xf>
    <xf numFmtId="164" fontId="14" fillId="0" borderId="16" xfId="4" applyNumberFormat="1" applyFont="1" applyBorder="1" applyAlignment="1">
      <alignment horizontal="right" vertical="top"/>
    </xf>
    <xf numFmtId="0" fontId="17" fillId="0" borderId="16" xfId="0" applyFont="1" applyBorder="1" applyAlignment="1">
      <alignment horizontal="center" vertical="top"/>
    </xf>
    <xf numFmtId="0" fontId="17" fillId="0" borderId="16" xfId="0" applyFont="1" applyBorder="1" applyAlignment="1">
      <alignment vertical="top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2" borderId="1" xfId="4" applyNumberFormat="1" applyFont="1" applyFill="1" applyBorder="1" applyAlignment="1">
      <alignment vertical="top"/>
    </xf>
    <xf numFmtId="165" fontId="15" fillId="2" borderId="4" xfId="4" applyNumberFormat="1" applyFont="1" applyFill="1" applyBorder="1" applyAlignment="1">
      <alignment vertical="top"/>
    </xf>
    <xf numFmtId="165" fontId="19" fillId="2" borderId="4" xfId="4" applyNumberFormat="1" applyFont="1" applyFill="1" applyBorder="1" applyAlignment="1">
      <alignment vertical="top"/>
    </xf>
    <xf numFmtId="166" fontId="14" fillId="2" borderId="1" xfId="5" applyNumberFormat="1" applyFont="1" applyFill="1" applyBorder="1" applyAlignment="1">
      <alignment vertical="top"/>
    </xf>
    <xf numFmtId="165" fontId="14" fillId="2" borderId="1" xfId="4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center"/>
    </xf>
    <xf numFmtId="0" fontId="17" fillId="0" borderId="0" xfId="0" applyFont="1"/>
    <xf numFmtId="10" fontId="14" fillId="2" borderId="1" xfId="2" applyNumberFormat="1" applyFont="1" applyFill="1" applyBorder="1" applyAlignment="1">
      <alignment vertical="top"/>
    </xf>
    <xf numFmtId="10" fontId="4" fillId="0" borderId="0" xfId="2" applyNumberFormat="1" applyFont="1"/>
    <xf numFmtId="10" fontId="5" fillId="0" borderId="2" xfId="2" applyNumberFormat="1" applyFont="1" applyBorder="1" applyAlignment="1">
      <alignment horizontal="center" vertical="center" wrapText="1"/>
    </xf>
    <xf numFmtId="10" fontId="5" fillId="0" borderId="3" xfId="2" applyNumberFormat="1" applyFont="1" applyBorder="1" applyAlignment="1">
      <alignment horizontal="center" vertical="center" wrapText="1"/>
    </xf>
    <xf numFmtId="10" fontId="4" fillId="0" borderId="8" xfId="2" applyNumberFormat="1" applyFont="1" applyBorder="1"/>
    <xf numFmtId="10" fontId="7" fillId="0" borderId="26" xfId="2" applyNumberFormat="1" applyFont="1" applyBorder="1"/>
    <xf numFmtId="10" fontId="4" fillId="0" borderId="22" xfId="2" applyNumberFormat="1" applyFont="1" applyBorder="1"/>
    <xf numFmtId="10" fontId="5" fillId="0" borderId="22" xfId="2" applyNumberFormat="1" applyFont="1" applyBorder="1"/>
    <xf numFmtId="10" fontId="6" fillId="0" borderId="26" xfId="2" applyNumberFormat="1" applyFont="1" applyBorder="1"/>
    <xf numFmtId="10" fontId="5" fillId="0" borderId="15" xfId="2" applyNumberFormat="1" applyFont="1" applyBorder="1"/>
    <xf numFmtId="10" fontId="6" fillId="0" borderId="14" xfId="2" applyNumberFormat="1" applyFont="1" applyBorder="1"/>
    <xf numFmtId="10" fontId="4" fillId="0" borderId="0" xfId="2" applyNumberFormat="1" applyFont="1" applyBorder="1"/>
    <xf numFmtId="10" fontId="7" fillId="0" borderId="0" xfId="2" applyNumberFormat="1" applyFont="1" applyBorder="1"/>
    <xf numFmtId="10" fontId="5" fillId="0" borderId="2" xfId="2" applyNumberFormat="1" applyFont="1" applyBorder="1"/>
    <xf numFmtId="10" fontId="6" fillId="0" borderId="3" xfId="2" applyNumberFormat="1" applyFont="1" applyBorder="1"/>
    <xf numFmtId="10" fontId="5" fillId="0" borderId="0" xfId="2" applyNumberFormat="1" applyFont="1" applyBorder="1"/>
    <xf numFmtId="0" fontId="20" fillId="0" borderId="0" xfId="0" applyFont="1"/>
    <xf numFmtId="0" fontId="4" fillId="0" borderId="19" xfId="0" applyFont="1" applyBorder="1"/>
    <xf numFmtId="0" fontId="4" fillId="0" borderId="19" xfId="0" applyFont="1" applyBorder="1" applyAlignment="1">
      <alignment horizontal="left" vertical="top"/>
    </xf>
    <xf numFmtId="6" fontId="4" fillId="0" borderId="19" xfId="0" applyNumberFormat="1" applyFont="1" applyBorder="1"/>
    <xf numFmtId="0" fontId="4" fillId="0" borderId="0" xfId="9" applyFont="1"/>
    <xf numFmtId="0" fontId="4" fillId="0" borderId="0" xfId="9" applyFont="1" applyAlignment="1">
      <alignment horizontal="center" vertical="center"/>
    </xf>
    <xf numFmtId="6" fontId="4" fillId="0" borderId="19" xfId="10" applyNumberFormat="1" applyFont="1" applyBorder="1"/>
    <xf numFmtId="165" fontId="4" fillId="0" borderId="0" xfId="10" applyNumberFormat="1" applyFont="1" applyBorder="1"/>
    <xf numFmtId="165" fontId="5" fillId="0" borderId="0" xfId="11" applyNumberFormat="1" applyFont="1" applyBorder="1"/>
    <xf numFmtId="8" fontId="5" fillId="0" borderId="0" xfId="11" applyNumberFormat="1" applyFont="1" applyBorder="1"/>
    <xf numFmtId="37" fontId="5" fillId="0" borderId="0" xfId="11" applyNumberFormat="1" applyFont="1" applyBorder="1"/>
    <xf numFmtId="6" fontId="5" fillId="0" borderId="0" xfId="11" applyNumberFormat="1" applyFont="1" applyBorder="1"/>
    <xf numFmtId="0" fontId="5" fillId="0" borderId="0" xfId="9" applyFont="1" applyAlignment="1">
      <alignment horizontal="center" vertical="center"/>
    </xf>
    <xf numFmtId="164" fontId="6" fillId="0" borderId="4" xfId="11" applyNumberFormat="1" applyFont="1" applyBorder="1"/>
    <xf numFmtId="165" fontId="5" fillId="0" borderId="4" xfId="11" applyNumberFormat="1" applyFont="1" applyBorder="1"/>
    <xf numFmtId="8" fontId="5" fillId="0" borderId="3" xfId="11" applyNumberFormat="1" applyFont="1" applyBorder="1"/>
    <xf numFmtId="37" fontId="5" fillId="0" borderId="4" xfId="11" applyNumberFormat="1" applyFont="1" applyBorder="1"/>
    <xf numFmtId="6" fontId="5" fillId="0" borderId="2" xfId="11" applyNumberFormat="1" applyFont="1" applyBorder="1"/>
    <xf numFmtId="165" fontId="4" fillId="0" borderId="0" xfId="11" applyNumberFormat="1" applyFont="1" applyBorder="1"/>
    <xf numFmtId="44" fontId="4" fillId="0" borderId="0" xfId="11" applyFont="1" applyBorder="1"/>
    <xf numFmtId="37" fontId="4" fillId="0" borderId="0" xfId="11" applyNumberFormat="1" applyFont="1" applyBorder="1"/>
    <xf numFmtId="0" fontId="5" fillId="0" borderId="0" xfId="9" applyFont="1"/>
    <xf numFmtId="164" fontId="6" fillId="0" borderId="35" xfId="11" applyNumberFormat="1" applyFont="1" applyBorder="1"/>
    <xf numFmtId="44" fontId="5" fillId="0" borderId="10" xfId="11" applyFont="1" applyBorder="1"/>
    <xf numFmtId="8" fontId="5" fillId="0" borderId="14" xfId="11" applyNumberFormat="1" applyFont="1" applyBorder="1"/>
    <xf numFmtId="37" fontId="5" fillId="0" borderId="10" xfId="11" applyNumberFormat="1" applyFont="1" applyBorder="1"/>
    <xf numFmtId="6" fontId="5" fillId="0" borderId="10" xfId="11" applyNumberFormat="1" applyFont="1" applyBorder="1"/>
    <xf numFmtId="0" fontId="5" fillId="0" borderId="10" xfId="9" applyFont="1" applyBorder="1" applyAlignment="1">
      <alignment horizontal="center" vertical="center"/>
    </xf>
    <xf numFmtId="0" fontId="5" fillId="0" borderId="15" xfId="9" applyFont="1" applyBorder="1"/>
    <xf numFmtId="164" fontId="7" fillId="0" borderId="24" xfId="11" applyNumberFormat="1" applyFont="1" applyBorder="1"/>
    <xf numFmtId="6" fontId="4" fillId="0" borderId="24" xfId="11" applyNumberFormat="1" applyFont="1" applyBorder="1"/>
    <xf numFmtId="8" fontId="4" fillId="0" borderId="21" xfId="11" applyNumberFormat="1" applyFont="1" applyBorder="1"/>
    <xf numFmtId="37" fontId="4" fillId="0" borderId="19" xfId="11" applyNumberFormat="1" applyFont="1" applyBorder="1"/>
    <xf numFmtId="6" fontId="4" fillId="0" borderId="19" xfId="11" applyNumberFormat="1" applyFont="1" applyBorder="1"/>
    <xf numFmtId="0" fontId="4" fillId="0" borderId="19" xfId="9" applyFont="1" applyBorder="1" applyAlignment="1">
      <alignment horizontal="center" vertical="center"/>
    </xf>
    <xf numFmtId="0" fontId="4" fillId="0" borderId="22" xfId="9" applyFont="1" applyBorder="1"/>
    <xf numFmtId="164" fontId="6" fillId="0" borderId="24" xfId="11" applyNumberFormat="1" applyFont="1" applyBorder="1"/>
    <xf numFmtId="6" fontId="5" fillId="0" borderId="24" xfId="11" applyNumberFormat="1" applyFont="1" applyBorder="1"/>
    <xf numFmtId="8" fontId="5" fillId="0" borderId="21" xfId="11" applyNumberFormat="1" applyFont="1" applyBorder="1"/>
    <xf numFmtId="37" fontId="5" fillId="0" borderId="19" xfId="11" applyNumberFormat="1" applyFont="1" applyBorder="1"/>
    <xf numFmtId="6" fontId="5" fillId="0" borderId="19" xfId="11" applyNumberFormat="1" applyFont="1" applyBorder="1"/>
    <xf numFmtId="0" fontId="5" fillId="0" borderId="19" xfId="9" applyFont="1" applyBorder="1" applyAlignment="1">
      <alignment horizontal="center" vertical="center"/>
    </xf>
    <xf numFmtId="0" fontId="5" fillId="0" borderId="22" xfId="9" applyFont="1" applyBorder="1"/>
    <xf numFmtId="8" fontId="4" fillId="0" borderId="26" xfId="11" applyNumberFormat="1" applyFont="1" applyBorder="1"/>
    <xf numFmtId="37" fontId="4" fillId="0" borderId="24" xfId="11" applyNumberFormat="1" applyFont="1" applyBorder="1"/>
    <xf numFmtId="0" fontId="4" fillId="0" borderId="24" xfId="9" applyFont="1" applyBorder="1" applyAlignment="1">
      <alignment horizontal="center" vertical="center"/>
    </xf>
    <xf numFmtId="0" fontId="4" fillId="0" borderId="8" xfId="9" applyFont="1" applyBorder="1"/>
    <xf numFmtId="0" fontId="5" fillId="0" borderId="4" xfId="9" applyFont="1" applyBorder="1" applyAlignment="1">
      <alignment horizontal="center" vertical="center" wrapText="1"/>
    </xf>
    <xf numFmtId="0" fontId="5" fillId="0" borderId="3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vertical="top"/>
    </xf>
    <xf numFmtId="165" fontId="4" fillId="0" borderId="18" xfId="1" applyNumberFormat="1" applyFont="1" applyBorder="1" applyAlignment="1">
      <alignment vertical="top"/>
    </xf>
    <xf numFmtId="165" fontId="4" fillId="0" borderId="9" xfId="1" applyNumberFormat="1" applyFont="1" applyBorder="1" applyAlignment="1">
      <alignment vertical="top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36" xfId="0" applyNumberFormat="1" applyFont="1" applyBorder="1" applyAlignment="1">
      <alignment vertical="top"/>
    </xf>
    <xf numFmtId="164" fontId="4" fillId="0" borderId="21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4" fillId="2" borderId="6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164" fontId="7" fillId="2" borderId="30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6" fontId="5" fillId="2" borderId="1" xfId="1" applyNumberFormat="1" applyFont="1" applyFill="1" applyBorder="1" applyAlignment="1">
      <alignment horizontal="center" vertical="center"/>
    </xf>
    <xf numFmtId="0" fontId="5" fillId="3" borderId="32" xfId="0" applyFont="1" applyFill="1" applyBorder="1"/>
    <xf numFmtId="164" fontId="5" fillId="2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6" fontId="5" fillId="0" borderId="20" xfId="1" applyNumberFormat="1" applyFont="1" applyBorder="1" applyAlignment="1">
      <alignment vertical="top"/>
    </xf>
    <xf numFmtId="6" fontId="5" fillId="0" borderId="13" xfId="1" applyNumberFormat="1" applyFont="1" applyBorder="1" applyAlignment="1">
      <alignment vertical="top"/>
    </xf>
    <xf numFmtId="6" fontId="5" fillId="0" borderId="25" xfId="1" applyNumberFormat="1" applyFont="1" applyBorder="1" applyAlignment="1">
      <alignment vertical="top"/>
    </xf>
    <xf numFmtId="165" fontId="4" fillId="0" borderId="0" xfId="0" applyNumberFormat="1" applyFont="1"/>
    <xf numFmtId="6" fontId="22" fillId="0" borderId="20" xfId="1" applyNumberFormat="1" applyFont="1" applyBorder="1" applyAlignment="1">
      <alignment vertical="top"/>
    </xf>
    <xf numFmtId="6" fontId="22" fillId="0" borderId="13" xfId="1" applyNumberFormat="1" applyFont="1" applyBorder="1" applyAlignment="1">
      <alignment vertical="top"/>
    </xf>
    <xf numFmtId="6" fontId="22" fillId="0" borderId="25" xfId="1" applyNumberFormat="1" applyFont="1" applyBorder="1" applyAlignment="1">
      <alignment vertical="top"/>
    </xf>
    <xf numFmtId="10" fontId="4" fillId="0" borderId="35" xfId="2" applyNumberFormat="1" applyFont="1" applyFill="1" applyBorder="1" applyAlignment="1">
      <alignment horizontal="center" vertical="center" wrapText="1"/>
    </xf>
    <xf numFmtId="10" fontId="7" fillId="0" borderId="19" xfId="2" applyNumberFormat="1" applyFont="1" applyBorder="1" applyAlignment="1">
      <alignment horizontal="center" vertical="center"/>
    </xf>
    <xf numFmtId="165" fontId="1" fillId="0" borderId="0" xfId="0" applyNumberFormat="1" applyFont="1"/>
    <xf numFmtId="164" fontId="9" fillId="2" borderId="6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2" borderId="38" xfId="0" applyNumberFormat="1" applyFont="1" applyFill="1" applyBorder="1" applyAlignment="1">
      <alignment horizontal="right" vertical="top"/>
    </xf>
    <xf numFmtId="2" fontId="1" fillId="2" borderId="38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0" borderId="14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vertical="top"/>
    </xf>
    <xf numFmtId="0" fontId="1" fillId="0" borderId="15" xfId="0" applyFont="1" applyBorder="1" applyAlignment="1">
      <alignment vertical="top"/>
    </xf>
    <xf numFmtId="164" fontId="5" fillId="0" borderId="21" xfId="0" applyNumberFormat="1" applyFont="1" applyBorder="1" applyAlignment="1">
      <alignment vertical="top"/>
    </xf>
    <xf numFmtId="164" fontId="5" fillId="0" borderId="19" xfId="0" applyNumberFormat="1" applyFont="1" applyBorder="1" applyAlignment="1">
      <alignment horizontal="right" vertical="top"/>
    </xf>
    <xf numFmtId="2" fontId="5" fillId="0" borderId="19" xfId="0" applyNumberFormat="1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1" fillId="0" borderId="19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vertical="top"/>
    </xf>
    <xf numFmtId="0" fontId="1" fillId="0" borderId="22" xfId="0" applyFont="1" applyBorder="1" applyAlignment="1">
      <alignment vertical="top"/>
    </xf>
    <xf numFmtId="164" fontId="1" fillId="0" borderId="36" xfId="0" applyNumberFormat="1" applyFont="1" applyBorder="1" applyAlignment="1">
      <alignment horizontal="right" vertical="top"/>
    </xf>
    <xf numFmtId="5" fontId="5" fillId="0" borderId="27" xfId="0" applyNumberFormat="1" applyFont="1" applyBorder="1" applyAlignment="1">
      <alignment vertical="top"/>
    </xf>
    <xf numFmtId="2" fontId="5" fillId="0" borderId="27" xfId="0" applyNumberFormat="1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164" fontId="1" fillId="0" borderId="27" xfId="0" applyNumberFormat="1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5" fillId="0" borderId="14" xfId="0" applyNumberFormat="1" applyFont="1" applyBorder="1" applyAlignment="1">
      <alignment horizontal="right" vertical="top"/>
    </xf>
    <xf numFmtId="5" fontId="5" fillId="0" borderId="10" xfId="0" applyNumberFormat="1" applyFont="1" applyBorder="1" applyAlignment="1">
      <alignment vertical="top"/>
    </xf>
    <xf numFmtId="2" fontId="5" fillId="0" borderId="10" xfId="0" applyNumberFormat="1" applyFont="1" applyBorder="1" applyAlignment="1">
      <alignment horizontal="right" vertical="top"/>
    </xf>
    <xf numFmtId="164" fontId="1" fillId="0" borderId="21" xfId="0" applyNumberFormat="1" applyFont="1" applyBorder="1" applyAlignment="1">
      <alignment horizontal="right" vertical="top"/>
    </xf>
    <xf numFmtId="5" fontId="5" fillId="0" borderId="19" xfId="0" applyNumberFormat="1" applyFont="1" applyBorder="1" applyAlignment="1">
      <alignment vertical="top"/>
    </xf>
    <xf numFmtId="5" fontId="1" fillId="0" borderId="19" xfId="0" applyNumberFormat="1" applyFont="1" applyBorder="1" applyAlignment="1">
      <alignment horizontal="right" vertical="top"/>
    </xf>
    <xf numFmtId="2" fontId="1" fillId="0" borderId="19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64" fontId="5" fillId="0" borderId="36" xfId="0" applyNumberFormat="1" applyFont="1" applyBorder="1" applyAlignment="1">
      <alignment vertical="top"/>
    </xf>
    <xf numFmtId="164" fontId="1" fillId="0" borderId="27" xfId="0" applyNumberFormat="1" applyFont="1" applyBorder="1" applyAlignment="1">
      <alignment horizontal="right" vertical="top"/>
    </xf>
    <xf numFmtId="2" fontId="1" fillId="0" borderId="27" xfId="0" applyNumberFormat="1" applyFont="1" applyBorder="1" applyAlignment="1">
      <alignment horizontal="right" vertical="top"/>
    </xf>
    <xf numFmtId="1" fontId="1" fillId="0" borderId="27" xfId="0" applyNumberFormat="1" applyFont="1" applyBorder="1" applyAlignment="1">
      <alignment horizontal="center" vertical="top"/>
    </xf>
    <xf numFmtId="164" fontId="5" fillId="0" borderId="26" xfId="0" applyNumberFormat="1" applyFont="1" applyBorder="1" applyAlignment="1">
      <alignment vertical="top"/>
    </xf>
    <xf numFmtId="164" fontId="1" fillId="0" borderId="24" xfId="0" applyNumberFormat="1" applyFont="1" applyBorder="1" applyAlignment="1">
      <alignment horizontal="right" vertical="top"/>
    </xf>
    <xf numFmtId="2" fontId="1" fillId="0" borderId="24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24" xfId="0" applyFont="1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1" fontId="1" fillId="0" borderId="24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164" fontId="5" fillId="0" borderId="39" xfId="0" applyNumberFormat="1" applyFont="1" applyBorder="1" applyAlignment="1">
      <alignment vertical="top"/>
    </xf>
    <xf numFmtId="164" fontId="1" fillId="0" borderId="40" xfId="0" applyNumberFormat="1" applyFont="1" applyBorder="1" applyAlignment="1">
      <alignment horizontal="right" vertical="top"/>
    </xf>
    <xf numFmtId="2" fontId="1" fillId="0" borderId="40" xfId="0" applyNumberFormat="1" applyFont="1" applyBorder="1" applyAlignment="1">
      <alignment horizontal="right" vertical="top"/>
    </xf>
    <xf numFmtId="0" fontId="1" fillId="0" borderId="40" xfId="0" applyFont="1" applyBorder="1" applyAlignment="1">
      <alignment vertical="top"/>
    </xf>
    <xf numFmtId="0" fontId="1" fillId="0" borderId="40" xfId="0" applyFont="1" applyBorder="1" applyAlignment="1">
      <alignment horizontal="center" vertical="top"/>
    </xf>
    <xf numFmtId="1" fontId="1" fillId="0" borderId="40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vertical="top"/>
    </xf>
    <xf numFmtId="164" fontId="1" fillId="0" borderId="26" xfId="0" applyNumberFormat="1" applyFont="1" applyBorder="1" applyAlignment="1">
      <alignment horizontal="right" vertical="top"/>
    </xf>
    <xf numFmtId="5" fontId="5" fillId="0" borderId="24" xfId="0" applyNumberFormat="1" applyFont="1" applyBorder="1" applyAlignment="1">
      <alignment vertical="top"/>
    </xf>
    <xf numFmtId="2" fontId="5" fillId="0" borderId="24" xfId="0" applyNumberFormat="1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164" fontId="1" fillId="0" borderId="24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horizontal="right" vertical="top"/>
    </xf>
    <xf numFmtId="164" fontId="5" fillId="0" borderId="43" xfId="0" applyNumberFormat="1" applyFont="1" applyBorder="1" applyAlignment="1">
      <alignment horizontal="right" vertical="top"/>
    </xf>
    <xf numFmtId="5" fontId="1" fillId="0" borderId="27" xfId="0" applyNumberFormat="1" applyFont="1" applyBorder="1" applyAlignment="1">
      <alignment horizontal="right" vertical="top"/>
    </xf>
    <xf numFmtId="164" fontId="5" fillId="0" borderId="10" xfId="0" applyNumberFormat="1" applyFont="1" applyBorder="1" applyAlignment="1">
      <alignment horizontal="right" vertical="top"/>
    </xf>
    <xf numFmtId="164" fontId="5" fillId="0" borderId="40" xfId="0" applyNumberFormat="1" applyFont="1" applyBorder="1" applyAlignment="1">
      <alignment horizontal="right" vertical="top"/>
    </xf>
    <xf numFmtId="2" fontId="5" fillId="0" borderId="40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164" fontId="1" fillId="0" borderId="43" xfId="0" applyNumberFormat="1" applyFont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left" vertical="top"/>
    </xf>
    <xf numFmtId="164" fontId="5" fillId="0" borderId="43" xfId="0" applyNumberFormat="1" applyFont="1" applyBorder="1" applyAlignment="1">
      <alignment vertical="top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vertical="top"/>
    </xf>
    <xf numFmtId="0" fontId="1" fillId="0" borderId="0" xfId="0" applyFont="1" applyAlignment="1">
      <alignment horizontal="right"/>
    </xf>
    <xf numFmtId="6" fontId="5" fillId="0" borderId="0" xfId="0" applyNumberFormat="1" applyFont="1"/>
    <xf numFmtId="0" fontId="4" fillId="0" borderId="6" xfId="0" applyFont="1" applyBorder="1"/>
    <xf numFmtId="43" fontId="4" fillId="0" borderId="0" xfId="14" applyFont="1"/>
    <xf numFmtId="167" fontId="4" fillId="0" borderId="0" xfId="14" applyNumberFormat="1" applyFont="1"/>
    <xf numFmtId="6" fontId="9" fillId="0" borderId="13" xfId="1" applyNumberFormat="1" applyFont="1" applyBorder="1" applyAlignment="1">
      <alignment vertical="top"/>
    </xf>
    <xf numFmtId="165" fontId="6" fillId="0" borderId="2" xfId="1" applyNumberFormat="1" applyFont="1" applyBorder="1" applyAlignment="1">
      <alignment vertical="top"/>
    </xf>
    <xf numFmtId="165" fontId="6" fillId="0" borderId="4" xfId="1" applyNumberFormat="1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6" fontId="1" fillId="0" borderId="16" xfId="1" applyNumberFormat="1" applyFont="1" applyBorder="1" applyAlignment="1">
      <alignment vertical="top"/>
    </xf>
    <xf numFmtId="6" fontId="1" fillId="0" borderId="18" xfId="1" applyNumberFormat="1" applyFont="1" applyBorder="1" applyAlignment="1">
      <alignment vertical="top"/>
    </xf>
    <xf numFmtId="6" fontId="1" fillId="0" borderId="9" xfId="1" applyNumberFormat="1" applyFont="1" applyBorder="1" applyAlignment="1">
      <alignment vertical="top"/>
    </xf>
    <xf numFmtId="0" fontId="1" fillId="0" borderId="30" xfId="0" applyFont="1" applyBorder="1" applyAlignment="1">
      <alignment horizontal="center" vertical="center" wrapText="1"/>
    </xf>
    <xf numFmtId="164" fontId="24" fillId="2" borderId="4" xfId="2" applyNumberFormat="1" applyFont="1" applyFill="1" applyBorder="1" applyAlignment="1">
      <alignment horizontal="center" vertical="center"/>
    </xf>
    <xf numFmtId="10" fontId="25" fillId="0" borderId="8" xfId="2" applyNumberFormat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center" vertical="center"/>
    </xf>
    <xf numFmtId="10" fontId="24" fillId="0" borderId="2" xfId="2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0" fontId="25" fillId="0" borderId="19" xfId="2" applyNumberFormat="1" applyFont="1" applyBorder="1" applyAlignment="1">
      <alignment horizontal="center" vertical="center"/>
    </xf>
    <xf numFmtId="10" fontId="26" fillId="0" borderId="35" xfId="2" applyNumberFormat="1" applyFont="1" applyFill="1" applyBorder="1" applyAlignment="1">
      <alignment horizontal="center" vertical="center" wrapText="1"/>
    </xf>
    <xf numFmtId="165" fontId="26" fillId="0" borderId="5" xfId="1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0" fontId="25" fillId="0" borderId="31" xfId="2" applyNumberFormat="1" applyFont="1" applyBorder="1" applyAlignment="1">
      <alignment horizontal="center" vertical="center"/>
    </xf>
    <xf numFmtId="10" fontId="26" fillId="0" borderId="4" xfId="2" applyNumberFormat="1" applyFont="1" applyFill="1" applyBorder="1" applyAlignment="1">
      <alignment horizontal="center" vertical="center" wrapText="1"/>
    </xf>
    <xf numFmtId="165" fontId="25" fillId="0" borderId="5" xfId="1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7" fillId="0" borderId="1" xfId="0" applyNumberFormat="1" applyFont="1" applyBorder="1"/>
    <xf numFmtId="10" fontId="24" fillId="0" borderId="1" xfId="2" applyNumberFormat="1" applyFont="1" applyBorder="1" applyAlignment="1">
      <alignment horizontal="center" vertical="center"/>
    </xf>
    <xf numFmtId="10" fontId="25" fillId="0" borderId="16" xfId="2" applyNumberFormat="1" applyFont="1" applyBorder="1" applyAlignment="1">
      <alignment horizontal="center" vertical="center"/>
    </xf>
    <xf numFmtId="10" fontId="25" fillId="0" borderId="12" xfId="2" applyNumberFormat="1" applyFont="1" applyBorder="1" applyAlignment="1">
      <alignment horizontal="center" vertical="center"/>
    </xf>
    <xf numFmtId="10" fontId="26" fillId="0" borderId="1" xfId="2" applyNumberFormat="1" applyFont="1" applyFill="1" applyBorder="1" applyAlignment="1">
      <alignment horizontal="center" vertical="center" wrapText="1"/>
    </xf>
    <xf numFmtId="6" fontId="8" fillId="0" borderId="11" xfId="1" applyNumberFormat="1" applyFont="1" applyBorder="1" applyAlignment="1">
      <alignment vertical="top"/>
    </xf>
    <xf numFmtId="10" fontId="28" fillId="0" borderId="8" xfId="2" applyNumberFormat="1" applyFont="1" applyBorder="1" applyAlignment="1">
      <alignment horizontal="center" vertical="center"/>
    </xf>
    <xf numFmtId="10" fontId="28" fillId="0" borderId="16" xfId="2" applyNumberFormat="1" applyFont="1" applyBorder="1" applyAlignment="1">
      <alignment horizontal="center" vertical="center"/>
    </xf>
    <xf numFmtId="6" fontId="6" fillId="0" borderId="2" xfId="1" applyNumberFormat="1" applyFont="1" applyBorder="1" applyAlignment="1">
      <alignment vertical="top"/>
    </xf>
    <xf numFmtId="164" fontId="14" fillId="0" borderId="1" xfId="4" applyNumberFormat="1" applyFont="1" applyBorder="1" applyAlignment="1">
      <alignment horizontal="right" vertical="top"/>
    </xf>
    <xf numFmtId="164" fontId="12" fillId="0" borderId="2" xfId="4" applyNumberFormat="1" applyFont="1" applyBorder="1" applyAlignment="1">
      <alignment vertical="top"/>
    </xf>
    <xf numFmtId="166" fontId="14" fillId="0" borderId="1" xfId="5" applyNumberFormat="1" applyFont="1" applyBorder="1" applyAlignment="1">
      <alignment vertical="top"/>
    </xf>
    <xf numFmtId="164" fontId="18" fillId="0" borderId="2" xfId="4" applyNumberFormat="1" applyFont="1" applyBorder="1" applyAlignment="1">
      <alignment vertical="top"/>
    </xf>
    <xf numFmtId="10" fontId="5" fillId="2" borderId="1" xfId="2" applyNumberFormat="1" applyFont="1" applyFill="1" applyBorder="1" applyAlignment="1">
      <alignment horizontal="center" vertical="top"/>
    </xf>
    <xf numFmtId="165" fontId="5" fillId="2" borderId="1" xfId="4" applyNumberFormat="1" applyFont="1" applyFill="1" applyBorder="1" applyAlignment="1">
      <alignment horizontal="center" vertical="top"/>
    </xf>
    <xf numFmtId="10" fontId="5" fillId="0" borderId="16" xfId="3" applyNumberFormat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9" fontId="5" fillId="0" borderId="1" xfId="2" applyFont="1" applyBorder="1" applyAlignment="1">
      <alignment horizontal="center" vertical="top"/>
    </xf>
    <xf numFmtId="10" fontId="6" fillId="0" borderId="16" xfId="3" applyNumberFormat="1" applyFont="1" applyBorder="1" applyAlignment="1">
      <alignment horizontal="center" vertical="top"/>
    </xf>
    <xf numFmtId="10" fontId="6" fillId="0" borderId="1" xfId="3" applyNumberFormat="1" applyFont="1" applyBorder="1" applyAlignment="1">
      <alignment horizontal="center" vertical="top"/>
    </xf>
    <xf numFmtId="164" fontId="14" fillId="0" borderId="9" xfId="4" applyNumberFormat="1" applyFont="1" applyBorder="1" applyAlignment="1">
      <alignment horizontal="right" vertical="top"/>
    </xf>
    <xf numFmtId="10" fontId="5" fillId="0" borderId="12" xfId="3" applyNumberFormat="1" applyFont="1" applyBorder="1" applyAlignment="1">
      <alignment horizontal="center" vertical="top"/>
    </xf>
    <xf numFmtId="164" fontId="15" fillId="0" borderId="35" xfId="4" applyNumberFormat="1" applyFont="1" applyBorder="1" applyAlignment="1">
      <alignment horizontal="right" vertical="top"/>
    </xf>
    <xf numFmtId="164" fontId="16" fillId="0" borderId="35" xfId="4" applyNumberFormat="1" applyFont="1" applyBorder="1" applyAlignment="1">
      <alignment horizontal="right" vertical="top"/>
    </xf>
    <xf numFmtId="10" fontId="6" fillId="0" borderId="12" xfId="3" applyNumberFormat="1" applyFont="1" applyBorder="1" applyAlignment="1">
      <alignment horizontal="center" vertical="top"/>
    </xf>
    <xf numFmtId="0" fontId="1" fillId="0" borderId="0" xfId="0" applyFont="1" applyAlignment="1">
      <alignment horizontal="right" wrapText="1"/>
    </xf>
    <xf numFmtId="0" fontId="30" fillId="0" borderId="0" xfId="15" applyFont="1"/>
    <xf numFmtId="165" fontId="29" fillId="0" borderId="46" xfId="16" applyNumberFormat="1" applyFont="1" applyFill="1" applyBorder="1"/>
    <xf numFmtId="165" fontId="30" fillId="0" borderId="0" xfId="16" applyNumberFormat="1" applyFont="1" applyFill="1" applyBorder="1"/>
    <xf numFmtId="165" fontId="30" fillId="0" borderId="0" xfId="16" applyNumberFormat="1" applyFont="1" applyFill="1"/>
    <xf numFmtId="0" fontId="33" fillId="0" borderId="0" xfId="15" applyFont="1"/>
    <xf numFmtId="165" fontId="33" fillId="0" borderId="0" xfId="16" applyNumberFormat="1" applyFont="1" applyFill="1"/>
    <xf numFmtId="168" fontId="34" fillId="0" borderId="0" xfId="2" applyNumberFormat="1" applyFont="1"/>
    <xf numFmtId="0" fontId="33" fillId="5" borderId="0" xfId="15" applyFont="1" applyFill="1"/>
    <xf numFmtId="165" fontId="30" fillId="0" borderId="0" xfId="15" applyNumberFormat="1" applyFont="1"/>
    <xf numFmtId="0" fontId="5" fillId="0" borderId="7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0" fontId="29" fillId="0" borderId="0" xfId="15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9" fillId="0" borderId="0" xfId="15" applyFont="1"/>
  </cellXfs>
  <cellStyles count="17">
    <cellStyle name="Comma" xfId="14" builtinId="3"/>
    <cellStyle name="Comma 2" xfId="5" xr:uid="{F5AB9DBE-90DF-4119-A581-02E134C9F258}"/>
    <cellStyle name="Currency" xfId="1" builtinId="4"/>
    <cellStyle name="Currency 2" xfId="4" xr:uid="{E432F3BD-B228-4799-A88D-84FAC6B8D478}"/>
    <cellStyle name="Currency 3" xfId="7" xr:uid="{E8FAC9A6-8895-46DD-8273-6BE5EFBC4E46}"/>
    <cellStyle name="Currency 3 2" xfId="11" xr:uid="{5233EBCB-17DD-40DC-837F-43BAD3B3F2BA}"/>
    <cellStyle name="Currency 4" xfId="16" xr:uid="{192154AF-2A4D-489E-8976-7C087AC6B82D}"/>
    <cellStyle name="Line 2 Report Information Fill In" xfId="13" xr:uid="{8EA1EADC-08BF-47E7-9FB4-9B13D1FF2D48}"/>
    <cellStyle name="Normal" xfId="0" builtinId="0"/>
    <cellStyle name="Normal 2" xfId="12" xr:uid="{C5119EE3-1D9D-4982-8E48-CCFDBB7752FC}"/>
    <cellStyle name="Normal 3" xfId="6" xr:uid="{6A9FFBEB-FD32-4603-BCCC-6261F2A370F5}"/>
    <cellStyle name="Normal 3 2" xfId="9" xr:uid="{07D9BDE7-D16B-4A96-9F5B-E8A4742EAE15}"/>
    <cellStyle name="Normal 4" xfId="15" xr:uid="{B0C38F8A-9560-4DF6-9BC3-A48DA3341DB1}"/>
    <cellStyle name="Percent" xfId="2" builtinId="5"/>
    <cellStyle name="Percent 2" xfId="3" xr:uid="{5E588BF0-BFEC-4E74-972F-FF894A9C4F2F}"/>
    <cellStyle name="Percent 3" xfId="8" xr:uid="{86231A73-AE97-4B04-B3FA-75E6F508FF98}"/>
    <cellStyle name="Percent 3 2" xfId="10" xr:uid="{53CAE6E5-A9F5-4046-B0F4-A58C60B6D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DA22-0DF0-4D48-AEFF-437A31F76BBE}">
  <sheetPr>
    <pageSetUpPr fitToPage="1"/>
  </sheetPr>
  <dimension ref="A1:AR77"/>
  <sheetViews>
    <sheetView zoomScaleNormal="100" workbookViewId="0">
      <pane xSplit="3" ySplit="5" topLeftCell="L51" activePane="bottomRight" state="frozen"/>
      <selection pane="topRight" activeCell="D1" sqref="D1"/>
      <selection pane="bottomLeft" activeCell="A7" sqref="A7"/>
      <selection pane="bottomRight" activeCell="AC68" sqref="AC68"/>
    </sheetView>
  </sheetViews>
  <sheetFormatPr defaultColWidth="9.140625" defaultRowHeight="13.5" x14ac:dyDescent="0.25"/>
  <cols>
    <col min="1" max="1" width="11.5703125" style="1" bestFit="1" customWidth="1"/>
    <col min="2" max="2" width="6" style="1" customWidth="1"/>
    <col min="3" max="3" width="11.5703125" style="1" customWidth="1"/>
    <col min="4" max="4" width="14" style="1" hidden="1" customWidth="1"/>
    <col min="5" max="5" width="13.7109375" style="1" hidden="1" customWidth="1"/>
    <col min="6" max="6" width="16.5703125" style="1" hidden="1" customWidth="1"/>
    <col min="7" max="7" width="15.5703125" style="1" customWidth="1"/>
    <col min="8" max="8" width="13.140625" style="1" hidden="1" customWidth="1"/>
    <col min="9" max="9" width="14.28515625" style="1" hidden="1" customWidth="1"/>
    <col min="10" max="10" width="12.42578125" style="1" hidden="1" customWidth="1"/>
    <col min="11" max="11" width="13.42578125" style="1" customWidth="1"/>
    <col min="12" max="12" width="16.140625" style="1" bestFit="1" customWidth="1"/>
    <col min="13" max="14" width="16.140625" style="1" customWidth="1"/>
    <col min="15" max="15" width="13.42578125" style="1" customWidth="1"/>
    <col min="16" max="16" width="16.42578125" style="1" customWidth="1"/>
    <col min="17" max="17" width="8.28515625" style="4" customWidth="1"/>
    <col min="18" max="18" width="16.7109375" style="1" customWidth="1"/>
    <col min="19" max="19" width="10.5703125" style="3" customWidth="1"/>
    <col min="20" max="20" width="16.42578125" style="1" customWidth="1"/>
    <col min="21" max="21" width="10.5703125" style="3" customWidth="1"/>
    <col min="22" max="22" width="18" style="1" hidden="1" customWidth="1"/>
    <col min="23" max="23" width="10.5703125" style="3" hidden="1" customWidth="1"/>
    <col min="24" max="24" width="16.42578125" style="1" customWidth="1"/>
    <col min="25" max="25" width="12.7109375" style="1" customWidth="1"/>
    <col min="26" max="27" width="15.5703125" style="1" customWidth="1"/>
    <col min="28" max="28" width="16.42578125" style="2" customWidth="1"/>
    <col min="29" max="29" width="14" style="2" customWidth="1"/>
    <col min="30" max="30" width="16.5703125" style="1" hidden="1" customWidth="1"/>
    <col min="31" max="31" width="12.7109375" style="1" bestFit="1" customWidth="1"/>
    <col min="32" max="32" width="13.85546875" style="1" bestFit="1" customWidth="1"/>
    <col min="33" max="16384" width="9.140625" style="1"/>
  </cols>
  <sheetData>
    <row r="1" spans="1:44" ht="15.75" customHeight="1" thickBot="1" x14ac:dyDescent="0.3">
      <c r="A1" s="107"/>
      <c r="B1" s="106"/>
      <c r="C1" s="106"/>
      <c r="D1" s="389" t="s">
        <v>90</v>
      </c>
      <c r="E1" s="389"/>
      <c r="F1" s="389"/>
      <c r="G1" s="105"/>
      <c r="H1" s="390" t="s">
        <v>89</v>
      </c>
      <c r="I1" s="391"/>
      <c r="J1" s="391"/>
      <c r="K1" s="392"/>
      <c r="L1" s="103"/>
      <c r="M1" s="223"/>
      <c r="N1" s="223"/>
      <c r="O1" s="104"/>
      <c r="P1" s="103"/>
      <c r="Q1" s="102"/>
      <c r="R1" s="393" t="s">
        <v>88</v>
      </c>
      <c r="S1" s="394"/>
      <c r="T1" s="394"/>
      <c r="U1" s="394"/>
      <c r="V1" s="394"/>
      <c r="W1" s="395"/>
      <c r="X1" s="101">
        <f>X2-P2</f>
        <v>-38391592.99000001</v>
      </c>
      <c r="Y1" s="101"/>
      <c r="Z1" s="101"/>
      <c r="AA1" s="105"/>
      <c r="AB1" s="100"/>
      <c r="AC1" s="100"/>
      <c r="AD1" s="100"/>
    </row>
    <row r="2" spans="1:44" s="10" customFormat="1" ht="14.25" thickBot="1" x14ac:dyDescent="0.3">
      <c r="A2" s="396" t="s">
        <v>87</v>
      </c>
      <c r="B2" s="397"/>
      <c r="C2" s="96"/>
      <c r="D2" s="92">
        <f t="shared" ref="D2:K2" si="0">SUM(D6:D72)</f>
        <v>431000000</v>
      </c>
      <c r="E2" s="92">
        <f t="shared" si="0"/>
        <v>5812672</v>
      </c>
      <c r="F2" s="92">
        <f t="shared" si="0"/>
        <v>10000000</v>
      </c>
      <c r="G2" s="92">
        <f t="shared" si="0"/>
        <v>446812672</v>
      </c>
      <c r="H2" s="92">
        <f t="shared" si="0"/>
        <v>10000000</v>
      </c>
      <c r="I2" s="89">
        <f t="shared" si="0"/>
        <v>800743</v>
      </c>
      <c r="J2" s="89">
        <f t="shared" si="0"/>
        <v>1494425</v>
      </c>
      <c r="K2" s="91">
        <f t="shared" si="0"/>
        <v>8453579</v>
      </c>
      <c r="L2" s="87">
        <f>G2+K2-H2-I2-J2</f>
        <v>442971083</v>
      </c>
      <c r="M2" s="224"/>
      <c r="N2" s="224"/>
      <c r="O2" s="91">
        <f>SUM(O6:O72)</f>
        <v>5420509.9900000002</v>
      </c>
      <c r="P2" s="87">
        <f>L2+O2</f>
        <v>448391592.99000001</v>
      </c>
      <c r="Q2" s="99">
        <f>O2/L2</f>
        <v>1.2236712954917647E-2</v>
      </c>
      <c r="R2" s="89">
        <f>X1*0.6</f>
        <v>-23034955.794000003</v>
      </c>
      <c r="S2" s="37">
        <f>R2/P2</f>
        <v>-5.1372407855367008E-2</v>
      </c>
      <c r="T2" s="89">
        <f>X1*0.4</f>
        <v>-15356637.196000004</v>
      </c>
      <c r="U2" s="37">
        <f>T2/P2</f>
        <v>-3.4248271903578008E-2</v>
      </c>
      <c r="V2" s="89"/>
      <c r="W2" s="37"/>
      <c r="X2" s="87">
        <v>410000000</v>
      </c>
      <c r="Y2" s="211">
        <v>11700000</v>
      </c>
      <c r="Z2" s="216"/>
      <c r="AA2" s="207"/>
      <c r="AB2" s="86"/>
      <c r="AC2" s="86"/>
      <c r="AD2" s="9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10" customFormat="1" ht="15.75" customHeight="1" thickBot="1" x14ac:dyDescent="0.3">
      <c r="A3" s="98"/>
      <c r="B3" s="97"/>
      <c r="C3" s="96"/>
      <c r="D3" s="92"/>
      <c r="E3" s="220"/>
      <c r="F3" s="220"/>
      <c r="G3" s="221"/>
      <c r="H3" s="92"/>
      <c r="I3" s="89"/>
      <c r="J3" s="89"/>
      <c r="K3" s="91"/>
      <c r="L3" s="87"/>
      <c r="M3" s="398" t="s">
        <v>130</v>
      </c>
      <c r="N3" s="399"/>
      <c r="O3" s="400"/>
      <c r="P3" s="222">
        <f>SUM(P32,P34,P36,P37,P39:P72)</f>
        <v>425453540.99000001</v>
      </c>
      <c r="Q3" s="90"/>
      <c r="R3" s="89"/>
      <c r="S3" s="88"/>
      <c r="T3" s="89"/>
      <c r="U3" s="234"/>
      <c r="V3" s="89"/>
      <c r="W3" s="234"/>
      <c r="X3" s="224"/>
      <c r="Y3" s="211"/>
      <c r="Z3" s="216"/>
      <c r="AA3" s="93"/>
      <c r="AB3" s="86"/>
      <c r="AC3" s="86"/>
      <c r="AD3" s="9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10" customFormat="1" ht="15.6" customHeight="1" thickBot="1" x14ac:dyDescent="0.3">
      <c r="A4" s="98"/>
      <c r="B4" s="97"/>
      <c r="C4" s="96"/>
      <c r="D4" s="95"/>
      <c r="E4" s="94"/>
      <c r="F4" s="94"/>
      <c r="G4" s="93"/>
      <c r="H4" s="92"/>
      <c r="I4" s="89"/>
      <c r="J4" s="89"/>
      <c r="K4" s="91"/>
      <c r="L4" s="87"/>
      <c r="M4" s="398" t="s">
        <v>131</v>
      </c>
      <c r="N4" s="399"/>
      <c r="O4" s="400"/>
      <c r="P4" s="87">
        <f>SUM(P6:P31,P33,P35,P38)</f>
        <v>22938052</v>
      </c>
      <c r="Q4" s="90"/>
      <c r="R4" s="89"/>
      <c r="S4" s="88"/>
      <c r="T4" s="89"/>
      <c r="U4" s="234"/>
      <c r="V4" s="89"/>
      <c r="W4" s="234"/>
      <c r="X4" s="224"/>
      <c r="Y4" s="211"/>
      <c r="Z4" s="216"/>
      <c r="AA4" s="93"/>
      <c r="AB4" s="86"/>
      <c r="AC4" s="86"/>
      <c r="AD4" s="9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73" customFormat="1" ht="68.25" thickBot="1" x14ac:dyDescent="0.3">
      <c r="A5" s="84" t="s">
        <v>86</v>
      </c>
      <c r="B5" s="85" t="s">
        <v>85</v>
      </c>
      <c r="C5" s="84" t="s">
        <v>84</v>
      </c>
      <c r="D5" s="82" t="s">
        <v>83</v>
      </c>
      <c r="E5" s="78" t="s">
        <v>82</v>
      </c>
      <c r="F5" s="78" t="s">
        <v>81</v>
      </c>
      <c r="G5" s="83" t="s">
        <v>80</v>
      </c>
      <c r="H5" s="82" t="s">
        <v>79</v>
      </c>
      <c r="I5" s="78" t="s">
        <v>78</v>
      </c>
      <c r="J5" s="78" t="s">
        <v>77</v>
      </c>
      <c r="K5" s="81" t="s">
        <v>76</v>
      </c>
      <c r="L5" s="75" t="s">
        <v>119</v>
      </c>
      <c r="M5" s="225" t="s">
        <v>129</v>
      </c>
      <c r="N5" s="225" t="s">
        <v>132</v>
      </c>
      <c r="O5" s="81" t="s">
        <v>128</v>
      </c>
      <c r="P5" s="75" t="s">
        <v>120</v>
      </c>
      <c r="Q5" s="80" t="s">
        <v>74</v>
      </c>
      <c r="R5" s="79" t="s">
        <v>121</v>
      </c>
      <c r="S5" s="76" t="s">
        <v>71</v>
      </c>
      <c r="T5" s="78" t="s">
        <v>73</v>
      </c>
      <c r="U5" s="233" t="s">
        <v>71</v>
      </c>
      <c r="V5" s="77" t="s">
        <v>72</v>
      </c>
      <c r="W5" s="233" t="s">
        <v>71</v>
      </c>
      <c r="X5" s="75" t="s">
        <v>117</v>
      </c>
      <c r="Y5" s="81" t="s">
        <v>127</v>
      </c>
      <c r="Z5" s="83" t="s">
        <v>118</v>
      </c>
      <c r="AA5" s="83" t="s">
        <v>124</v>
      </c>
      <c r="AB5" s="74" t="s">
        <v>70</v>
      </c>
      <c r="AC5" s="74" t="s">
        <v>69</v>
      </c>
      <c r="AD5" s="218" t="s">
        <v>126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10" customFormat="1" x14ac:dyDescent="0.25">
      <c r="A6" s="72" t="s">
        <v>62</v>
      </c>
      <c r="B6" s="71">
        <v>1</v>
      </c>
      <c r="C6" s="70" t="s">
        <v>1</v>
      </c>
      <c r="D6" s="69">
        <v>413351</v>
      </c>
      <c r="E6" s="68">
        <v>5575</v>
      </c>
      <c r="F6" s="68">
        <v>9591</v>
      </c>
      <c r="G6" s="44">
        <f t="shared" ref="G6:G37" si="1">F6+E6+D6</f>
        <v>428517</v>
      </c>
      <c r="H6" s="67">
        <v>9591</v>
      </c>
      <c r="I6" s="64"/>
      <c r="J6" s="64"/>
      <c r="K6" s="66"/>
      <c r="L6" s="62">
        <f t="shared" ref="L6:L37" si="2">G6+K6-H6-I6-J6</f>
        <v>418926</v>
      </c>
      <c r="M6" s="226"/>
      <c r="N6" s="65"/>
      <c r="O6" s="232">
        <v>4111</v>
      </c>
      <c r="P6" s="62">
        <f t="shared" ref="P6:P37" si="3">L6+O6</f>
        <v>423037</v>
      </c>
      <c r="Q6" s="53">
        <f t="shared" ref="Q6:Q37" si="4">O6/L6</f>
        <v>9.8131889641607344E-3</v>
      </c>
      <c r="R6" s="40">
        <v>0</v>
      </c>
      <c r="S6" s="37">
        <f t="shared" ref="S6:S37" si="5">R6/P6</f>
        <v>0</v>
      </c>
      <c r="T6" s="64">
        <f>'Weighted Cases Calc'!J4</f>
        <v>0</v>
      </c>
      <c r="U6" s="37">
        <f t="shared" ref="U6:U37" si="6">T6/P6</f>
        <v>0</v>
      </c>
      <c r="V6" s="63"/>
      <c r="W6" s="37"/>
      <c r="X6" s="62">
        <f>P6+R6+T6+V6+1</f>
        <v>423038</v>
      </c>
      <c r="Y6" s="212">
        <v>8508</v>
      </c>
      <c r="Z6" s="217">
        <f t="shared" ref="Z6:Z37" si="7">X6+Y6</f>
        <v>431546</v>
      </c>
      <c r="AA6" s="208">
        <v>437882</v>
      </c>
      <c r="AB6" s="35">
        <f t="shared" ref="AB6:AB37" si="8">X6/P6-1</f>
        <v>2.3638594259800527E-6</v>
      </c>
      <c r="AC6" s="35">
        <f t="shared" ref="AC6:AC37" si="9">Z6/AA6-1</f>
        <v>-1.4469651641309755E-2</v>
      </c>
      <c r="AD6" s="67">
        <f>Z6-AA6</f>
        <v>-6336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10" customFormat="1" ht="14.25" thickBot="1" x14ac:dyDescent="0.3">
      <c r="A7" s="61" t="s">
        <v>36</v>
      </c>
      <c r="B7" s="60">
        <v>1</v>
      </c>
      <c r="C7" s="59" t="s">
        <v>1</v>
      </c>
      <c r="D7" s="58">
        <v>288268</v>
      </c>
      <c r="E7" s="57">
        <v>3888</v>
      </c>
      <c r="F7" s="57">
        <v>6688</v>
      </c>
      <c r="G7" s="44">
        <f t="shared" si="1"/>
        <v>298844</v>
      </c>
      <c r="H7" s="56">
        <v>6688</v>
      </c>
      <c r="I7" s="52"/>
      <c r="J7" s="52"/>
      <c r="K7" s="55"/>
      <c r="L7" s="50">
        <f t="shared" si="2"/>
        <v>292156</v>
      </c>
      <c r="M7" s="226"/>
      <c r="N7" s="65"/>
      <c r="O7" s="230">
        <v>0</v>
      </c>
      <c r="P7" s="50">
        <f t="shared" si="3"/>
        <v>292156</v>
      </c>
      <c r="Q7" s="53">
        <f t="shared" si="4"/>
        <v>0</v>
      </c>
      <c r="R7" s="40">
        <v>0</v>
      </c>
      <c r="S7" s="37">
        <f t="shared" si="5"/>
        <v>0</v>
      </c>
      <c r="T7" s="64">
        <f>'Weighted Cases Calc'!J5</f>
        <v>0</v>
      </c>
      <c r="U7" s="37">
        <f t="shared" si="6"/>
        <v>0</v>
      </c>
      <c r="V7" s="51"/>
      <c r="W7" s="37"/>
      <c r="X7" s="50">
        <f>P7+R7+T7+V7+1</f>
        <v>292157</v>
      </c>
      <c r="Y7" s="213">
        <v>6121</v>
      </c>
      <c r="Z7" s="217">
        <f t="shared" si="7"/>
        <v>298278</v>
      </c>
      <c r="AA7" s="209">
        <v>303726</v>
      </c>
      <c r="AB7" s="35">
        <f t="shared" si="8"/>
        <v>3.4228288996462908E-6</v>
      </c>
      <c r="AC7" s="35">
        <f t="shared" si="9"/>
        <v>-1.7937219730941756E-2</v>
      </c>
      <c r="AD7" s="56">
        <f t="shared" ref="AD7:AD37" si="10">Z7-AA7</f>
        <v>-5448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0" customFormat="1" ht="14.25" thickBot="1" x14ac:dyDescent="0.3">
      <c r="A8" s="61" t="s">
        <v>31</v>
      </c>
      <c r="B8" s="60">
        <v>1</v>
      </c>
      <c r="C8" s="59" t="s">
        <v>1</v>
      </c>
      <c r="D8" s="58">
        <v>278151</v>
      </c>
      <c r="E8" s="57">
        <v>3752</v>
      </c>
      <c r="F8" s="57">
        <v>6454</v>
      </c>
      <c r="G8" s="44">
        <f t="shared" si="1"/>
        <v>288357</v>
      </c>
      <c r="H8" s="56">
        <v>6454</v>
      </c>
      <c r="I8" s="52"/>
      <c r="J8" s="52"/>
      <c r="K8" s="55"/>
      <c r="L8" s="50">
        <f t="shared" si="2"/>
        <v>281903</v>
      </c>
      <c r="M8" s="226">
        <v>9456</v>
      </c>
      <c r="N8" s="228">
        <f>-3002+308</f>
        <v>-2694</v>
      </c>
      <c r="O8" s="230">
        <f>M8+N8</f>
        <v>6762</v>
      </c>
      <c r="P8" s="50">
        <f t="shared" si="3"/>
        <v>288665</v>
      </c>
      <c r="Q8" s="53">
        <f t="shared" si="4"/>
        <v>2.3986974242913343E-2</v>
      </c>
      <c r="R8" s="40">
        <v>0</v>
      </c>
      <c r="S8" s="37">
        <f t="shared" si="5"/>
        <v>0</v>
      </c>
      <c r="T8" s="64">
        <f>'Weighted Cases Calc'!J6</f>
        <v>0</v>
      </c>
      <c r="U8" s="37">
        <f t="shared" si="6"/>
        <v>0</v>
      </c>
      <c r="V8" s="51"/>
      <c r="W8" s="37"/>
      <c r="X8" s="50">
        <f t="shared" ref="X8:X37" si="11">P8+R8+T8+V8</f>
        <v>288665</v>
      </c>
      <c r="Y8" s="213">
        <v>9964</v>
      </c>
      <c r="Z8" s="217">
        <f t="shared" si="7"/>
        <v>298629</v>
      </c>
      <c r="AA8" s="209">
        <v>298629</v>
      </c>
      <c r="AB8" s="35">
        <f t="shared" si="8"/>
        <v>0</v>
      </c>
      <c r="AC8" s="35">
        <f t="shared" si="9"/>
        <v>0</v>
      </c>
      <c r="AD8" s="56">
        <f t="shared" si="10"/>
        <v>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0" customFormat="1" ht="14.25" thickBot="1" x14ac:dyDescent="0.3">
      <c r="A9" s="61" t="s">
        <v>6</v>
      </c>
      <c r="B9" s="60">
        <v>1</v>
      </c>
      <c r="C9" s="59" t="s">
        <v>1</v>
      </c>
      <c r="D9" s="58">
        <v>450792</v>
      </c>
      <c r="E9" s="57">
        <v>6080</v>
      </c>
      <c r="F9" s="57">
        <v>10458</v>
      </c>
      <c r="G9" s="44">
        <f t="shared" si="1"/>
        <v>467330</v>
      </c>
      <c r="H9" s="56">
        <v>10458</v>
      </c>
      <c r="I9" s="52">
        <v>7000</v>
      </c>
      <c r="J9" s="52"/>
      <c r="K9" s="55"/>
      <c r="L9" s="50">
        <f t="shared" si="2"/>
        <v>449872</v>
      </c>
      <c r="M9" s="226"/>
      <c r="N9" s="65"/>
      <c r="O9" s="230">
        <v>8000</v>
      </c>
      <c r="P9" s="50">
        <f t="shared" si="3"/>
        <v>457872</v>
      </c>
      <c r="Q9" s="53">
        <f t="shared" si="4"/>
        <v>1.7782836006686346E-2</v>
      </c>
      <c r="R9" s="40">
        <v>0</v>
      </c>
      <c r="S9" s="37">
        <f t="shared" si="5"/>
        <v>0</v>
      </c>
      <c r="T9" s="64">
        <f>'Weighted Cases Calc'!J7</f>
        <v>0</v>
      </c>
      <c r="U9" s="37">
        <f t="shared" si="6"/>
        <v>0</v>
      </c>
      <c r="V9" s="51"/>
      <c r="W9" s="37"/>
      <c r="X9" s="50">
        <f t="shared" si="11"/>
        <v>457872</v>
      </c>
      <c r="Y9" s="213">
        <v>8252</v>
      </c>
      <c r="Z9" s="217">
        <f t="shared" si="7"/>
        <v>466124</v>
      </c>
      <c r="AA9" s="209">
        <v>477306</v>
      </c>
      <c r="AB9" s="35">
        <f t="shared" si="8"/>
        <v>0</v>
      </c>
      <c r="AC9" s="35">
        <f t="shared" si="9"/>
        <v>-2.3427319162130811E-2</v>
      </c>
      <c r="AD9" s="56">
        <f t="shared" si="10"/>
        <v>-11182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10" customFormat="1" ht="14.25" thickBot="1" x14ac:dyDescent="0.3">
      <c r="A10" s="61" t="s">
        <v>67</v>
      </c>
      <c r="B10" s="60">
        <v>2</v>
      </c>
      <c r="C10" s="59" t="s">
        <v>1</v>
      </c>
      <c r="D10" s="58">
        <v>639565</v>
      </c>
      <c r="E10" s="57">
        <v>8625</v>
      </c>
      <c r="F10" s="57">
        <v>14839</v>
      </c>
      <c r="G10" s="44">
        <f t="shared" si="1"/>
        <v>663029</v>
      </c>
      <c r="H10" s="56">
        <v>14839</v>
      </c>
      <c r="I10" s="52"/>
      <c r="J10" s="52"/>
      <c r="K10" s="55"/>
      <c r="L10" s="50">
        <f t="shared" si="2"/>
        <v>648190</v>
      </c>
      <c r="M10" s="226">
        <v>40041</v>
      </c>
      <c r="N10" s="228">
        <f>-25202-8164</f>
        <v>-33366</v>
      </c>
      <c r="O10" s="230">
        <f>M10+N10</f>
        <v>6675</v>
      </c>
      <c r="P10" s="50">
        <f t="shared" si="3"/>
        <v>654865</v>
      </c>
      <c r="Q10" s="53">
        <f t="shared" si="4"/>
        <v>1.0297906478038847E-2</v>
      </c>
      <c r="R10" s="40">
        <v>0</v>
      </c>
      <c r="S10" s="37">
        <f t="shared" si="5"/>
        <v>0</v>
      </c>
      <c r="T10" s="64">
        <f>'Weighted Cases Calc'!J8</f>
        <v>0</v>
      </c>
      <c r="U10" s="37">
        <f t="shared" si="6"/>
        <v>0</v>
      </c>
      <c r="V10" s="51"/>
      <c r="W10" s="37"/>
      <c r="X10" s="50">
        <f t="shared" si="11"/>
        <v>654865</v>
      </c>
      <c r="Y10" s="213">
        <v>35091</v>
      </c>
      <c r="Z10" s="217">
        <f t="shared" si="7"/>
        <v>689956</v>
      </c>
      <c r="AA10" s="209">
        <v>689956</v>
      </c>
      <c r="AB10" s="35">
        <f t="shared" si="8"/>
        <v>0</v>
      </c>
      <c r="AC10" s="35">
        <f t="shared" si="9"/>
        <v>0</v>
      </c>
      <c r="AD10" s="56">
        <f t="shared" si="10"/>
        <v>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10" customFormat="1" ht="14.25" thickBot="1" x14ac:dyDescent="0.3">
      <c r="A11" s="61" t="s">
        <v>55</v>
      </c>
      <c r="B11" s="60">
        <v>2</v>
      </c>
      <c r="C11" s="59" t="s">
        <v>1</v>
      </c>
      <c r="D11" s="58">
        <v>448777</v>
      </c>
      <c r="E11" s="57">
        <v>6052</v>
      </c>
      <c r="F11" s="57">
        <v>10412</v>
      </c>
      <c r="G11" s="44">
        <f t="shared" si="1"/>
        <v>465241</v>
      </c>
      <c r="H11" s="56">
        <v>10412</v>
      </c>
      <c r="I11" s="52"/>
      <c r="J11" s="52"/>
      <c r="K11" s="55"/>
      <c r="L11" s="50">
        <f t="shared" si="2"/>
        <v>454829</v>
      </c>
      <c r="M11" s="226"/>
      <c r="N11" s="65"/>
      <c r="O11" s="230">
        <v>5842</v>
      </c>
      <c r="P11" s="50">
        <f t="shared" si="3"/>
        <v>460671</v>
      </c>
      <c r="Q11" s="53">
        <f t="shared" si="4"/>
        <v>1.2844387670970849E-2</v>
      </c>
      <c r="R11" s="40">
        <v>0</v>
      </c>
      <c r="S11" s="37">
        <f t="shared" si="5"/>
        <v>0</v>
      </c>
      <c r="T11" s="64">
        <f>'Weighted Cases Calc'!J9</f>
        <v>0</v>
      </c>
      <c r="U11" s="37">
        <f t="shared" si="6"/>
        <v>0</v>
      </c>
      <c r="V11" s="51"/>
      <c r="W11" s="37"/>
      <c r="X11" s="50">
        <f t="shared" si="11"/>
        <v>460671</v>
      </c>
      <c r="Y11" s="213">
        <v>11336</v>
      </c>
      <c r="Z11" s="217">
        <f t="shared" si="7"/>
        <v>472007</v>
      </c>
      <c r="AA11" s="209">
        <v>477320</v>
      </c>
      <c r="AB11" s="35">
        <f t="shared" si="8"/>
        <v>0</v>
      </c>
      <c r="AC11" s="35">
        <f t="shared" si="9"/>
        <v>-1.1130897511103632E-2</v>
      </c>
      <c r="AD11" s="56">
        <f t="shared" si="10"/>
        <v>-5313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10" customFormat="1" ht="14.25" thickBot="1" x14ac:dyDescent="0.3">
      <c r="A12" s="61" t="s">
        <v>51</v>
      </c>
      <c r="B12" s="60">
        <v>2</v>
      </c>
      <c r="C12" s="59" t="s">
        <v>1</v>
      </c>
      <c r="D12" s="58">
        <v>598308</v>
      </c>
      <c r="E12" s="57">
        <v>8069</v>
      </c>
      <c r="F12" s="57">
        <v>13882</v>
      </c>
      <c r="G12" s="44">
        <f t="shared" si="1"/>
        <v>620259</v>
      </c>
      <c r="H12" s="56">
        <v>13882</v>
      </c>
      <c r="I12" s="52"/>
      <c r="J12" s="52"/>
      <c r="K12" s="55"/>
      <c r="L12" s="50">
        <f t="shared" si="2"/>
        <v>606377</v>
      </c>
      <c r="M12" s="226">
        <v>31301</v>
      </c>
      <c r="N12" s="228">
        <f>-17419+1677</f>
        <v>-15742</v>
      </c>
      <c r="O12" s="230">
        <f>M12+N12</f>
        <v>15559</v>
      </c>
      <c r="P12" s="50">
        <f t="shared" si="3"/>
        <v>621936</v>
      </c>
      <c r="Q12" s="53">
        <f t="shared" si="4"/>
        <v>2.5658954742676585E-2</v>
      </c>
      <c r="R12" s="40">
        <v>0</v>
      </c>
      <c r="S12" s="37">
        <f t="shared" si="5"/>
        <v>0</v>
      </c>
      <c r="T12" s="64">
        <f>'Weighted Cases Calc'!J10</f>
        <v>0</v>
      </c>
      <c r="U12" s="37">
        <f t="shared" si="6"/>
        <v>0</v>
      </c>
      <c r="V12" s="51"/>
      <c r="W12" s="37"/>
      <c r="X12" s="50">
        <f t="shared" si="11"/>
        <v>621936</v>
      </c>
      <c r="Y12" s="213">
        <v>14000</v>
      </c>
      <c r="Z12" s="217">
        <f t="shared" si="7"/>
        <v>635936</v>
      </c>
      <c r="AA12" s="209">
        <v>635936</v>
      </c>
      <c r="AB12" s="35">
        <f t="shared" si="8"/>
        <v>0</v>
      </c>
      <c r="AC12" s="35">
        <f t="shared" si="9"/>
        <v>0</v>
      </c>
      <c r="AD12" s="56">
        <f t="shared" si="10"/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10" customFormat="1" ht="14.25" thickBot="1" x14ac:dyDescent="0.3">
      <c r="A13" s="61" t="s">
        <v>49</v>
      </c>
      <c r="B13" s="60">
        <v>2</v>
      </c>
      <c r="C13" s="59" t="s">
        <v>1</v>
      </c>
      <c r="D13" s="58">
        <v>494557</v>
      </c>
      <c r="E13" s="57">
        <v>6670</v>
      </c>
      <c r="F13" s="57">
        <v>11475</v>
      </c>
      <c r="G13" s="44">
        <f t="shared" si="1"/>
        <v>512702</v>
      </c>
      <c r="H13" s="56">
        <v>11475</v>
      </c>
      <c r="I13" s="52"/>
      <c r="J13" s="52"/>
      <c r="K13" s="55"/>
      <c r="L13" s="50">
        <f t="shared" si="2"/>
        <v>501227</v>
      </c>
      <c r="M13" s="226"/>
      <c r="N13" s="228"/>
      <c r="O13" s="230">
        <v>12152</v>
      </c>
      <c r="P13" s="50">
        <f t="shared" si="3"/>
        <v>513379</v>
      </c>
      <c r="Q13" s="53">
        <f t="shared" si="4"/>
        <v>2.4244503987215373E-2</v>
      </c>
      <c r="R13" s="40">
        <v>0</v>
      </c>
      <c r="S13" s="37">
        <f t="shared" si="5"/>
        <v>0</v>
      </c>
      <c r="T13" s="64">
        <f>'Weighted Cases Calc'!J11</f>
        <v>0</v>
      </c>
      <c r="U13" s="37">
        <f t="shared" si="6"/>
        <v>0</v>
      </c>
      <c r="V13" s="51"/>
      <c r="W13" s="37"/>
      <c r="X13" s="50">
        <f t="shared" si="11"/>
        <v>513379</v>
      </c>
      <c r="Y13" s="213">
        <v>7958</v>
      </c>
      <c r="Z13" s="217">
        <f t="shared" si="7"/>
        <v>521337</v>
      </c>
      <c r="AA13" s="209">
        <v>521583</v>
      </c>
      <c r="AB13" s="35">
        <f t="shared" si="8"/>
        <v>0</v>
      </c>
      <c r="AC13" s="35">
        <f t="shared" si="9"/>
        <v>-4.7164113861075663E-4</v>
      </c>
      <c r="AD13" s="56">
        <f t="shared" si="10"/>
        <v>-246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10" customFormat="1" ht="14.25" thickBot="1" x14ac:dyDescent="0.3">
      <c r="A14" s="61" t="s">
        <v>48</v>
      </c>
      <c r="B14" s="60">
        <v>2</v>
      </c>
      <c r="C14" s="59" t="s">
        <v>1</v>
      </c>
      <c r="D14" s="58">
        <v>486643</v>
      </c>
      <c r="E14" s="57">
        <v>6563</v>
      </c>
      <c r="F14" s="57">
        <v>11291</v>
      </c>
      <c r="G14" s="44">
        <f t="shared" si="1"/>
        <v>504497</v>
      </c>
      <c r="H14" s="56">
        <v>11291</v>
      </c>
      <c r="I14" s="52"/>
      <c r="J14" s="52"/>
      <c r="K14" s="55"/>
      <c r="L14" s="50">
        <f t="shared" si="2"/>
        <v>493206</v>
      </c>
      <c r="M14" s="226"/>
      <c r="N14" s="65"/>
      <c r="O14" s="230">
        <v>5246</v>
      </c>
      <c r="P14" s="50">
        <f t="shared" si="3"/>
        <v>498452</v>
      </c>
      <c r="Q14" s="53">
        <f t="shared" si="4"/>
        <v>1.0636529158201643E-2</v>
      </c>
      <c r="R14" s="40">
        <v>0</v>
      </c>
      <c r="S14" s="37">
        <f t="shared" si="5"/>
        <v>0</v>
      </c>
      <c r="T14" s="64">
        <f>'Weighted Cases Calc'!J12</f>
        <v>0</v>
      </c>
      <c r="U14" s="37">
        <f t="shared" si="6"/>
        <v>0</v>
      </c>
      <c r="V14" s="51"/>
      <c r="W14" s="37"/>
      <c r="X14" s="50">
        <f t="shared" si="11"/>
        <v>498452</v>
      </c>
      <c r="Y14" s="213">
        <v>20146</v>
      </c>
      <c r="Z14" s="217">
        <f t="shared" si="7"/>
        <v>518598</v>
      </c>
      <c r="AA14" s="209">
        <v>524521</v>
      </c>
      <c r="AB14" s="35">
        <f t="shared" si="8"/>
        <v>0</v>
      </c>
      <c r="AC14" s="35">
        <f t="shared" si="9"/>
        <v>-1.1292207556990119E-2</v>
      </c>
      <c r="AD14" s="56">
        <f t="shared" si="10"/>
        <v>-5923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10" customFormat="1" ht="14.25" thickBot="1" x14ac:dyDescent="0.3">
      <c r="A15" s="61" t="s">
        <v>47</v>
      </c>
      <c r="B15" s="60">
        <v>2</v>
      </c>
      <c r="C15" s="59" t="s">
        <v>1</v>
      </c>
      <c r="D15" s="58">
        <v>453945</v>
      </c>
      <c r="E15" s="57">
        <v>6122</v>
      </c>
      <c r="F15" s="57">
        <v>10532</v>
      </c>
      <c r="G15" s="44">
        <f t="shared" si="1"/>
        <v>470599</v>
      </c>
      <c r="H15" s="56">
        <v>10532</v>
      </c>
      <c r="I15" s="52"/>
      <c r="J15" s="52"/>
      <c r="K15" s="55"/>
      <c r="L15" s="50">
        <f t="shared" si="2"/>
        <v>460067</v>
      </c>
      <c r="M15" s="226"/>
      <c r="N15" s="226"/>
      <c r="O15" s="230">
        <v>0</v>
      </c>
      <c r="P15" s="50">
        <f t="shared" si="3"/>
        <v>460067</v>
      </c>
      <c r="Q15" s="53">
        <f t="shared" si="4"/>
        <v>0</v>
      </c>
      <c r="R15" s="40">
        <v>0</v>
      </c>
      <c r="S15" s="37">
        <f t="shared" si="5"/>
        <v>0</v>
      </c>
      <c r="T15" s="64">
        <f>'Weighted Cases Calc'!J13</f>
        <v>0</v>
      </c>
      <c r="U15" s="37">
        <f t="shared" si="6"/>
        <v>0</v>
      </c>
      <c r="V15" s="51"/>
      <c r="W15" s="37"/>
      <c r="X15" s="50">
        <f t="shared" si="11"/>
        <v>460067</v>
      </c>
      <c r="Y15" s="213">
        <v>20602</v>
      </c>
      <c r="Z15" s="217">
        <f t="shared" si="7"/>
        <v>480669</v>
      </c>
      <c r="AA15" s="209">
        <v>490848</v>
      </c>
      <c r="AB15" s="35">
        <f t="shared" si="8"/>
        <v>0</v>
      </c>
      <c r="AC15" s="35">
        <f t="shared" si="9"/>
        <v>-2.0737580676706391E-2</v>
      </c>
      <c r="AD15" s="56">
        <f t="shared" si="10"/>
        <v>-10179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0" customFormat="1" ht="14.25" thickBot="1" x14ac:dyDescent="0.3">
      <c r="A16" s="61" t="s">
        <v>46</v>
      </c>
      <c r="B16" s="60">
        <v>2</v>
      </c>
      <c r="C16" s="59" t="s">
        <v>1</v>
      </c>
      <c r="D16" s="58">
        <v>481262</v>
      </c>
      <c r="E16" s="57">
        <v>6491</v>
      </c>
      <c r="F16" s="57">
        <v>11166</v>
      </c>
      <c r="G16" s="44">
        <f t="shared" si="1"/>
        <v>498919</v>
      </c>
      <c r="H16" s="56">
        <v>11166</v>
      </c>
      <c r="I16" s="52"/>
      <c r="J16" s="52"/>
      <c r="K16" s="55"/>
      <c r="L16" s="50">
        <f t="shared" si="2"/>
        <v>487753</v>
      </c>
      <c r="M16" s="226"/>
      <c r="N16" s="54"/>
      <c r="O16" s="230">
        <v>8961</v>
      </c>
      <c r="P16" s="50">
        <f t="shared" si="3"/>
        <v>496714</v>
      </c>
      <c r="Q16" s="53">
        <f t="shared" si="4"/>
        <v>1.837200386261079E-2</v>
      </c>
      <c r="R16" s="40">
        <v>0</v>
      </c>
      <c r="S16" s="37">
        <f t="shared" si="5"/>
        <v>0</v>
      </c>
      <c r="T16" s="64">
        <f>'Weighted Cases Calc'!J14</f>
        <v>0</v>
      </c>
      <c r="U16" s="37">
        <f t="shared" si="6"/>
        <v>0</v>
      </c>
      <c r="V16" s="51"/>
      <c r="W16" s="37"/>
      <c r="X16" s="50">
        <f t="shared" si="11"/>
        <v>496714</v>
      </c>
      <c r="Y16" s="213">
        <v>12928</v>
      </c>
      <c r="Z16" s="217">
        <f t="shared" si="7"/>
        <v>509642</v>
      </c>
      <c r="AA16" s="209">
        <v>513608</v>
      </c>
      <c r="AB16" s="35">
        <f t="shared" si="8"/>
        <v>0</v>
      </c>
      <c r="AC16" s="35">
        <f t="shared" si="9"/>
        <v>-7.7218423389043833E-3</v>
      </c>
      <c r="AD16" s="56">
        <f t="shared" si="10"/>
        <v>-3966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10" customFormat="1" ht="14.25" thickBot="1" x14ac:dyDescent="0.3">
      <c r="A17" s="61" t="s">
        <v>40</v>
      </c>
      <c r="B17" s="60">
        <v>2</v>
      </c>
      <c r="C17" s="59" t="s">
        <v>1</v>
      </c>
      <c r="D17" s="58">
        <v>539223</v>
      </c>
      <c r="E17" s="57">
        <v>7272</v>
      </c>
      <c r="F17" s="57">
        <v>12511</v>
      </c>
      <c r="G17" s="44">
        <f t="shared" si="1"/>
        <v>559006</v>
      </c>
      <c r="H17" s="56">
        <v>12511</v>
      </c>
      <c r="I17" s="52"/>
      <c r="J17" s="52"/>
      <c r="K17" s="55"/>
      <c r="L17" s="50">
        <f t="shared" si="2"/>
        <v>546495</v>
      </c>
      <c r="M17" s="226"/>
      <c r="N17" s="54"/>
      <c r="O17" s="230">
        <v>6307</v>
      </c>
      <c r="P17" s="50">
        <f t="shared" si="3"/>
        <v>552802</v>
      </c>
      <c r="Q17" s="53">
        <f t="shared" si="4"/>
        <v>1.1540819220669905E-2</v>
      </c>
      <c r="R17" s="40">
        <v>0</v>
      </c>
      <c r="S17" s="37">
        <f t="shared" si="5"/>
        <v>0</v>
      </c>
      <c r="T17" s="64">
        <f>'Weighted Cases Calc'!J15</f>
        <v>0</v>
      </c>
      <c r="U17" s="37">
        <f t="shared" si="6"/>
        <v>0</v>
      </c>
      <c r="V17" s="51"/>
      <c r="W17" s="37"/>
      <c r="X17" s="50">
        <f t="shared" si="11"/>
        <v>552802</v>
      </c>
      <c r="Y17" s="213">
        <v>17037</v>
      </c>
      <c r="Z17" s="217">
        <f t="shared" si="7"/>
        <v>569839</v>
      </c>
      <c r="AA17" s="209">
        <v>575772</v>
      </c>
      <c r="AB17" s="35">
        <f t="shared" si="8"/>
        <v>0</v>
      </c>
      <c r="AC17" s="35">
        <f t="shared" si="9"/>
        <v>-1.0304426057536675E-2</v>
      </c>
      <c r="AD17" s="56">
        <f t="shared" si="10"/>
        <v>-5933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10" customFormat="1" ht="14.25" thickBot="1" x14ac:dyDescent="0.3">
      <c r="A18" s="61" t="s">
        <v>37</v>
      </c>
      <c r="B18" s="60">
        <v>2</v>
      </c>
      <c r="C18" s="59" t="s">
        <v>1</v>
      </c>
      <c r="D18" s="58">
        <v>455219</v>
      </c>
      <c r="E18" s="57">
        <v>6139</v>
      </c>
      <c r="F18" s="57">
        <v>10562</v>
      </c>
      <c r="G18" s="44">
        <f t="shared" si="1"/>
        <v>471920</v>
      </c>
      <c r="H18" s="56">
        <v>10562</v>
      </c>
      <c r="I18" s="52"/>
      <c r="J18" s="52"/>
      <c r="K18" s="55"/>
      <c r="L18" s="50">
        <f t="shared" si="2"/>
        <v>461358</v>
      </c>
      <c r="M18" s="226"/>
      <c r="N18" s="54"/>
      <c r="O18" s="230">
        <v>5058</v>
      </c>
      <c r="P18" s="50">
        <f t="shared" si="3"/>
        <v>466416</v>
      </c>
      <c r="Q18" s="53">
        <f t="shared" si="4"/>
        <v>1.0963286645078226E-2</v>
      </c>
      <c r="R18" s="40">
        <v>0</v>
      </c>
      <c r="S18" s="37">
        <f t="shared" si="5"/>
        <v>0</v>
      </c>
      <c r="T18" s="64">
        <f>'Weighted Cases Calc'!J16</f>
        <v>0</v>
      </c>
      <c r="U18" s="37">
        <f t="shared" si="6"/>
        <v>0</v>
      </c>
      <c r="V18" s="51"/>
      <c r="W18" s="37"/>
      <c r="X18" s="50">
        <f t="shared" si="11"/>
        <v>466416</v>
      </c>
      <c r="Y18" s="213">
        <v>39724</v>
      </c>
      <c r="Z18" s="217">
        <f t="shared" si="7"/>
        <v>506140</v>
      </c>
      <c r="AA18" s="209">
        <v>506194</v>
      </c>
      <c r="AB18" s="35">
        <f t="shared" si="8"/>
        <v>0</v>
      </c>
      <c r="AC18" s="35">
        <f t="shared" si="9"/>
        <v>-1.0667846714895735E-4</v>
      </c>
      <c r="AD18" s="56">
        <f t="shared" si="10"/>
        <v>-54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0" customFormat="1" ht="14.25" thickBot="1" x14ac:dyDescent="0.3">
      <c r="A19" s="61" t="s">
        <v>7</v>
      </c>
      <c r="B19" s="60">
        <v>2</v>
      </c>
      <c r="C19" s="59" t="s">
        <v>1</v>
      </c>
      <c r="D19" s="58">
        <v>507686</v>
      </c>
      <c r="E19" s="57">
        <v>6847</v>
      </c>
      <c r="F19" s="57">
        <v>11779</v>
      </c>
      <c r="G19" s="44">
        <f t="shared" si="1"/>
        <v>526312</v>
      </c>
      <c r="H19" s="56">
        <v>11779</v>
      </c>
      <c r="I19" s="52"/>
      <c r="J19" s="52"/>
      <c r="K19" s="55"/>
      <c r="L19" s="50">
        <f t="shared" si="2"/>
        <v>514533</v>
      </c>
      <c r="M19" s="226"/>
      <c r="N19" s="226"/>
      <c r="O19" s="230">
        <v>11218</v>
      </c>
      <c r="P19" s="50">
        <f t="shared" si="3"/>
        <v>525751</v>
      </c>
      <c r="Q19" s="53">
        <f t="shared" si="4"/>
        <v>2.180229450783526E-2</v>
      </c>
      <c r="R19" s="40">
        <v>0</v>
      </c>
      <c r="S19" s="37">
        <f t="shared" si="5"/>
        <v>0</v>
      </c>
      <c r="T19" s="64">
        <f>'Weighted Cases Calc'!J17</f>
        <v>0</v>
      </c>
      <c r="U19" s="37">
        <f t="shared" si="6"/>
        <v>0</v>
      </c>
      <c r="V19" s="51"/>
      <c r="W19" s="37"/>
      <c r="X19" s="50">
        <f t="shared" si="11"/>
        <v>525751</v>
      </c>
      <c r="Y19" s="213">
        <v>11979</v>
      </c>
      <c r="Z19" s="217">
        <f t="shared" si="7"/>
        <v>537730</v>
      </c>
      <c r="AA19" s="209">
        <v>538060</v>
      </c>
      <c r="AB19" s="35">
        <f t="shared" si="8"/>
        <v>0</v>
      </c>
      <c r="AC19" s="35">
        <f t="shared" si="9"/>
        <v>-6.1331450024160183E-4</v>
      </c>
      <c r="AD19" s="56">
        <f t="shared" si="10"/>
        <v>-330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10" customFormat="1" ht="14.25" thickBot="1" x14ac:dyDescent="0.3">
      <c r="A20" s="61" t="s">
        <v>2</v>
      </c>
      <c r="B20" s="60">
        <v>2</v>
      </c>
      <c r="C20" s="59" t="s">
        <v>1</v>
      </c>
      <c r="D20" s="58">
        <v>727942</v>
      </c>
      <c r="E20" s="57">
        <v>9817</v>
      </c>
      <c r="F20" s="57">
        <v>16890</v>
      </c>
      <c r="G20" s="44">
        <f t="shared" si="1"/>
        <v>754649</v>
      </c>
      <c r="H20" s="56">
        <v>16890</v>
      </c>
      <c r="I20" s="52"/>
      <c r="J20" s="52"/>
      <c r="K20" s="55"/>
      <c r="L20" s="50">
        <f t="shared" si="2"/>
        <v>737759</v>
      </c>
      <c r="M20" s="226"/>
      <c r="N20" s="226"/>
      <c r="O20" s="230">
        <v>3250</v>
      </c>
      <c r="P20" s="50">
        <f t="shared" si="3"/>
        <v>741009</v>
      </c>
      <c r="Q20" s="53">
        <f t="shared" si="4"/>
        <v>4.4052326030587221E-3</v>
      </c>
      <c r="R20" s="40">
        <v>0</v>
      </c>
      <c r="S20" s="37">
        <f t="shared" si="5"/>
        <v>0</v>
      </c>
      <c r="T20" s="64">
        <f>'Weighted Cases Calc'!J18</f>
        <v>0</v>
      </c>
      <c r="U20" s="37">
        <f t="shared" si="6"/>
        <v>0</v>
      </c>
      <c r="V20" s="51"/>
      <c r="W20" s="37"/>
      <c r="X20" s="50">
        <f t="shared" si="11"/>
        <v>741009</v>
      </c>
      <c r="Y20" s="213">
        <v>38209</v>
      </c>
      <c r="Z20" s="217">
        <f t="shared" si="7"/>
        <v>779218</v>
      </c>
      <c r="AA20" s="209">
        <v>794526</v>
      </c>
      <c r="AB20" s="35">
        <f t="shared" si="8"/>
        <v>0</v>
      </c>
      <c r="AC20" s="35">
        <f t="shared" si="9"/>
        <v>-1.9266833306902487E-2</v>
      </c>
      <c r="AD20" s="56">
        <f t="shared" si="10"/>
        <v>-15308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10" customFormat="1" ht="14.25" thickBot="1" x14ac:dyDescent="0.3">
      <c r="A21" s="61" t="s">
        <v>65</v>
      </c>
      <c r="B21" s="60">
        <v>3</v>
      </c>
      <c r="C21" s="59" t="s">
        <v>1</v>
      </c>
      <c r="D21" s="58">
        <v>656694</v>
      </c>
      <c r="E21" s="57">
        <v>8858</v>
      </c>
      <c r="F21" s="57">
        <v>15237</v>
      </c>
      <c r="G21" s="44">
        <f t="shared" si="1"/>
        <v>680789</v>
      </c>
      <c r="H21" s="56">
        <v>15237</v>
      </c>
      <c r="I21" s="52"/>
      <c r="J21" s="52"/>
      <c r="K21" s="55"/>
      <c r="L21" s="50">
        <f t="shared" si="2"/>
        <v>665552</v>
      </c>
      <c r="M21" s="226">
        <v>30837</v>
      </c>
      <c r="N21" s="226">
        <f>-15600+8188</f>
        <v>-7412</v>
      </c>
      <c r="O21" s="230">
        <f>M21+N21</f>
        <v>23425</v>
      </c>
      <c r="P21" s="50">
        <f t="shared" si="3"/>
        <v>688977</v>
      </c>
      <c r="Q21" s="53">
        <f t="shared" si="4"/>
        <v>3.5196348294348152E-2</v>
      </c>
      <c r="R21" s="40">
        <v>0</v>
      </c>
      <c r="S21" s="37">
        <f t="shared" si="5"/>
        <v>0</v>
      </c>
      <c r="T21" s="64">
        <f>'Weighted Cases Calc'!J19</f>
        <v>0</v>
      </c>
      <c r="U21" s="37">
        <f t="shared" si="6"/>
        <v>0</v>
      </c>
      <c r="V21" s="51"/>
      <c r="W21" s="37"/>
      <c r="X21" s="50">
        <f t="shared" si="11"/>
        <v>688977</v>
      </c>
      <c r="Y21" s="213">
        <v>21725</v>
      </c>
      <c r="Z21" s="217">
        <f t="shared" si="7"/>
        <v>710702</v>
      </c>
      <c r="AA21" s="209">
        <v>710702</v>
      </c>
      <c r="AB21" s="35">
        <f t="shared" si="8"/>
        <v>0</v>
      </c>
      <c r="AC21" s="35">
        <f t="shared" si="9"/>
        <v>0</v>
      </c>
      <c r="AD21" s="56">
        <f t="shared" si="10"/>
        <v>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10" customFormat="1" ht="14.25" thickBot="1" x14ac:dyDescent="0.3">
      <c r="A22" s="61" t="s">
        <v>56</v>
      </c>
      <c r="B22" s="60">
        <v>3</v>
      </c>
      <c r="C22" s="59" t="s">
        <v>1</v>
      </c>
      <c r="D22" s="58">
        <v>735971</v>
      </c>
      <c r="E22" s="57">
        <v>9926</v>
      </c>
      <c r="F22" s="57">
        <v>17076</v>
      </c>
      <c r="G22" s="44">
        <f t="shared" si="1"/>
        <v>762973</v>
      </c>
      <c r="H22" s="56">
        <v>17076</v>
      </c>
      <c r="I22" s="52"/>
      <c r="J22" s="52"/>
      <c r="K22" s="55"/>
      <c r="L22" s="50">
        <f t="shared" si="2"/>
        <v>745897</v>
      </c>
      <c r="M22" s="226">
        <v>36000</v>
      </c>
      <c r="N22" s="226">
        <f>-18924-3894</f>
        <v>-22818</v>
      </c>
      <c r="O22" s="230">
        <f>M22+N22</f>
        <v>13182</v>
      </c>
      <c r="P22" s="50">
        <f t="shared" si="3"/>
        <v>759079</v>
      </c>
      <c r="Q22" s="53">
        <f t="shared" si="4"/>
        <v>1.7672681348765311E-2</v>
      </c>
      <c r="R22" s="40">
        <v>0</v>
      </c>
      <c r="S22" s="37">
        <f t="shared" si="5"/>
        <v>0</v>
      </c>
      <c r="T22" s="64">
        <f>'Weighted Cases Calc'!J20</f>
        <v>0</v>
      </c>
      <c r="U22" s="37">
        <f t="shared" si="6"/>
        <v>0</v>
      </c>
      <c r="V22" s="51"/>
      <c r="W22" s="37"/>
      <c r="X22" s="50">
        <f t="shared" si="11"/>
        <v>759079</v>
      </c>
      <c r="Y22" s="213">
        <v>33258</v>
      </c>
      <c r="Z22" s="217">
        <f t="shared" si="7"/>
        <v>792337</v>
      </c>
      <c r="AA22" s="209">
        <v>792337</v>
      </c>
      <c r="AB22" s="35">
        <f t="shared" si="8"/>
        <v>0</v>
      </c>
      <c r="AC22" s="35">
        <f t="shared" si="9"/>
        <v>0</v>
      </c>
      <c r="AD22" s="56">
        <f t="shared" si="10"/>
        <v>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10" customFormat="1" ht="14.25" thickBot="1" x14ac:dyDescent="0.3">
      <c r="A23" s="61" t="s">
        <v>50</v>
      </c>
      <c r="B23" s="60">
        <v>3</v>
      </c>
      <c r="C23" s="59" t="s">
        <v>1</v>
      </c>
      <c r="D23" s="58">
        <v>1199909</v>
      </c>
      <c r="E23" s="57">
        <v>16183</v>
      </c>
      <c r="F23" s="57">
        <v>27840</v>
      </c>
      <c r="G23" s="44">
        <f t="shared" si="1"/>
        <v>1243932</v>
      </c>
      <c r="H23" s="56">
        <v>27840</v>
      </c>
      <c r="I23" s="52"/>
      <c r="J23" s="52"/>
      <c r="K23" s="55"/>
      <c r="L23" s="50">
        <f t="shared" si="2"/>
        <v>1216092</v>
      </c>
      <c r="M23" s="226"/>
      <c r="N23" s="226"/>
      <c r="O23" s="230">
        <v>14359</v>
      </c>
      <c r="P23" s="50">
        <f t="shared" si="3"/>
        <v>1230451</v>
      </c>
      <c r="Q23" s="53">
        <f t="shared" si="4"/>
        <v>1.1807494827693957E-2</v>
      </c>
      <c r="R23" s="40">
        <v>0</v>
      </c>
      <c r="S23" s="37">
        <f t="shared" si="5"/>
        <v>0</v>
      </c>
      <c r="T23" s="64">
        <f>'Weighted Cases Calc'!J21</f>
        <v>0</v>
      </c>
      <c r="U23" s="37">
        <f t="shared" si="6"/>
        <v>0</v>
      </c>
      <c r="V23" s="51"/>
      <c r="W23" s="37"/>
      <c r="X23" s="50">
        <f t="shared" si="11"/>
        <v>1230451</v>
      </c>
      <c r="Y23" s="213">
        <v>51146</v>
      </c>
      <c r="Z23" s="217">
        <f t="shared" si="7"/>
        <v>1281597</v>
      </c>
      <c r="AA23" s="209">
        <v>1299415</v>
      </c>
      <c r="AB23" s="35">
        <f t="shared" si="8"/>
        <v>0</v>
      </c>
      <c r="AC23" s="35">
        <f t="shared" si="9"/>
        <v>-1.3712324392130326E-2</v>
      </c>
      <c r="AD23" s="56">
        <f t="shared" si="10"/>
        <v>-17818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10" customFormat="1" ht="14.25" thickBot="1" x14ac:dyDescent="0.3">
      <c r="A24" s="61" t="s">
        <v>45</v>
      </c>
      <c r="B24" s="60">
        <v>3</v>
      </c>
      <c r="C24" s="59" t="s">
        <v>1</v>
      </c>
      <c r="D24" s="58">
        <v>832702</v>
      </c>
      <c r="E24" s="57">
        <v>11230</v>
      </c>
      <c r="F24" s="57">
        <v>19320</v>
      </c>
      <c r="G24" s="44">
        <f t="shared" si="1"/>
        <v>863252</v>
      </c>
      <c r="H24" s="56">
        <v>19320</v>
      </c>
      <c r="I24" s="52"/>
      <c r="J24" s="52"/>
      <c r="K24" s="55"/>
      <c r="L24" s="50">
        <f t="shared" si="2"/>
        <v>843932</v>
      </c>
      <c r="M24" s="226"/>
      <c r="N24" s="226"/>
      <c r="O24" s="230">
        <v>9000</v>
      </c>
      <c r="P24" s="50">
        <f t="shared" si="3"/>
        <v>852932</v>
      </c>
      <c r="Q24" s="53">
        <f t="shared" si="4"/>
        <v>1.0664366323353066E-2</v>
      </c>
      <c r="R24" s="40">
        <v>0</v>
      </c>
      <c r="S24" s="37">
        <f t="shared" si="5"/>
        <v>0</v>
      </c>
      <c r="T24" s="64">
        <f>'Weighted Cases Calc'!J22</f>
        <v>0</v>
      </c>
      <c r="U24" s="37">
        <f t="shared" si="6"/>
        <v>0</v>
      </c>
      <c r="V24" s="51"/>
      <c r="W24" s="37"/>
      <c r="X24" s="50">
        <f t="shared" si="11"/>
        <v>852932</v>
      </c>
      <c r="Y24" s="213">
        <v>37662</v>
      </c>
      <c r="Z24" s="217">
        <f t="shared" si="7"/>
        <v>890594</v>
      </c>
      <c r="AA24" s="209">
        <v>894813</v>
      </c>
      <c r="AB24" s="35">
        <f t="shared" si="8"/>
        <v>0</v>
      </c>
      <c r="AC24" s="35">
        <f t="shared" si="9"/>
        <v>-4.7149516155889915E-3</v>
      </c>
      <c r="AD24" s="56">
        <f t="shared" si="10"/>
        <v>-4219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10" customFormat="1" ht="14.25" thickBot="1" x14ac:dyDescent="0.3">
      <c r="A25" s="61" t="s">
        <v>44</v>
      </c>
      <c r="B25" s="60">
        <v>3</v>
      </c>
      <c r="C25" s="59" t="s">
        <v>1</v>
      </c>
      <c r="D25" s="58">
        <v>1154805</v>
      </c>
      <c r="E25" s="57">
        <v>15574</v>
      </c>
      <c r="F25" s="57">
        <v>26794</v>
      </c>
      <c r="G25" s="44">
        <f t="shared" si="1"/>
        <v>1197173</v>
      </c>
      <c r="H25" s="56">
        <v>26794</v>
      </c>
      <c r="I25" s="52"/>
      <c r="J25" s="52"/>
      <c r="K25" s="55"/>
      <c r="L25" s="50">
        <f t="shared" si="2"/>
        <v>1170379</v>
      </c>
      <c r="M25" s="226">
        <v>33770</v>
      </c>
      <c r="N25" s="226">
        <f>-6976-3870</f>
        <v>-10846</v>
      </c>
      <c r="O25" s="230">
        <f>M25+N25</f>
        <v>22924</v>
      </c>
      <c r="P25" s="50">
        <f t="shared" si="3"/>
        <v>1193303</v>
      </c>
      <c r="Q25" s="53">
        <f t="shared" si="4"/>
        <v>1.9586817603528428E-2</v>
      </c>
      <c r="R25" s="40">
        <v>0</v>
      </c>
      <c r="S25" s="37">
        <f t="shared" si="5"/>
        <v>0</v>
      </c>
      <c r="T25" s="64">
        <f>'Weighted Cases Calc'!J23</f>
        <v>0</v>
      </c>
      <c r="U25" s="37">
        <f t="shared" si="6"/>
        <v>0</v>
      </c>
      <c r="V25" s="51"/>
      <c r="W25" s="37"/>
      <c r="X25" s="50">
        <f t="shared" si="11"/>
        <v>1193303</v>
      </c>
      <c r="Y25" s="213">
        <v>58253</v>
      </c>
      <c r="Z25" s="217">
        <f t="shared" si="7"/>
        <v>1251556</v>
      </c>
      <c r="AA25" s="209">
        <v>1251556</v>
      </c>
      <c r="AB25" s="35">
        <f t="shared" si="8"/>
        <v>0</v>
      </c>
      <c r="AC25" s="35">
        <f t="shared" si="9"/>
        <v>0</v>
      </c>
      <c r="AD25" s="56">
        <f t="shared" si="10"/>
        <v>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10" customFormat="1" ht="14.25" thickBot="1" x14ac:dyDescent="0.3">
      <c r="A26" s="61" t="s">
        <v>38</v>
      </c>
      <c r="B26" s="60">
        <v>3</v>
      </c>
      <c r="C26" s="59" t="s">
        <v>1</v>
      </c>
      <c r="D26" s="58">
        <v>1015079</v>
      </c>
      <c r="E26" s="57">
        <v>13690</v>
      </c>
      <c r="F26" s="57">
        <v>23552</v>
      </c>
      <c r="G26" s="44">
        <f t="shared" si="1"/>
        <v>1052321</v>
      </c>
      <c r="H26" s="56">
        <v>23552</v>
      </c>
      <c r="I26" s="52"/>
      <c r="J26" s="52"/>
      <c r="K26" s="55"/>
      <c r="L26" s="50">
        <f t="shared" si="2"/>
        <v>1028769</v>
      </c>
      <c r="M26" s="226"/>
      <c r="N26" s="226"/>
      <c r="O26" s="230">
        <v>11440</v>
      </c>
      <c r="P26" s="50">
        <f t="shared" si="3"/>
        <v>1040209</v>
      </c>
      <c r="Q26" s="53">
        <f t="shared" si="4"/>
        <v>1.1120086238990483E-2</v>
      </c>
      <c r="R26" s="40">
        <v>0</v>
      </c>
      <c r="S26" s="37">
        <f t="shared" si="5"/>
        <v>0</v>
      </c>
      <c r="T26" s="64">
        <f>'Weighted Cases Calc'!J24</f>
        <v>0</v>
      </c>
      <c r="U26" s="37">
        <f t="shared" si="6"/>
        <v>0</v>
      </c>
      <c r="V26" s="51"/>
      <c r="W26" s="37"/>
      <c r="X26" s="50">
        <f t="shared" si="11"/>
        <v>1040209</v>
      </c>
      <c r="Y26" s="213">
        <v>30427</v>
      </c>
      <c r="Z26" s="217">
        <f t="shared" si="7"/>
        <v>1070636</v>
      </c>
      <c r="AA26" s="209">
        <v>1078212</v>
      </c>
      <c r="AB26" s="35">
        <f t="shared" si="8"/>
        <v>0</v>
      </c>
      <c r="AC26" s="35">
        <f t="shared" si="9"/>
        <v>-7.0264474889910611E-3</v>
      </c>
      <c r="AD26" s="56">
        <f t="shared" si="10"/>
        <v>-7576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10" customFormat="1" ht="14.25" thickBot="1" x14ac:dyDescent="0.3">
      <c r="A27" s="61" t="s">
        <v>32</v>
      </c>
      <c r="B27" s="60">
        <v>3</v>
      </c>
      <c r="C27" s="59" t="s">
        <v>1</v>
      </c>
      <c r="D27" s="58">
        <v>994372</v>
      </c>
      <c r="E27" s="57">
        <v>13411</v>
      </c>
      <c r="F27" s="57">
        <v>23071</v>
      </c>
      <c r="G27" s="44">
        <f t="shared" si="1"/>
        <v>1030854</v>
      </c>
      <c r="H27" s="56">
        <v>23071</v>
      </c>
      <c r="I27" s="52"/>
      <c r="J27" s="52"/>
      <c r="K27" s="55"/>
      <c r="L27" s="50">
        <f t="shared" si="2"/>
        <v>1007783</v>
      </c>
      <c r="M27" s="226"/>
      <c r="N27" s="226"/>
      <c r="O27" s="230">
        <v>9909</v>
      </c>
      <c r="P27" s="50">
        <f t="shared" si="3"/>
        <v>1017692</v>
      </c>
      <c r="Q27" s="53">
        <f t="shared" si="4"/>
        <v>9.8324738559789158E-3</v>
      </c>
      <c r="R27" s="40">
        <v>0</v>
      </c>
      <c r="S27" s="37">
        <f t="shared" si="5"/>
        <v>0</v>
      </c>
      <c r="T27" s="64">
        <f>'Weighted Cases Calc'!J25</f>
        <v>0</v>
      </c>
      <c r="U27" s="37">
        <f t="shared" si="6"/>
        <v>0</v>
      </c>
      <c r="V27" s="51"/>
      <c r="W27" s="37"/>
      <c r="X27" s="50">
        <f t="shared" si="11"/>
        <v>1017692</v>
      </c>
      <c r="Y27" s="213">
        <v>60562</v>
      </c>
      <c r="Z27" s="217">
        <f t="shared" si="7"/>
        <v>1078254</v>
      </c>
      <c r="AA27" s="209">
        <v>1097127</v>
      </c>
      <c r="AB27" s="35">
        <f t="shared" si="8"/>
        <v>0</v>
      </c>
      <c r="AC27" s="35">
        <f t="shared" si="9"/>
        <v>-1.7202201750572188E-2</v>
      </c>
      <c r="AD27" s="56">
        <f t="shared" si="10"/>
        <v>-18873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10" customFormat="1" ht="14.25" thickBot="1" x14ac:dyDescent="0.3">
      <c r="A28" s="61" t="s">
        <v>30</v>
      </c>
      <c r="B28" s="60">
        <v>3</v>
      </c>
      <c r="C28" s="59" t="s">
        <v>1</v>
      </c>
      <c r="D28" s="58">
        <v>517808</v>
      </c>
      <c r="E28" s="57">
        <v>6983</v>
      </c>
      <c r="F28" s="57">
        <v>12014</v>
      </c>
      <c r="G28" s="44">
        <f t="shared" si="1"/>
        <v>536805</v>
      </c>
      <c r="H28" s="56">
        <v>12014</v>
      </c>
      <c r="I28" s="52"/>
      <c r="J28" s="52"/>
      <c r="K28" s="55"/>
      <c r="L28" s="50">
        <f t="shared" si="2"/>
        <v>524791</v>
      </c>
      <c r="M28" s="226"/>
      <c r="N28" s="226"/>
      <c r="O28" s="230">
        <v>0</v>
      </c>
      <c r="P28" s="50">
        <f t="shared" si="3"/>
        <v>524791</v>
      </c>
      <c r="Q28" s="53">
        <f t="shared" si="4"/>
        <v>0</v>
      </c>
      <c r="R28" s="40">
        <v>0</v>
      </c>
      <c r="S28" s="37">
        <f t="shared" si="5"/>
        <v>0</v>
      </c>
      <c r="T28" s="64">
        <f>'Weighted Cases Calc'!J26</f>
        <v>0</v>
      </c>
      <c r="U28" s="37">
        <f t="shared" si="6"/>
        <v>0</v>
      </c>
      <c r="V28" s="51"/>
      <c r="W28" s="37"/>
      <c r="X28" s="50">
        <f t="shared" si="11"/>
        <v>524791</v>
      </c>
      <c r="Y28" s="213">
        <v>9621</v>
      </c>
      <c r="Z28" s="217">
        <f t="shared" si="7"/>
        <v>534412</v>
      </c>
      <c r="AA28" s="209">
        <v>549139</v>
      </c>
      <c r="AB28" s="35">
        <f t="shared" si="8"/>
        <v>0</v>
      </c>
      <c r="AC28" s="35">
        <f t="shared" si="9"/>
        <v>-2.6818346538854509E-2</v>
      </c>
      <c r="AD28" s="56">
        <f t="shared" si="10"/>
        <v>-14727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10" customFormat="1" ht="14.25" thickBot="1" x14ac:dyDescent="0.3">
      <c r="A29" s="61" t="s">
        <v>22</v>
      </c>
      <c r="B29" s="60">
        <v>3</v>
      </c>
      <c r="C29" s="59" t="s">
        <v>1</v>
      </c>
      <c r="D29" s="58">
        <v>1206732</v>
      </c>
      <c r="E29" s="57">
        <v>16275</v>
      </c>
      <c r="F29" s="57">
        <v>27998</v>
      </c>
      <c r="G29" s="44">
        <f t="shared" si="1"/>
        <v>1251005</v>
      </c>
      <c r="H29" s="56">
        <v>27998</v>
      </c>
      <c r="I29" s="52"/>
      <c r="J29" s="52">
        <v>43314</v>
      </c>
      <c r="K29" s="55"/>
      <c r="L29" s="50">
        <f t="shared" si="2"/>
        <v>1179693</v>
      </c>
      <c r="M29" s="226"/>
      <c r="N29" s="226"/>
      <c r="O29" s="230">
        <v>15997</v>
      </c>
      <c r="P29" s="50">
        <f t="shared" si="3"/>
        <v>1195690</v>
      </c>
      <c r="Q29" s="53">
        <f t="shared" si="4"/>
        <v>1.3560307639360411E-2</v>
      </c>
      <c r="R29" s="40">
        <v>0</v>
      </c>
      <c r="S29" s="37">
        <f t="shared" si="5"/>
        <v>0</v>
      </c>
      <c r="T29" s="64">
        <f>'Weighted Cases Calc'!J27</f>
        <v>0</v>
      </c>
      <c r="U29" s="37">
        <f t="shared" si="6"/>
        <v>0</v>
      </c>
      <c r="V29" s="51"/>
      <c r="W29" s="37"/>
      <c r="X29" s="50">
        <f t="shared" si="11"/>
        <v>1195690</v>
      </c>
      <c r="Y29" s="213">
        <v>89747</v>
      </c>
      <c r="Z29" s="217">
        <f t="shared" si="7"/>
        <v>1285437</v>
      </c>
      <c r="AA29" s="209">
        <v>1326394</v>
      </c>
      <c r="AB29" s="35">
        <f t="shared" si="8"/>
        <v>0</v>
      </c>
      <c r="AC29" s="35">
        <f t="shared" si="9"/>
        <v>-3.0878456929087417E-2</v>
      </c>
      <c r="AD29" s="56">
        <f t="shared" si="10"/>
        <v>-40957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10" customFormat="1" ht="14.25" thickBot="1" x14ac:dyDescent="0.3">
      <c r="A30" s="61" t="s">
        <v>8</v>
      </c>
      <c r="B30" s="60">
        <v>3</v>
      </c>
      <c r="C30" s="59" t="s">
        <v>1</v>
      </c>
      <c r="D30" s="58">
        <v>1059317</v>
      </c>
      <c r="E30" s="57">
        <v>14286</v>
      </c>
      <c r="F30" s="57">
        <v>24578</v>
      </c>
      <c r="G30" s="44">
        <f t="shared" si="1"/>
        <v>1098181</v>
      </c>
      <c r="H30" s="56">
        <v>24578</v>
      </c>
      <c r="I30" s="52"/>
      <c r="J30" s="52"/>
      <c r="K30" s="55"/>
      <c r="L30" s="50">
        <f t="shared" si="2"/>
        <v>1073603</v>
      </c>
      <c r="M30" s="226"/>
      <c r="N30" s="226"/>
      <c r="O30" s="230">
        <v>15001</v>
      </c>
      <c r="P30" s="50">
        <f t="shared" si="3"/>
        <v>1088604</v>
      </c>
      <c r="Q30" s="53">
        <f t="shared" si="4"/>
        <v>1.3972576455170114E-2</v>
      </c>
      <c r="R30" s="40">
        <v>0</v>
      </c>
      <c r="S30" s="37">
        <f t="shared" si="5"/>
        <v>0</v>
      </c>
      <c r="T30" s="64">
        <f>'Weighted Cases Calc'!J28</f>
        <v>0</v>
      </c>
      <c r="U30" s="37">
        <f t="shared" si="6"/>
        <v>0</v>
      </c>
      <c r="V30" s="51"/>
      <c r="W30" s="37"/>
      <c r="X30" s="50">
        <f t="shared" si="11"/>
        <v>1088604</v>
      </c>
      <c r="Y30" s="213">
        <v>27131</v>
      </c>
      <c r="Z30" s="217">
        <f t="shared" si="7"/>
        <v>1115735</v>
      </c>
      <c r="AA30" s="209">
        <v>1124067</v>
      </c>
      <c r="AB30" s="35">
        <f t="shared" si="8"/>
        <v>0</v>
      </c>
      <c r="AC30" s="35">
        <f t="shared" si="9"/>
        <v>-7.4123695473667928E-3</v>
      </c>
      <c r="AD30" s="56">
        <f t="shared" si="10"/>
        <v>-8332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10" customFormat="1" ht="14.25" thickBot="1" x14ac:dyDescent="0.3">
      <c r="A31" s="61" t="s">
        <v>4</v>
      </c>
      <c r="B31" s="60">
        <v>3</v>
      </c>
      <c r="C31" s="59" t="s">
        <v>1</v>
      </c>
      <c r="D31" s="58">
        <v>621378</v>
      </c>
      <c r="E31" s="57">
        <v>8380</v>
      </c>
      <c r="F31" s="57">
        <v>14417</v>
      </c>
      <c r="G31" s="44">
        <f t="shared" si="1"/>
        <v>644175</v>
      </c>
      <c r="H31" s="56">
        <v>14417</v>
      </c>
      <c r="I31" s="52"/>
      <c r="J31" s="52"/>
      <c r="K31" s="55"/>
      <c r="L31" s="50">
        <f t="shared" si="2"/>
        <v>629758</v>
      </c>
      <c r="M31" s="226">
        <v>50182</v>
      </c>
      <c r="N31" s="226">
        <v>-37897</v>
      </c>
      <c r="O31" s="230">
        <f>N31+M31</f>
        <v>12285</v>
      </c>
      <c r="P31" s="50">
        <f t="shared" si="3"/>
        <v>642043</v>
      </c>
      <c r="Q31" s="53">
        <f t="shared" si="4"/>
        <v>1.9507493354590177E-2</v>
      </c>
      <c r="R31" s="40">
        <v>0</v>
      </c>
      <c r="S31" s="37">
        <f t="shared" si="5"/>
        <v>0</v>
      </c>
      <c r="T31" s="64">
        <f>'Weighted Cases Calc'!J29</f>
        <v>0</v>
      </c>
      <c r="U31" s="37">
        <f t="shared" si="6"/>
        <v>0</v>
      </c>
      <c r="V31" s="51"/>
      <c r="W31" s="37"/>
      <c r="X31" s="50">
        <f t="shared" si="11"/>
        <v>642043</v>
      </c>
      <c r="Y31" s="213">
        <v>36361</v>
      </c>
      <c r="Z31" s="217">
        <f t="shared" si="7"/>
        <v>678404</v>
      </c>
      <c r="AA31" s="209">
        <v>678404</v>
      </c>
      <c r="AB31" s="35">
        <f t="shared" si="8"/>
        <v>0</v>
      </c>
      <c r="AC31" s="35">
        <f t="shared" si="9"/>
        <v>0</v>
      </c>
      <c r="AD31" s="56">
        <f t="shared" si="10"/>
        <v>0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10" customFormat="1" ht="14.25" thickBot="1" x14ac:dyDescent="0.3">
      <c r="A32" s="61" t="s">
        <v>60</v>
      </c>
      <c r="B32" s="60">
        <v>4</v>
      </c>
      <c r="C32" s="59"/>
      <c r="D32" s="58">
        <v>2872388</v>
      </c>
      <c r="E32" s="57">
        <v>38738</v>
      </c>
      <c r="F32" s="57">
        <v>66645</v>
      </c>
      <c r="G32" s="44">
        <f t="shared" si="1"/>
        <v>2977771</v>
      </c>
      <c r="H32" s="56">
        <v>66645</v>
      </c>
      <c r="I32" s="52"/>
      <c r="J32" s="52"/>
      <c r="K32" s="55">
        <v>66445</v>
      </c>
      <c r="L32" s="50">
        <f t="shared" si="2"/>
        <v>2977571</v>
      </c>
      <c r="M32" s="226"/>
      <c r="N32" s="226"/>
      <c r="O32" s="230">
        <v>38965</v>
      </c>
      <c r="P32" s="50">
        <f t="shared" si="3"/>
        <v>3016536</v>
      </c>
      <c r="Q32" s="53">
        <f t="shared" si="4"/>
        <v>1.3086169901574135E-2</v>
      </c>
      <c r="R32" s="40">
        <f>ROUND((P32/$P$3)*$R$2,0)</f>
        <v>-163322</v>
      </c>
      <c r="S32" s="37">
        <f t="shared" si="5"/>
        <v>-5.4142234669170203E-2</v>
      </c>
      <c r="T32" s="64">
        <f>'Weighted Cases Calc'!J30</f>
        <v>-140975</v>
      </c>
      <c r="U32" s="37">
        <f t="shared" si="6"/>
        <v>-4.67340684811983E-2</v>
      </c>
      <c r="V32" s="51"/>
      <c r="W32" s="37"/>
      <c r="X32" s="50">
        <f t="shared" si="11"/>
        <v>2712239</v>
      </c>
      <c r="Y32" s="213">
        <v>71752</v>
      </c>
      <c r="Z32" s="217">
        <f t="shared" si="7"/>
        <v>2783991</v>
      </c>
      <c r="AA32" s="209">
        <v>3050332</v>
      </c>
      <c r="AB32" s="35">
        <f t="shared" si="8"/>
        <v>-0.10087630315036855</v>
      </c>
      <c r="AC32" s="35">
        <f t="shared" si="9"/>
        <v>-8.731541353531358E-2</v>
      </c>
      <c r="AD32" s="56">
        <f t="shared" si="10"/>
        <v>-266341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0" customFormat="1" ht="14.25" thickBot="1" x14ac:dyDescent="0.3">
      <c r="A33" s="61" t="s">
        <v>57</v>
      </c>
      <c r="B33" s="60">
        <v>4</v>
      </c>
      <c r="C33" s="59" t="s">
        <v>1</v>
      </c>
      <c r="D33" s="58">
        <v>1456574</v>
      </c>
      <c r="E33" s="57">
        <v>19644</v>
      </c>
      <c r="F33" s="57">
        <v>33795</v>
      </c>
      <c r="G33" s="44">
        <f t="shared" si="1"/>
        <v>1510013</v>
      </c>
      <c r="H33" s="56">
        <v>33795</v>
      </c>
      <c r="I33" s="52"/>
      <c r="J33" s="52">
        <v>70092</v>
      </c>
      <c r="K33" s="55"/>
      <c r="L33" s="50">
        <f t="shared" si="2"/>
        <v>1406126</v>
      </c>
      <c r="M33" s="226"/>
      <c r="N33" s="226"/>
      <c r="O33" s="230">
        <v>25150</v>
      </c>
      <c r="P33" s="50">
        <f t="shared" si="3"/>
        <v>1431276</v>
      </c>
      <c r="Q33" s="53">
        <f t="shared" si="4"/>
        <v>1.7886021594081897E-2</v>
      </c>
      <c r="R33" s="40">
        <v>0</v>
      </c>
      <c r="S33" s="37">
        <f t="shared" si="5"/>
        <v>0</v>
      </c>
      <c r="T33" s="64">
        <f>'Weighted Cases Calc'!J31</f>
        <v>0</v>
      </c>
      <c r="U33" s="37">
        <f t="shared" si="6"/>
        <v>0</v>
      </c>
      <c r="V33" s="51"/>
      <c r="W33" s="37"/>
      <c r="X33" s="50">
        <f t="shared" si="11"/>
        <v>1431276</v>
      </c>
      <c r="Y33" s="213">
        <v>54990</v>
      </c>
      <c r="Z33" s="217">
        <f t="shared" si="7"/>
        <v>1486266</v>
      </c>
      <c r="AA33" s="209">
        <v>1566197</v>
      </c>
      <c r="AB33" s="35">
        <f t="shared" si="8"/>
        <v>0</v>
      </c>
      <c r="AC33" s="35">
        <f t="shared" si="9"/>
        <v>-5.103508690158387E-2</v>
      </c>
      <c r="AD33" s="56">
        <f t="shared" si="10"/>
        <v>-79931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0" customFormat="1" ht="14.25" thickBot="1" x14ac:dyDescent="0.3">
      <c r="A34" s="61" t="s">
        <v>52</v>
      </c>
      <c r="B34" s="60">
        <v>4</v>
      </c>
      <c r="C34" s="59"/>
      <c r="D34" s="58">
        <v>1758900</v>
      </c>
      <c r="E34" s="57">
        <v>23721</v>
      </c>
      <c r="F34" s="57">
        <v>40810</v>
      </c>
      <c r="G34" s="44">
        <f t="shared" si="1"/>
        <v>1823431</v>
      </c>
      <c r="H34" s="56">
        <v>40810</v>
      </c>
      <c r="I34" s="52"/>
      <c r="J34" s="52"/>
      <c r="K34" s="55">
        <v>39715</v>
      </c>
      <c r="L34" s="50">
        <f t="shared" si="2"/>
        <v>1822336</v>
      </c>
      <c r="M34" s="226"/>
      <c r="N34" s="226"/>
      <c r="O34" s="230">
        <v>22806</v>
      </c>
      <c r="P34" s="50">
        <f t="shared" si="3"/>
        <v>1845142</v>
      </c>
      <c r="Q34" s="53">
        <f t="shared" si="4"/>
        <v>1.2514706398819976E-2</v>
      </c>
      <c r="R34" s="40">
        <f>ROUND((P34/$P$3)*$R$2,0)</f>
        <v>-99900</v>
      </c>
      <c r="S34" s="37">
        <f t="shared" si="5"/>
        <v>-5.4142174423431909E-2</v>
      </c>
      <c r="T34" s="64">
        <f>'Weighted Cases Calc'!J32</f>
        <v>-65205</v>
      </c>
      <c r="U34" s="37">
        <f t="shared" si="6"/>
        <v>-3.5338743576375155E-2</v>
      </c>
      <c r="V34" s="51"/>
      <c r="W34" s="37"/>
      <c r="X34" s="50">
        <f t="shared" si="11"/>
        <v>1680037</v>
      </c>
      <c r="Y34" s="213">
        <v>61285</v>
      </c>
      <c r="Z34" s="217">
        <f t="shared" si="7"/>
        <v>1741322</v>
      </c>
      <c r="AA34" s="209">
        <v>1885946</v>
      </c>
      <c r="AB34" s="35">
        <f t="shared" si="8"/>
        <v>-8.9480917999807064E-2</v>
      </c>
      <c r="AC34" s="35">
        <f t="shared" si="9"/>
        <v>-7.6685122479646872E-2</v>
      </c>
      <c r="AD34" s="56">
        <f t="shared" si="10"/>
        <v>-144624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10" customFormat="1" ht="14.25" thickBot="1" x14ac:dyDescent="0.3">
      <c r="A35" s="61" t="s">
        <v>42</v>
      </c>
      <c r="B35" s="60">
        <v>4</v>
      </c>
      <c r="C35" s="59" t="s">
        <v>1</v>
      </c>
      <c r="D35" s="58">
        <v>1805973</v>
      </c>
      <c r="E35" s="57">
        <v>24356</v>
      </c>
      <c r="F35" s="57">
        <v>41902</v>
      </c>
      <c r="G35" s="44">
        <f t="shared" si="1"/>
        <v>1872231</v>
      </c>
      <c r="H35" s="56">
        <v>41902</v>
      </c>
      <c r="I35" s="52">
        <v>32546</v>
      </c>
      <c r="J35" s="52"/>
      <c r="K35" s="55"/>
      <c r="L35" s="50">
        <f t="shared" si="2"/>
        <v>1797783</v>
      </c>
      <c r="M35" s="226"/>
      <c r="N35" s="226"/>
      <c r="O35" s="230">
        <v>25531</v>
      </c>
      <c r="P35" s="50">
        <f t="shared" si="3"/>
        <v>1823314</v>
      </c>
      <c r="Q35" s="53">
        <f t="shared" si="4"/>
        <v>1.4201380255570334E-2</v>
      </c>
      <c r="R35" s="40">
        <v>0</v>
      </c>
      <c r="S35" s="37">
        <f t="shared" si="5"/>
        <v>0</v>
      </c>
      <c r="T35" s="64">
        <f>'Weighted Cases Calc'!J33</f>
        <v>0</v>
      </c>
      <c r="U35" s="37">
        <f t="shared" si="6"/>
        <v>0</v>
      </c>
      <c r="V35" s="51"/>
      <c r="W35" s="37"/>
      <c r="X35" s="50">
        <f t="shared" si="11"/>
        <v>1823314</v>
      </c>
      <c r="Y35" s="213">
        <v>77778</v>
      </c>
      <c r="Z35" s="217">
        <f t="shared" si="7"/>
        <v>1901092</v>
      </c>
      <c r="AA35" s="209">
        <v>1961295</v>
      </c>
      <c r="AB35" s="35">
        <f t="shared" si="8"/>
        <v>0</v>
      </c>
      <c r="AC35" s="35">
        <f t="shared" si="9"/>
        <v>-3.0695535347818659E-2</v>
      </c>
      <c r="AD35" s="56">
        <f t="shared" si="10"/>
        <v>-60203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10" customFormat="1" ht="14.25" thickBot="1" x14ac:dyDescent="0.3">
      <c r="A36" s="61" t="s">
        <v>39</v>
      </c>
      <c r="B36" s="60">
        <v>4</v>
      </c>
      <c r="C36" s="59"/>
      <c r="D36" s="58">
        <v>2909230</v>
      </c>
      <c r="E36" s="57">
        <v>39235</v>
      </c>
      <c r="F36" s="57">
        <v>67500</v>
      </c>
      <c r="G36" s="44">
        <f t="shared" si="1"/>
        <v>3015965</v>
      </c>
      <c r="H36" s="56">
        <v>67500</v>
      </c>
      <c r="I36" s="52"/>
      <c r="J36" s="52"/>
      <c r="K36" s="55">
        <v>63846</v>
      </c>
      <c r="L36" s="50">
        <f t="shared" si="2"/>
        <v>3012311</v>
      </c>
      <c r="M36" s="226"/>
      <c r="N36" s="226"/>
      <c r="O36" s="230">
        <v>39122</v>
      </c>
      <c r="P36" s="50">
        <f t="shared" si="3"/>
        <v>3051433</v>
      </c>
      <c r="Q36" s="53">
        <f t="shared" si="4"/>
        <v>1.2987370825920696E-2</v>
      </c>
      <c r="R36" s="40">
        <f>ROUND((P36/$P$3)*$R$2,0)</f>
        <v>-165211</v>
      </c>
      <c r="S36" s="37">
        <f t="shared" si="5"/>
        <v>-5.4142103070917831E-2</v>
      </c>
      <c r="T36" s="64">
        <f>'Weighted Cases Calc'!J34</f>
        <v>-131241</v>
      </c>
      <c r="U36" s="37">
        <f t="shared" si="6"/>
        <v>-4.3009628590894834E-2</v>
      </c>
      <c r="V36" s="51"/>
      <c r="W36" s="37"/>
      <c r="X36" s="50">
        <f t="shared" si="11"/>
        <v>2754981</v>
      </c>
      <c r="Y36" s="213">
        <v>175535</v>
      </c>
      <c r="Z36" s="217">
        <f t="shared" si="7"/>
        <v>2930516</v>
      </c>
      <c r="AA36" s="209">
        <v>3181655</v>
      </c>
      <c r="AB36" s="35">
        <f t="shared" si="8"/>
        <v>-9.7151731661812679E-2</v>
      </c>
      <c r="AC36" s="35">
        <f t="shared" si="9"/>
        <v>-7.8933448158269859E-2</v>
      </c>
      <c r="AD36" s="56">
        <f t="shared" si="10"/>
        <v>-251139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10" customFormat="1" ht="14.25" thickBot="1" x14ac:dyDescent="0.3">
      <c r="A37" s="61" t="s">
        <v>24</v>
      </c>
      <c r="B37" s="60">
        <v>4</v>
      </c>
      <c r="C37" s="59"/>
      <c r="D37" s="58">
        <v>1507521</v>
      </c>
      <c r="E37" s="57">
        <v>20331</v>
      </c>
      <c r="F37" s="57">
        <v>34977</v>
      </c>
      <c r="G37" s="44">
        <f t="shared" si="1"/>
        <v>1562829</v>
      </c>
      <c r="H37" s="56">
        <v>34977</v>
      </c>
      <c r="I37" s="52"/>
      <c r="J37" s="52"/>
      <c r="K37" s="55">
        <v>34324</v>
      </c>
      <c r="L37" s="50">
        <f t="shared" si="2"/>
        <v>1562176</v>
      </c>
      <c r="M37" s="226"/>
      <c r="N37" s="226"/>
      <c r="O37" s="230">
        <v>22306</v>
      </c>
      <c r="P37" s="50">
        <f t="shared" si="3"/>
        <v>1584482</v>
      </c>
      <c r="Q37" s="53">
        <f t="shared" si="4"/>
        <v>1.4278800852144702E-2</v>
      </c>
      <c r="R37" s="40">
        <f>ROUND((P37/$P$3)*$R$2,0)</f>
        <v>-85787</v>
      </c>
      <c r="S37" s="37">
        <f t="shared" si="5"/>
        <v>-5.4141984572876181E-2</v>
      </c>
      <c r="T37" s="64">
        <f>'Weighted Cases Calc'!J35</f>
        <v>-59001</v>
      </c>
      <c r="U37" s="37">
        <f t="shared" si="6"/>
        <v>-3.7236775173211181E-2</v>
      </c>
      <c r="V37" s="51"/>
      <c r="W37" s="37"/>
      <c r="X37" s="50">
        <f t="shared" si="11"/>
        <v>1439694</v>
      </c>
      <c r="Y37" s="213">
        <v>70087</v>
      </c>
      <c r="Z37" s="217">
        <f t="shared" si="7"/>
        <v>1509781</v>
      </c>
      <c r="AA37" s="209">
        <v>1631257</v>
      </c>
      <c r="AB37" s="35">
        <f t="shared" si="8"/>
        <v>-9.1378759746087335E-2</v>
      </c>
      <c r="AC37" s="35">
        <f t="shared" si="9"/>
        <v>-7.4467726422016933E-2</v>
      </c>
      <c r="AD37" s="56">
        <f t="shared" si="10"/>
        <v>-121476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10" customFormat="1" ht="14.25" thickBot="1" x14ac:dyDescent="0.3">
      <c r="A38" s="61" t="s">
        <v>15</v>
      </c>
      <c r="B38" s="60">
        <v>4</v>
      </c>
      <c r="C38" s="59" t="s">
        <v>1</v>
      </c>
      <c r="D38" s="58">
        <v>1922737</v>
      </c>
      <c r="E38" s="57">
        <v>25931</v>
      </c>
      <c r="F38" s="57">
        <v>44611</v>
      </c>
      <c r="G38" s="44">
        <f t="shared" ref="G38:G69" si="12">F38+E38+D38</f>
        <v>1993279</v>
      </c>
      <c r="H38" s="56">
        <v>44611</v>
      </c>
      <c r="I38" s="52"/>
      <c r="J38" s="52"/>
      <c r="K38" s="55"/>
      <c r="L38" s="50">
        <f t="shared" ref="L38:L69" si="13">G38+K38-H38-I38-J38</f>
        <v>1948668</v>
      </c>
      <c r="M38" s="226"/>
      <c r="N38" s="226"/>
      <c r="O38" s="230">
        <v>47231</v>
      </c>
      <c r="P38" s="50">
        <f t="shared" ref="P38:P69" si="14">L38+O38</f>
        <v>1995899</v>
      </c>
      <c r="Q38" s="53">
        <f t="shared" ref="Q38:Q72" si="15">O38/L38</f>
        <v>2.4237581773806516E-2</v>
      </c>
      <c r="R38" s="40">
        <v>0</v>
      </c>
      <c r="S38" s="37">
        <f t="shared" ref="S38:S69" si="16">R38/P38</f>
        <v>0</v>
      </c>
      <c r="T38" s="64">
        <f>'Weighted Cases Calc'!J36</f>
        <v>0</v>
      </c>
      <c r="U38" s="37">
        <f t="shared" ref="U38:U69" si="17">T38/P38</f>
        <v>0</v>
      </c>
      <c r="V38" s="51"/>
      <c r="W38" s="37"/>
      <c r="X38" s="50">
        <f t="shared" ref="X38:X72" si="18">P38+R38+T38+V38</f>
        <v>1995899</v>
      </c>
      <c r="Y38" s="213">
        <v>95990</v>
      </c>
      <c r="Z38" s="217">
        <f t="shared" ref="Z38:Z69" si="19">X38+Y38</f>
        <v>2091889</v>
      </c>
      <c r="AA38" s="209">
        <v>2095670</v>
      </c>
      <c r="AB38" s="35">
        <f t="shared" ref="AB38:AB72" si="20">X38/P38-1</f>
        <v>0</v>
      </c>
      <c r="AC38" s="35">
        <f t="shared" ref="AC38:AC72" si="21">Z38/AA38-1</f>
        <v>-1.8041962713595261E-3</v>
      </c>
      <c r="AD38" s="56">
        <f t="shared" ref="AD38:AD72" si="22">Z38-AA38</f>
        <v>-3781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10" customFormat="1" ht="14.25" thickBot="1" x14ac:dyDescent="0.3">
      <c r="A39" s="61" t="s">
        <v>9</v>
      </c>
      <c r="B39" s="60">
        <v>4</v>
      </c>
      <c r="C39" s="59"/>
      <c r="D39" s="58">
        <v>1798646</v>
      </c>
      <c r="E39" s="57">
        <v>24257</v>
      </c>
      <c r="F39" s="57">
        <v>41732</v>
      </c>
      <c r="G39" s="44">
        <f t="shared" si="12"/>
        <v>1864635</v>
      </c>
      <c r="H39" s="56">
        <v>41732</v>
      </c>
      <c r="I39" s="52"/>
      <c r="J39" s="52"/>
      <c r="K39" s="55">
        <v>49915</v>
      </c>
      <c r="L39" s="50">
        <f t="shared" si="13"/>
        <v>1872818</v>
      </c>
      <c r="M39" s="226"/>
      <c r="N39" s="226"/>
      <c r="O39" s="230">
        <v>29449</v>
      </c>
      <c r="P39" s="50">
        <f t="shared" si="14"/>
        <v>1902267</v>
      </c>
      <c r="Q39" s="53">
        <f t="shared" si="15"/>
        <v>1.5724432379441034E-2</v>
      </c>
      <c r="R39" s="40">
        <f t="shared" ref="R39:R72" si="23">ROUND((P39/$P$3)*$R$2,0)</f>
        <v>-102993</v>
      </c>
      <c r="S39" s="37">
        <f t="shared" si="16"/>
        <v>-5.4142241861946827E-2</v>
      </c>
      <c r="T39" s="64">
        <f>'Weighted Cases Calc'!J37</f>
        <v>-73909</v>
      </c>
      <c r="U39" s="37">
        <f t="shared" si="17"/>
        <v>-3.8853115782379655E-2</v>
      </c>
      <c r="V39" s="51"/>
      <c r="W39" s="37"/>
      <c r="X39" s="50">
        <f t="shared" si="18"/>
        <v>1725365</v>
      </c>
      <c r="Y39" s="213">
        <v>73628</v>
      </c>
      <c r="Z39" s="217">
        <f t="shared" si="19"/>
        <v>1798993</v>
      </c>
      <c r="AA39" s="209">
        <v>1940532</v>
      </c>
      <c r="AB39" s="35">
        <f t="shared" si="20"/>
        <v>-9.2995357644326426E-2</v>
      </c>
      <c r="AC39" s="35">
        <f t="shared" si="21"/>
        <v>-7.2938245800636126E-2</v>
      </c>
      <c r="AD39" s="56">
        <f t="shared" si="22"/>
        <v>-141539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10" customFormat="1" ht="14.25" thickBot="1" x14ac:dyDescent="0.3">
      <c r="A40" s="61" t="s">
        <v>3</v>
      </c>
      <c r="B40" s="60">
        <v>4</v>
      </c>
      <c r="C40" s="59"/>
      <c r="D40" s="58">
        <v>1574772</v>
      </c>
      <c r="E40" s="57">
        <v>21238</v>
      </c>
      <c r="F40" s="57">
        <v>36538</v>
      </c>
      <c r="G40" s="44">
        <f t="shared" si="12"/>
        <v>1632548</v>
      </c>
      <c r="H40" s="56">
        <v>36538</v>
      </c>
      <c r="I40" s="52"/>
      <c r="J40" s="52"/>
      <c r="K40" s="55">
        <v>41468</v>
      </c>
      <c r="L40" s="50">
        <f t="shared" si="13"/>
        <v>1637478</v>
      </c>
      <c r="M40" s="226"/>
      <c r="N40" s="226"/>
      <c r="O40" s="230">
        <v>21742</v>
      </c>
      <c r="P40" s="50">
        <f t="shared" si="14"/>
        <v>1659220</v>
      </c>
      <c r="Q40" s="53">
        <f t="shared" si="15"/>
        <v>1.3277735639807069E-2</v>
      </c>
      <c r="R40" s="40">
        <f t="shared" si="23"/>
        <v>-89834</v>
      </c>
      <c r="S40" s="37">
        <f t="shared" si="16"/>
        <v>-5.4142307831390651E-2</v>
      </c>
      <c r="T40" s="64">
        <f>'Weighted Cases Calc'!J38</f>
        <v>-71500</v>
      </c>
      <c r="U40" s="37">
        <f t="shared" si="17"/>
        <v>-4.3092537457359484E-2</v>
      </c>
      <c r="V40" s="51"/>
      <c r="W40" s="37"/>
      <c r="X40" s="50">
        <f t="shared" si="18"/>
        <v>1497886</v>
      </c>
      <c r="Y40" s="213">
        <v>56372</v>
      </c>
      <c r="Z40" s="217">
        <f t="shared" si="19"/>
        <v>1554258</v>
      </c>
      <c r="AA40" s="209">
        <v>1690942</v>
      </c>
      <c r="AB40" s="35">
        <f t="shared" si="20"/>
        <v>-9.7234845288750149E-2</v>
      </c>
      <c r="AC40" s="35">
        <f t="shared" si="21"/>
        <v>-8.0833050453534172E-2</v>
      </c>
      <c r="AD40" s="56">
        <f t="shared" si="22"/>
        <v>-136684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10" customFormat="1" ht="14.25" thickBot="1" x14ac:dyDescent="0.3">
      <c r="A41" s="61" t="s">
        <v>68</v>
      </c>
      <c r="B41" s="60">
        <v>5</v>
      </c>
      <c r="C41" s="59"/>
      <c r="D41" s="58">
        <v>5885093</v>
      </c>
      <c r="E41" s="57">
        <v>79369</v>
      </c>
      <c r="F41" s="57">
        <v>136545</v>
      </c>
      <c r="G41" s="44">
        <f t="shared" si="12"/>
        <v>6101007</v>
      </c>
      <c r="H41" s="56">
        <v>136545</v>
      </c>
      <c r="I41" s="52">
        <v>237400</v>
      </c>
      <c r="J41" s="52"/>
      <c r="K41" s="55">
        <v>125926</v>
      </c>
      <c r="L41" s="50">
        <f t="shared" si="13"/>
        <v>5852988</v>
      </c>
      <c r="M41" s="226"/>
      <c r="N41" s="226"/>
      <c r="O41" s="230">
        <v>116100</v>
      </c>
      <c r="P41" s="50">
        <f t="shared" si="14"/>
        <v>5969088</v>
      </c>
      <c r="Q41" s="53">
        <f t="shared" si="15"/>
        <v>1.9836022216344881E-2</v>
      </c>
      <c r="R41" s="40">
        <f t="shared" si="23"/>
        <v>-323179</v>
      </c>
      <c r="S41" s="37">
        <f t="shared" si="16"/>
        <v>-5.4142106800904928E-2</v>
      </c>
      <c r="T41" s="64">
        <f>'Weighted Cases Calc'!J39</f>
        <v>-257279</v>
      </c>
      <c r="U41" s="37">
        <f t="shared" si="17"/>
        <v>-4.3101894292729474E-2</v>
      </c>
      <c r="V41" s="51"/>
      <c r="W41" s="37"/>
      <c r="X41" s="50">
        <f t="shared" si="18"/>
        <v>5388630</v>
      </c>
      <c r="Y41" s="213">
        <v>194506</v>
      </c>
      <c r="Z41" s="217">
        <f t="shared" si="19"/>
        <v>5583136</v>
      </c>
      <c r="AA41" s="209">
        <v>6289525</v>
      </c>
      <c r="AB41" s="35">
        <f t="shared" si="20"/>
        <v>-9.7244001093634402E-2</v>
      </c>
      <c r="AC41" s="35">
        <f t="shared" si="21"/>
        <v>-0.11231197904452239</v>
      </c>
      <c r="AD41" s="56">
        <f t="shared" si="22"/>
        <v>-706389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10" customFormat="1" ht="14.25" thickBot="1" x14ac:dyDescent="0.3">
      <c r="A42" s="61" t="s">
        <v>61</v>
      </c>
      <c r="B42" s="60">
        <v>5</v>
      </c>
      <c r="C42" s="59"/>
      <c r="D42" s="58">
        <v>3438803</v>
      </c>
      <c r="E42" s="57">
        <v>46377</v>
      </c>
      <c r="F42" s="57">
        <v>79787</v>
      </c>
      <c r="G42" s="44">
        <f t="shared" si="12"/>
        <v>3564967</v>
      </c>
      <c r="H42" s="56">
        <v>79787</v>
      </c>
      <c r="I42" s="52"/>
      <c r="J42" s="52"/>
      <c r="K42" s="55">
        <v>66636</v>
      </c>
      <c r="L42" s="50">
        <f t="shared" si="13"/>
        <v>3551816</v>
      </c>
      <c r="M42" s="226"/>
      <c r="N42" s="226"/>
      <c r="O42" s="54">
        <v>34936</v>
      </c>
      <c r="P42" s="50">
        <f t="shared" si="14"/>
        <v>3586752</v>
      </c>
      <c r="Q42" s="53">
        <f t="shared" si="15"/>
        <v>9.8360951130351346E-3</v>
      </c>
      <c r="R42" s="40">
        <f t="shared" si="23"/>
        <v>-194194</v>
      </c>
      <c r="S42" s="37">
        <f t="shared" si="16"/>
        <v>-5.4142020412897236E-2</v>
      </c>
      <c r="T42" s="64">
        <f>'Weighted Cases Calc'!J40</f>
        <v>-129243</v>
      </c>
      <c r="U42" s="37">
        <f t="shared" si="17"/>
        <v>-3.6033436379208819E-2</v>
      </c>
      <c r="V42" s="51"/>
      <c r="W42" s="37"/>
      <c r="X42" s="50">
        <f t="shared" si="18"/>
        <v>3263315</v>
      </c>
      <c r="Y42" s="213">
        <v>139134</v>
      </c>
      <c r="Z42" s="217">
        <f t="shared" si="19"/>
        <v>3402449</v>
      </c>
      <c r="AA42" s="209">
        <v>3711666</v>
      </c>
      <c r="AB42" s="35">
        <f t="shared" si="20"/>
        <v>-9.0175456792106035E-2</v>
      </c>
      <c r="AC42" s="35">
        <f t="shared" si="21"/>
        <v>-8.3309489593083041E-2</v>
      </c>
      <c r="AD42" s="56">
        <f t="shared" si="22"/>
        <v>-309217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10" customFormat="1" ht="14.25" thickBot="1" x14ac:dyDescent="0.3">
      <c r="A43" s="61" t="s">
        <v>59</v>
      </c>
      <c r="B43" s="60">
        <v>5</v>
      </c>
      <c r="C43" s="59"/>
      <c r="D43" s="58">
        <v>3545517</v>
      </c>
      <c r="E43" s="57">
        <v>47817</v>
      </c>
      <c r="F43" s="57">
        <v>82263</v>
      </c>
      <c r="G43" s="44">
        <f t="shared" si="12"/>
        <v>3675597</v>
      </c>
      <c r="H43" s="56">
        <v>82263</v>
      </c>
      <c r="I43" s="52"/>
      <c r="J43" s="52"/>
      <c r="K43" s="55">
        <v>84160</v>
      </c>
      <c r="L43" s="50">
        <f t="shared" si="13"/>
        <v>3677494</v>
      </c>
      <c r="M43" s="226"/>
      <c r="N43" s="226"/>
      <c r="O43" s="230">
        <v>46350</v>
      </c>
      <c r="P43" s="50">
        <f t="shared" si="14"/>
        <v>3723844</v>
      </c>
      <c r="Q43" s="53">
        <f t="shared" si="15"/>
        <v>1.2603691535594619E-2</v>
      </c>
      <c r="R43" s="40">
        <f t="shared" si="23"/>
        <v>-201617</v>
      </c>
      <c r="S43" s="37">
        <f t="shared" si="16"/>
        <v>-5.4142171369155098E-2</v>
      </c>
      <c r="T43" s="64">
        <f>'Weighted Cases Calc'!J41</f>
        <v>-153546</v>
      </c>
      <c r="U43" s="37">
        <f t="shared" si="17"/>
        <v>-4.1233198812839635E-2</v>
      </c>
      <c r="V43" s="51"/>
      <c r="W43" s="37"/>
      <c r="X43" s="50">
        <f t="shared" si="18"/>
        <v>3368681</v>
      </c>
      <c r="Y43" s="213">
        <v>57905</v>
      </c>
      <c r="Z43" s="217">
        <f t="shared" si="19"/>
        <v>3426586</v>
      </c>
      <c r="AA43" s="209">
        <v>3736985</v>
      </c>
      <c r="AB43" s="35">
        <f t="shared" si="20"/>
        <v>-9.5375370181994712E-2</v>
      </c>
      <c r="AC43" s="35">
        <f t="shared" si="21"/>
        <v>-8.3061344907726431E-2</v>
      </c>
      <c r="AD43" s="56">
        <f t="shared" si="22"/>
        <v>-310399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10" customFormat="1" ht="14.25" thickBot="1" x14ac:dyDescent="0.3">
      <c r="A44" s="61" t="s">
        <v>43</v>
      </c>
      <c r="B44" s="60">
        <v>5</v>
      </c>
      <c r="C44" s="59"/>
      <c r="D44" s="58">
        <v>3294564</v>
      </c>
      <c r="E44" s="57">
        <v>44432</v>
      </c>
      <c r="F44" s="57">
        <v>76440</v>
      </c>
      <c r="G44" s="44">
        <f t="shared" si="12"/>
        <v>3415436</v>
      </c>
      <c r="H44" s="56">
        <v>76440</v>
      </c>
      <c r="I44" s="52"/>
      <c r="J44" s="52"/>
      <c r="K44" s="55">
        <v>67084</v>
      </c>
      <c r="L44" s="50">
        <f t="shared" si="13"/>
        <v>3406080</v>
      </c>
      <c r="M44" s="226"/>
      <c r="N44" s="226"/>
      <c r="O44" s="230">
        <v>34582</v>
      </c>
      <c r="P44" s="50">
        <f t="shared" si="14"/>
        <v>3440662</v>
      </c>
      <c r="Q44" s="53">
        <f t="shared" si="15"/>
        <v>1.0153020481022172E-2</v>
      </c>
      <c r="R44" s="40">
        <f t="shared" si="23"/>
        <v>-186285</v>
      </c>
      <c r="S44" s="37">
        <f t="shared" si="16"/>
        <v>-5.4142197053939037E-2</v>
      </c>
      <c r="T44" s="64">
        <f>'Weighted Cases Calc'!J42</f>
        <v>-116112</v>
      </c>
      <c r="U44" s="37">
        <f t="shared" si="17"/>
        <v>-3.3746994037775285E-2</v>
      </c>
      <c r="V44" s="51"/>
      <c r="W44" s="37"/>
      <c r="X44" s="50">
        <f t="shared" si="18"/>
        <v>3138265</v>
      </c>
      <c r="Y44" s="213">
        <v>151493</v>
      </c>
      <c r="Z44" s="217">
        <f t="shared" si="19"/>
        <v>3289758</v>
      </c>
      <c r="AA44" s="209">
        <v>3568340</v>
      </c>
      <c r="AB44" s="35">
        <f t="shared" si="20"/>
        <v>-8.7889191091714336E-2</v>
      </c>
      <c r="AC44" s="35">
        <f t="shared" si="21"/>
        <v>-7.8070475347080115E-2</v>
      </c>
      <c r="AD44" s="56">
        <f t="shared" si="22"/>
        <v>-278582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10" customFormat="1" ht="14.25" thickBot="1" x14ac:dyDescent="0.3">
      <c r="A45" s="61" t="s">
        <v>27</v>
      </c>
      <c r="B45" s="60">
        <v>5</v>
      </c>
      <c r="C45" s="59"/>
      <c r="D45" s="58">
        <v>3474061</v>
      </c>
      <c r="E45" s="57">
        <v>46853</v>
      </c>
      <c r="F45" s="57">
        <v>80605</v>
      </c>
      <c r="G45" s="44">
        <f t="shared" si="12"/>
        <v>3601519</v>
      </c>
      <c r="H45" s="56">
        <v>80605</v>
      </c>
      <c r="I45" s="52"/>
      <c r="J45" s="52"/>
      <c r="K45" s="55">
        <v>66856</v>
      </c>
      <c r="L45" s="50">
        <f t="shared" si="13"/>
        <v>3587770</v>
      </c>
      <c r="M45" s="226"/>
      <c r="N45" s="226"/>
      <c r="O45" s="230">
        <v>44189</v>
      </c>
      <c r="P45" s="50">
        <f t="shared" si="14"/>
        <v>3631959</v>
      </c>
      <c r="Q45" s="53">
        <f t="shared" si="15"/>
        <v>1.2316564328259616E-2</v>
      </c>
      <c r="R45" s="40">
        <f t="shared" si="23"/>
        <v>-196642</v>
      </c>
      <c r="S45" s="37">
        <f t="shared" si="16"/>
        <v>-5.4142131009738824E-2</v>
      </c>
      <c r="T45" s="64">
        <f>'Weighted Cases Calc'!J43</f>
        <v>-164352</v>
      </c>
      <c r="U45" s="37">
        <f t="shared" si="17"/>
        <v>-4.5251612146502758E-2</v>
      </c>
      <c r="V45" s="51"/>
      <c r="W45" s="37"/>
      <c r="X45" s="50">
        <f t="shared" si="18"/>
        <v>3270965</v>
      </c>
      <c r="Y45" s="213">
        <v>146682</v>
      </c>
      <c r="Z45" s="217">
        <f t="shared" si="19"/>
        <v>3417647</v>
      </c>
      <c r="AA45" s="209">
        <v>3746429</v>
      </c>
      <c r="AB45" s="35">
        <f t="shared" si="20"/>
        <v>-9.939374315624161E-2</v>
      </c>
      <c r="AC45" s="35">
        <f t="shared" si="21"/>
        <v>-8.7758769751141719E-2</v>
      </c>
      <c r="AD45" s="56">
        <f t="shared" si="22"/>
        <v>-328782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10" customFormat="1" ht="14.25" thickBot="1" x14ac:dyDescent="0.3">
      <c r="A46" s="61" t="s">
        <v>25</v>
      </c>
      <c r="B46" s="60">
        <v>5</v>
      </c>
      <c r="C46" s="59"/>
      <c r="D46" s="58">
        <v>3550733</v>
      </c>
      <c r="E46" s="57">
        <v>47887</v>
      </c>
      <c r="F46" s="57">
        <v>82384</v>
      </c>
      <c r="G46" s="44">
        <f t="shared" si="12"/>
        <v>3681004</v>
      </c>
      <c r="H46" s="56">
        <v>82384</v>
      </c>
      <c r="I46" s="52">
        <v>153000</v>
      </c>
      <c r="J46" s="52"/>
      <c r="K46" s="55">
        <v>74724</v>
      </c>
      <c r="L46" s="50">
        <f t="shared" si="13"/>
        <v>3520344</v>
      </c>
      <c r="M46" s="226"/>
      <c r="N46" s="226"/>
      <c r="O46" s="230">
        <v>46633</v>
      </c>
      <c r="P46" s="50">
        <f t="shared" si="14"/>
        <v>3566977</v>
      </c>
      <c r="Q46" s="53">
        <f t="shared" si="15"/>
        <v>1.3246716798131091E-2</v>
      </c>
      <c r="R46" s="40">
        <f t="shared" si="23"/>
        <v>-193124</v>
      </c>
      <c r="S46" s="37">
        <f t="shared" si="16"/>
        <v>-5.4142205010012677E-2</v>
      </c>
      <c r="T46" s="64">
        <f>'Weighted Cases Calc'!J44</f>
        <v>-163888</v>
      </c>
      <c r="U46" s="37">
        <f t="shared" si="17"/>
        <v>-4.5945908818587844E-2</v>
      </c>
      <c r="V46" s="51"/>
      <c r="W46" s="37"/>
      <c r="X46" s="50">
        <f t="shared" si="18"/>
        <v>3209965</v>
      </c>
      <c r="Y46" s="213">
        <v>141324</v>
      </c>
      <c r="Z46" s="217">
        <f t="shared" si="19"/>
        <v>3351289</v>
      </c>
      <c r="AA46" s="209">
        <v>3815327</v>
      </c>
      <c r="AB46" s="35">
        <f t="shared" si="20"/>
        <v>-0.1000881138286005</v>
      </c>
      <c r="AC46" s="35">
        <f t="shared" si="21"/>
        <v>-0.12162469953427324</v>
      </c>
      <c r="AD46" s="56">
        <f t="shared" si="22"/>
        <v>-464038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10" customFormat="1" ht="14.25" thickBot="1" x14ac:dyDescent="0.3">
      <c r="A47" s="61" t="s">
        <v>23</v>
      </c>
      <c r="B47" s="60">
        <v>5</v>
      </c>
      <c r="C47" s="59"/>
      <c r="D47" s="58">
        <v>3554383</v>
      </c>
      <c r="E47" s="57">
        <v>47936</v>
      </c>
      <c r="F47" s="57">
        <v>82468</v>
      </c>
      <c r="G47" s="44">
        <f t="shared" si="12"/>
        <v>3684787</v>
      </c>
      <c r="H47" s="56">
        <v>82468</v>
      </c>
      <c r="I47" s="52"/>
      <c r="J47" s="52"/>
      <c r="K47" s="55">
        <v>73423</v>
      </c>
      <c r="L47" s="50">
        <f t="shared" si="13"/>
        <v>3675742</v>
      </c>
      <c r="M47" s="226"/>
      <c r="N47" s="226"/>
      <c r="O47" s="230">
        <v>0</v>
      </c>
      <c r="P47" s="50">
        <f t="shared" si="14"/>
        <v>3675742</v>
      </c>
      <c r="Q47" s="53">
        <f t="shared" si="15"/>
        <v>0</v>
      </c>
      <c r="R47" s="40">
        <f t="shared" si="23"/>
        <v>-199012</v>
      </c>
      <c r="S47" s="37">
        <f t="shared" si="16"/>
        <v>-5.4141993643732338E-2</v>
      </c>
      <c r="T47" s="64">
        <f>'Weighted Cases Calc'!J45</f>
        <v>-118488</v>
      </c>
      <c r="U47" s="37">
        <f t="shared" si="17"/>
        <v>-3.2235124227979001E-2</v>
      </c>
      <c r="V47" s="51"/>
      <c r="W47" s="37"/>
      <c r="X47" s="50">
        <f t="shared" si="18"/>
        <v>3358242</v>
      </c>
      <c r="Y47" s="213">
        <v>98991</v>
      </c>
      <c r="Z47" s="217">
        <f t="shared" si="19"/>
        <v>3457233</v>
      </c>
      <c r="AA47" s="209">
        <v>3780016</v>
      </c>
      <c r="AB47" s="35">
        <f t="shared" si="20"/>
        <v>-8.6377117871711317E-2</v>
      </c>
      <c r="AC47" s="35">
        <f t="shared" si="21"/>
        <v>-8.5391966594850377E-2</v>
      </c>
      <c r="AD47" s="56">
        <f t="shared" si="22"/>
        <v>-322783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10" customFormat="1" ht="14.25" thickBot="1" x14ac:dyDescent="0.3">
      <c r="A48" s="61" t="s">
        <v>14</v>
      </c>
      <c r="B48" s="60">
        <v>5</v>
      </c>
      <c r="C48" s="59"/>
      <c r="D48" s="58">
        <v>3439750</v>
      </c>
      <c r="E48" s="57">
        <v>46390</v>
      </c>
      <c r="F48" s="57">
        <v>79809</v>
      </c>
      <c r="G48" s="44">
        <f t="shared" si="12"/>
        <v>3565949</v>
      </c>
      <c r="H48" s="56">
        <v>79809</v>
      </c>
      <c r="I48" s="52"/>
      <c r="J48" s="52"/>
      <c r="K48" s="55">
        <v>69884</v>
      </c>
      <c r="L48" s="50">
        <f t="shared" si="13"/>
        <v>3556024</v>
      </c>
      <c r="M48" s="226"/>
      <c r="N48" s="226"/>
      <c r="O48" s="230">
        <v>32600</v>
      </c>
      <c r="P48" s="50">
        <f t="shared" si="14"/>
        <v>3588624</v>
      </c>
      <c r="Q48" s="53">
        <f t="shared" si="15"/>
        <v>9.1675421763182698E-3</v>
      </c>
      <c r="R48" s="40">
        <f t="shared" si="23"/>
        <v>-194296</v>
      </c>
      <c r="S48" s="37">
        <f t="shared" si="16"/>
        <v>-5.4142200464579182E-2</v>
      </c>
      <c r="T48" s="64">
        <f>'Weighted Cases Calc'!J46</f>
        <v>-138096</v>
      </c>
      <c r="U48" s="37">
        <f t="shared" si="17"/>
        <v>-3.8481601861883555E-2</v>
      </c>
      <c r="V48" s="51"/>
      <c r="W48" s="37"/>
      <c r="X48" s="50">
        <f t="shared" si="18"/>
        <v>3256232</v>
      </c>
      <c r="Y48" s="213">
        <v>79264</v>
      </c>
      <c r="Z48" s="217">
        <f t="shared" si="19"/>
        <v>3335496</v>
      </c>
      <c r="AA48" s="209">
        <v>3644017</v>
      </c>
      <c r="AB48" s="35">
        <f t="shared" si="20"/>
        <v>-9.2623802326462723E-2</v>
      </c>
      <c r="AC48" s="35">
        <f t="shared" si="21"/>
        <v>-8.4665082517452528E-2</v>
      </c>
      <c r="AD48" s="56">
        <f t="shared" si="22"/>
        <v>-308521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10" customFormat="1" ht="14.25" thickBot="1" x14ac:dyDescent="0.3">
      <c r="A49" s="61" t="s">
        <v>12</v>
      </c>
      <c r="B49" s="60">
        <v>5</v>
      </c>
      <c r="C49" s="59"/>
      <c r="D49" s="58">
        <v>3055719</v>
      </c>
      <c r="E49" s="57">
        <v>41211</v>
      </c>
      <c r="F49" s="57">
        <v>70898</v>
      </c>
      <c r="G49" s="44">
        <f t="shared" si="12"/>
        <v>3167828</v>
      </c>
      <c r="H49" s="56">
        <v>70898</v>
      </c>
      <c r="I49" s="52"/>
      <c r="J49" s="52"/>
      <c r="K49" s="55">
        <v>69508</v>
      </c>
      <c r="L49" s="50">
        <f t="shared" si="13"/>
        <v>3166438</v>
      </c>
      <c r="M49" s="226"/>
      <c r="N49" s="226"/>
      <c r="O49" s="230">
        <v>33000</v>
      </c>
      <c r="P49" s="50">
        <f t="shared" si="14"/>
        <v>3199438</v>
      </c>
      <c r="Q49" s="53">
        <f t="shared" si="15"/>
        <v>1.0421805195617284E-2</v>
      </c>
      <c r="R49" s="40">
        <f t="shared" si="23"/>
        <v>-173224</v>
      </c>
      <c r="S49" s="37">
        <f t="shared" si="16"/>
        <v>-5.414200869027623E-2</v>
      </c>
      <c r="T49" s="64">
        <f>'Weighted Cases Calc'!J47</f>
        <v>-121246</v>
      </c>
      <c r="U49" s="37">
        <f t="shared" si="17"/>
        <v>-3.7896030490354872E-2</v>
      </c>
      <c r="V49" s="51"/>
      <c r="W49" s="37"/>
      <c r="X49" s="50">
        <f t="shared" si="18"/>
        <v>2904968</v>
      </c>
      <c r="Y49" s="213">
        <v>166552</v>
      </c>
      <c r="Z49" s="217">
        <f t="shared" si="19"/>
        <v>3071520</v>
      </c>
      <c r="AA49" s="209">
        <v>3331685</v>
      </c>
      <c r="AB49" s="35">
        <f t="shared" si="20"/>
        <v>-9.2038039180631137E-2</v>
      </c>
      <c r="AC49" s="35">
        <f t="shared" si="21"/>
        <v>-7.8088114572656186E-2</v>
      </c>
      <c r="AD49" s="56">
        <f t="shared" si="22"/>
        <v>-260165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10" customFormat="1" ht="14.25" thickBot="1" x14ac:dyDescent="0.3">
      <c r="A50" s="61" t="s">
        <v>66</v>
      </c>
      <c r="B50" s="60">
        <v>6</v>
      </c>
      <c r="C50" s="59"/>
      <c r="D50" s="58">
        <v>3533663</v>
      </c>
      <c r="E50" s="57">
        <v>47657</v>
      </c>
      <c r="F50" s="57">
        <v>81988</v>
      </c>
      <c r="G50" s="44">
        <f t="shared" si="12"/>
        <v>3663308</v>
      </c>
      <c r="H50" s="56">
        <v>81988</v>
      </c>
      <c r="I50" s="52"/>
      <c r="J50" s="52"/>
      <c r="K50" s="55">
        <v>77961</v>
      </c>
      <c r="L50" s="50">
        <f t="shared" si="13"/>
        <v>3659281</v>
      </c>
      <c r="M50" s="226"/>
      <c r="N50" s="226"/>
      <c r="O50" s="230">
        <v>37755</v>
      </c>
      <c r="P50" s="50">
        <f t="shared" si="14"/>
        <v>3697036</v>
      </c>
      <c r="Q50" s="53">
        <f t="shared" si="15"/>
        <v>1.0317600643405084E-2</v>
      </c>
      <c r="R50" s="40">
        <f t="shared" si="23"/>
        <v>-200165</v>
      </c>
      <c r="S50" s="37">
        <f t="shared" si="16"/>
        <v>-5.4142020797200784E-2</v>
      </c>
      <c r="T50" s="64">
        <f>'Weighted Cases Calc'!J48</f>
        <v>-59710</v>
      </c>
      <c r="U50" s="37">
        <f t="shared" si="17"/>
        <v>-1.6150775918871225E-2</v>
      </c>
      <c r="V50" s="51"/>
      <c r="W50" s="37"/>
      <c r="X50" s="50">
        <f t="shared" si="18"/>
        <v>3437161</v>
      </c>
      <c r="Y50" s="213">
        <v>175554</v>
      </c>
      <c r="Z50" s="217">
        <f t="shared" si="19"/>
        <v>3612715</v>
      </c>
      <c r="AA50" s="209">
        <v>3825532</v>
      </c>
      <c r="AB50" s="35">
        <f t="shared" si="20"/>
        <v>-7.0292796716072026E-2</v>
      </c>
      <c r="AC50" s="35">
        <f t="shared" si="21"/>
        <v>-5.5630693979294876E-2</v>
      </c>
      <c r="AD50" s="56">
        <f t="shared" si="22"/>
        <v>-212817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10" customFormat="1" ht="14.25" thickBot="1" x14ac:dyDescent="0.3">
      <c r="A51" s="61" t="s">
        <v>64</v>
      </c>
      <c r="B51" s="60">
        <v>6</v>
      </c>
      <c r="C51" s="59"/>
      <c r="D51" s="58">
        <v>11056520</v>
      </c>
      <c r="E51" s="57">
        <v>149115</v>
      </c>
      <c r="F51" s="57">
        <v>256532</v>
      </c>
      <c r="G51" s="44">
        <f t="shared" si="12"/>
        <v>11462167</v>
      </c>
      <c r="H51" s="56">
        <v>256532</v>
      </c>
      <c r="I51" s="52"/>
      <c r="J51" s="52"/>
      <c r="K51" s="55">
        <v>241972</v>
      </c>
      <c r="L51" s="50">
        <f t="shared" si="13"/>
        <v>11447607</v>
      </c>
      <c r="M51" s="226"/>
      <c r="N51" s="226"/>
      <c r="O51" s="230">
        <v>128000</v>
      </c>
      <c r="P51" s="50">
        <f t="shared" si="14"/>
        <v>11575607</v>
      </c>
      <c r="Q51" s="53">
        <f t="shared" si="15"/>
        <v>1.1181376160100535E-2</v>
      </c>
      <c r="R51" s="40">
        <f t="shared" si="23"/>
        <v>-626728</v>
      </c>
      <c r="S51" s="37">
        <f t="shared" si="16"/>
        <v>-5.4142128356638231E-2</v>
      </c>
      <c r="T51" s="64">
        <f>'Weighted Cases Calc'!J49</f>
        <v>-463619</v>
      </c>
      <c r="U51" s="37">
        <f t="shared" si="17"/>
        <v>-4.0051377003383064E-2</v>
      </c>
      <c r="V51" s="51"/>
      <c r="W51" s="37"/>
      <c r="X51" s="50">
        <f t="shared" si="18"/>
        <v>10485260</v>
      </c>
      <c r="Y51" s="213">
        <v>418041</v>
      </c>
      <c r="Z51" s="217">
        <f t="shared" si="19"/>
        <v>10903301</v>
      </c>
      <c r="AA51" s="209">
        <v>11914689</v>
      </c>
      <c r="AB51" s="35">
        <f t="shared" si="20"/>
        <v>-9.4193505360021246E-2</v>
      </c>
      <c r="AC51" s="35">
        <f t="shared" si="21"/>
        <v>-8.4885807762166476E-2</v>
      </c>
      <c r="AD51" s="56">
        <f t="shared" si="22"/>
        <v>-1011388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10" customFormat="1" ht="14.25" thickBot="1" x14ac:dyDescent="0.3">
      <c r="A52" s="61" t="s">
        <v>58</v>
      </c>
      <c r="B52" s="60">
        <v>6</v>
      </c>
      <c r="C52" s="59"/>
      <c r="D52" s="58">
        <v>6297272</v>
      </c>
      <c r="E52" s="57">
        <v>84928</v>
      </c>
      <c r="F52" s="57">
        <v>146108</v>
      </c>
      <c r="G52" s="44">
        <f t="shared" si="12"/>
        <v>6528308</v>
      </c>
      <c r="H52" s="56">
        <v>146108</v>
      </c>
      <c r="I52" s="52"/>
      <c r="J52" s="52"/>
      <c r="K52" s="55">
        <v>124614</v>
      </c>
      <c r="L52" s="50">
        <f t="shared" si="13"/>
        <v>6506814</v>
      </c>
      <c r="M52" s="226"/>
      <c r="N52" s="226"/>
      <c r="O52" s="230">
        <v>98000</v>
      </c>
      <c r="P52" s="50">
        <f t="shared" si="14"/>
        <v>6604814</v>
      </c>
      <c r="Q52" s="53">
        <f t="shared" si="15"/>
        <v>1.5061134373904033E-2</v>
      </c>
      <c r="R52" s="40">
        <f t="shared" si="23"/>
        <v>-357599</v>
      </c>
      <c r="S52" s="37">
        <f t="shared" si="16"/>
        <v>-5.4142175691851431E-2</v>
      </c>
      <c r="T52" s="64">
        <f>'Weighted Cases Calc'!J50</f>
        <v>-288202</v>
      </c>
      <c r="U52" s="37">
        <f t="shared" si="17"/>
        <v>-4.3635142488493997E-2</v>
      </c>
      <c r="V52" s="51"/>
      <c r="W52" s="37"/>
      <c r="X52" s="50">
        <f t="shared" si="18"/>
        <v>5959013</v>
      </c>
      <c r="Y52" s="213">
        <v>241522</v>
      </c>
      <c r="Z52" s="217">
        <f t="shared" si="19"/>
        <v>6200535</v>
      </c>
      <c r="AA52" s="209">
        <v>6755617</v>
      </c>
      <c r="AB52" s="35">
        <f t="shared" si="20"/>
        <v>-9.7777318180345407E-2</v>
      </c>
      <c r="AC52" s="35">
        <f t="shared" si="21"/>
        <v>-8.2165996088884308E-2</v>
      </c>
      <c r="AD52" s="56">
        <f t="shared" si="22"/>
        <v>-555082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10" customFormat="1" ht="14.25" thickBot="1" x14ac:dyDescent="0.3">
      <c r="A53" s="61" t="s">
        <v>53</v>
      </c>
      <c r="B53" s="60">
        <v>6</v>
      </c>
      <c r="C53" s="59"/>
      <c r="D53" s="58">
        <v>6681750</v>
      </c>
      <c r="E53" s="57">
        <v>90113</v>
      </c>
      <c r="F53" s="57">
        <v>155029</v>
      </c>
      <c r="G53" s="44">
        <f t="shared" si="12"/>
        <v>6926892</v>
      </c>
      <c r="H53" s="56">
        <v>155029</v>
      </c>
      <c r="I53" s="52"/>
      <c r="J53" s="52"/>
      <c r="K53" s="55">
        <v>140188</v>
      </c>
      <c r="L53" s="50">
        <f t="shared" si="13"/>
        <v>6912051</v>
      </c>
      <c r="M53" s="226"/>
      <c r="N53" s="226"/>
      <c r="O53" s="230">
        <v>91312</v>
      </c>
      <c r="P53" s="50">
        <f t="shared" si="14"/>
        <v>7003363</v>
      </c>
      <c r="Q53" s="53">
        <f t="shared" si="15"/>
        <v>1.3210550674466956E-2</v>
      </c>
      <c r="R53" s="40">
        <f t="shared" si="23"/>
        <v>-379177</v>
      </c>
      <c r="S53" s="37">
        <f t="shared" si="16"/>
        <v>-5.4142131430285706E-2</v>
      </c>
      <c r="T53" s="64">
        <f>'Weighted Cases Calc'!J51</f>
        <v>-224232</v>
      </c>
      <c r="U53" s="37">
        <f t="shared" si="17"/>
        <v>-3.2017760610152581E-2</v>
      </c>
      <c r="V53" s="51"/>
      <c r="W53" s="37"/>
      <c r="X53" s="50">
        <f t="shared" si="18"/>
        <v>6399954</v>
      </c>
      <c r="Y53" s="213">
        <v>285844</v>
      </c>
      <c r="Z53" s="217">
        <f t="shared" si="19"/>
        <v>6685798</v>
      </c>
      <c r="AA53" s="209">
        <v>7214584</v>
      </c>
      <c r="AB53" s="35">
        <f t="shared" si="20"/>
        <v>-8.615989204043828E-2</v>
      </c>
      <c r="AC53" s="35">
        <f t="shared" si="21"/>
        <v>-7.3294038852413368E-2</v>
      </c>
      <c r="AD53" s="56">
        <f t="shared" si="22"/>
        <v>-528786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10" customFormat="1" ht="14.25" thickBot="1" x14ac:dyDescent="0.3">
      <c r="A54" s="61" t="s">
        <v>35</v>
      </c>
      <c r="B54" s="60">
        <v>6</v>
      </c>
      <c r="C54" s="59"/>
      <c r="D54" s="58">
        <v>5961448</v>
      </c>
      <c r="E54" s="57">
        <v>80399</v>
      </c>
      <c r="F54" s="57">
        <v>138317</v>
      </c>
      <c r="G54" s="44">
        <f t="shared" si="12"/>
        <v>6180164</v>
      </c>
      <c r="H54" s="56">
        <v>138317</v>
      </c>
      <c r="I54" s="52"/>
      <c r="J54" s="52"/>
      <c r="K54" s="55">
        <v>133667</v>
      </c>
      <c r="L54" s="50">
        <f t="shared" si="13"/>
        <v>6175514</v>
      </c>
      <c r="M54" s="226"/>
      <c r="N54" s="226"/>
      <c r="O54" s="230">
        <v>80487</v>
      </c>
      <c r="P54" s="50">
        <f t="shared" si="14"/>
        <v>6256001</v>
      </c>
      <c r="Q54" s="53">
        <f t="shared" si="15"/>
        <v>1.3033247111090673E-2</v>
      </c>
      <c r="R54" s="40">
        <f t="shared" si="23"/>
        <v>-338713</v>
      </c>
      <c r="S54" s="37">
        <f t="shared" si="16"/>
        <v>-5.4142094926135718E-2</v>
      </c>
      <c r="T54" s="64">
        <f>'Weighted Cases Calc'!J52</f>
        <v>-254911</v>
      </c>
      <c r="U54" s="37">
        <f t="shared" si="17"/>
        <v>-4.07466367092972E-2</v>
      </c>
      <c r="V54" s="51"/>
      <c r="W54" s="37"/>
      <c r="X54" s="50">
        <f t="shared" si="18"/>
        <v>5662377</v>
      </c>
      <c r="Y54" s="213">
        <v>210560</v>
      </c>
      <c r="Z54" s="217">
        <f t="shared" si="19"/>
        <v>5872937</v>
      </c>
      <c r="AA54" s="209">
        <v>6393945</v>
      </c>
      <c r="AB54" s="35">
        <f t="shared" si="20"/>
        <v>-9.4888731635432877E-2</v>
      </c>
      <c r="AC54" s="35">
        <f t="shared" si="21"/>
        <v>-8.148459206327241E-2</v>
      </c>
      <c r="AD54" s="56">
        <f t="shared" si="22"/>
        <v>-521008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10" customFormat="1" ht="14.25" thickBot="1" x14ac:dyDescent="0.3">
      <c r="A55" s="61" t="s">
        <v>33</v>
      </c>
      <c r="B55" s="60">
        <v>6</v>
      </c>
      <c r="C55" s="59"/>
      <c r="D55" s="58">
        <v>5717230</v>
      </c>
      <c r="E55" s="57">
        <v>77105</v>
      </c>
      <c r="F55" s="57">
        <v>132650</v>
      </c>
      <c r="G55" s="44">
        <f t="shared" si="12"/>
        <v>5926985</v>
      </c>
      <c r="H55" s="56">
        <v>132650</v>
      </c>
      <c r="I55" s="52"/>
      <c r="J55" s="52"/>
      <c r="K55" s="55">
        <v>125299</v>
      </c>
      <c r="L55" s="50">
        <f t="shared" si="13"/>
        <v>5919634</v>
      </c>
      <c r="M55" s="226"/>
      <c r="N55" s="226"/>
      <c r="O55" s="230">
        <v>99505</v>
      </c>
      <c r="P55" s="50">
        <f t="shared" si="14"/>
        <v>6019139</v>
      </c>
      <c r="Q55" s="53">
        <f t="shared" si="15"/>
        <v>1.6809316251646639E-2</v>
      </c>
      <c r="R55" s="40">
        <f t="shared" si="23"/>
        <v>-325889</v>
      </c>
      <c r="S55" s="37">
        <f t="shared" si="16"/>
        <v>-5.4142128965621164E-2</v>
      </c>
      <c r="T55" s="64">
        <f>'Weighted Cases Calc'!J53</f>
        <v>-228568</v>
      </c>
      <c r="U55" s="37">
        <f t="shared" si="17"/>
        <v>-3.797353741124769E-2</v>
      </c>
      <c r="V55" s="51"/>
      <c r="W55" s="37"/>
      <c r="X55" s="50">
        <f t="shared" si="18"/>
        <v>5464682</v>
      </c>
      <c r="Y55" s="213">
        <v>245082</v>
      </c>
      <c r="Z55" s="217">
        <f t="shared" si="19"/>
        <v>5709764</v>
      </c>
      <c r="AA55" s="209">
        <v>6183516</v>
      </c>
      <c r="AB55" s="35">
        <f t="shared" si="20"/>
        <v>-9.2115666376868854E-2</v>
      </c>
      <c r="AC55" s="35">
        <f t="shared" si="21"/>
        <v>-7.6615310771412259E-2</v>
      </c>
      <c r="AD55" s="56">
        <f t="shared" si="22"/>
        <v>-473752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10" customFormat="1" ht="14.25" thickBot="1" x14ac:dyDescent="0.3">
      <c r="A56" s="61" t="s">
        <v>29</v>
      </c>
      <c r="B56" s="60">
        <v>6</v>
      </c>
      <c r="C56" s="59"/>
      <c r="D56" s="58">
        <v>5772112</v>
      </c>
      <c r="E56" s="57">
        <v>77845</v>
      </c>
      <c r="F56" s="57">
        <v>133924</v>
      </c>
      <c r="G56" s="44">
        <f t="shared" si="12"/>
        <v>5983881</v>
      </c>
      <c r="H56" s="56">
        <v>133924</v>
      </c>
      <c r="I56" s="52"/>
      <c r="J56" s="52"/>
      <c r="K56" s="55">
        <v>120279</v>
      </c>
      <c r="L56" s="50">
        <f t="shared" si="13"/>
        <v>5970236</v>
      </c>
      <c r="M56" s="226"/>
      <c r="N56" s="226"/>
      <c r="O56" s="230">
        <v>58807</v>
      </c>
      <c r="P56" s="50">
        <f t="shared" si="14"/>
        <v>6029043</v>
      </c>
      <c r="Q56" s="53">
        <f t="shared" si="15"/>
        <v>9.8500293790731216E-3</v>
      </c>
      <c r="R56" s="40">
        <f t="shared" si="23"/>
        <v>-326425</v>
      </c>
      <c r="S56" s="37">
        <f t="shared" si="16"/>
        <v>-5.4142091870965262E-2</v>
      </c>
      <c r="T56" s="64">
        <f>'Weighted Cases Calc'!J54</f>
        <v>-227969</v>
      </c>
      <c r="U56" s="37">
        <f t="shared" si="17"/>
        <v>-3.7811805289827922E-2</v>
      </c>
      <c r="V56" s="51"/>
      <c r="W56" s="37"/>
      <c r="X56" s="50">
        <f t="shared" si="18"/>
        <v>5474649</v>
      </c>
      <c r="Y56" s="213">
        <v>132169</v>
      </c>
      <c r="Z56" s="217">
        <f t="shared" si="19"/>
        <v>5606818</v>
      </c>
      <c r="AA56" s="209">
        <v>6128008</v>
      </c>
      <c r="AB56" s="35">
        <f t="shared" si="20"/>
        <v>-9.1953897160793163E-2</v>
      </c>
      <c r="AC56" s="35">
        <f t="shared" si="21"/>
        <v>-8.5050476435409306E-2</v>
      </c>
      <c r="AD56" s="56">
        <f t="shared" si="22"/>
        <v>-521190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10" customFormat="1" ht="14.25" thickBot="1" x14ac:dyDescent="0.3">
      <c r="A57" s="61" t="s">
        <v>28</v>
      </c>
      <c r="B57" s="60">
        <v>6</v>
      </c>
      <c r="C57" s="59"/>
      <c r="D57" s="58">
        <v>6391737</v>
      </c>
      <c r="E57" s="57">
        <v>86202</v>
      </c>
      <c r="F57" s="57">
        <v>148300</v>
      </c>
      <c r="G57" s="44">
        <f t="shared" si="12"/>
        <v>6626239</v>
      </c>
      <c r="H57" s="56">
        <v>148300</v>
      </c>
      <c r="I57" s="52"/>
      <c r="J57" s="52"/>
      <c r="K57" s="55">
        <v>142941</v>
      </c>
      <c r="L57" s="50">
        <f t="shared" si="13"/>
        <v>6620880</v>
      </c>
      <c r="M57" s="226"/>
      <c r="N57" s="226"/>
      <c r="O57" s="230">
        <v>78360</v>
      </c>
      <c r="P57" s="50">
        <f t="shared" si="14"/>
        <v>6699240</v>
      </c>
      <c r="Q57" s="53">
        <f t="shared" si="15"/>
        <v>1.1835284735563853E-2</v>
      </c>
      <c r="R57" s="40">
        <f t="shared" si="23"/>
        <v>-362711</v>
      </c>
      <c r="S57" s="37">
        <f t="shared" si="16"/>
        <v>-5.4142111642514673E-2</v>
      </c>
      <c r="T57" s="64">
        <f>'Weighted Cases Calc'!J55</f>
        <v>-267448</v>
      </c>
      <c r="U57" s="37">
        <f t="shared" si="17"/>
        <v>-3.9922140421898601E-2</v>
      </c>
      <c r="V57" s="51"/>
      <c r="W57" s="37"/>
      <c r="X57" s="50">
        <f t="shared" si="18"/>
        <v>6069081</v>
      </c>
      <c r="Y57" s="213">
        <v>212143</v>
      </c>
      <c r="Z57" s="217">
        <f t="shared" si="19"/>
        <v>6281224</v>
      </c>
      <c r="AA57" s="209">
        <v>6842220</v>
      </c>
      <c r="AB57" s="35">
        <f t="shared" si="20"/>
        <v>-9.4064252064413267E-2</v>
      </c>
      <c r="AC57" s="35">
        <f t="shared" si="21"/>
        <v>-8.199034816185391E-2</v>
      </c>
      <c r="AD57" s="56">
        <f t="shared" si="22"/>
        <v>-560996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10" customFormat="1" ht="14.25" thickBot="1" x14ac:dyDescent="0.3">
      <c r="A58" s="61" t="s">
        <v>20</v>
      </c>
      <c r="B58" s="60">
        <v>6</v>
      </c>
      <c r="C58" s="59"/>
      <c r="D58" s="58">
        <v>7068367</v>
      </c>
      <c r="E58" s="57">
        <v>95327</v>
      </c>
      <c r="F58" s="57">
        <v>163999</v>
      </c>
      <c r="G58" s="44">
        <f t="shared" si="12"/>
        <v>7327693</v>
      </c>
      <c r="H58" s="56">
        <v>163999</v>
      </c>
      <c r="I58" s="52"/>
      <c r="J58" s="52"/>
      <c r="K58" s="55">
        <v>154311</v>
      </c>
      <c r="L58" s="50">
        <f t="shared" si="13"/>
        <v>7318005</v>
      </c>
      <c r="M58" s="226"/>
      <c r="N58" s="226"/>
      <c r="O58" s="230">
        <v>126214</v>
      </c>
      <c r="P58" s="50">
        <f t="shared" si="14"/>
        <v>7444219</v>
      </c>
      <c r="Q58" s="53">
        <f t="shared" si="15"/>
        <v>1.7247050254816716E-2</v>
      </c>
      <c r="R58" s="40">
        <f t="shared" si="23"/>
        <v>-403046</v>
      </c>
      <c r="S58" s="37">
        <f t="shared" si="16"/>
        <v>-5.4142147080842196E-2</v>
      </c>
      <c r="T58" s="64">
        <f>'Weighted Cases Calc'!J56</f>
        <v>-280124</v>
      </c>
      <c r="U58" s="37">
        <f t="shared" si="17"/>
        <v>-3.7629736578142045E-2</v>
      </c>
      <c r="V58" s="51"/>
      <c r="W58" s="37"/>
      <c r="X58" s="50">
        <f t="shared" si="18"/>
        <v>6761049</v>
      </c>
      <c r="Y58" s="213">
        <v>279419</v>
      </c>
      <c r="Z58" s="217">
        <f t="shared" si="19"/>
        <v>7040468</v>
      </c>
      <c r="AA58" s="209">
        <v>7601335</v>
      </c>
      <c r="AB58" s="35">
        <f t="shared" si="20"/>
        <v>-9.1771883658984255E-2</v>
      </c>
      <c r="AC58" s="35">
        <f t="shared" si="21"/>
        <v>-7.3785328498217728E-2</v>
      </c>
      <c r="AD58" s="56">
        <f t="shared" si="22"/>
        <v>-560867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10" customFormat="1" ht="14.25" thickBot="1" x14ac:dyDescent="0.3">
      <c r="A59" s="61" t="s">
        <v>18</v>
      </c>
      <c r="B59" s="60">
        <v>6</v>
      </c>
      <c r="C59" s="59"/>
      <c r="D59" s="58">
        <v>11345602</v>
      </c>
      <c r="E59" s="57">
        <v>153012</v>
      </c>
      <c r="F59" s="57">
        <v>263239</v>
      </c>
      <c r="G59" s="44">
        <f t="shared" si="12"/>
        <v>11761853</v>
      </c>
      <c r="H59" s="56">
        <v>263239</v>
      </c>
      <c r="I59" s="52"/>
      <c r="J59" s="52"/>
      <c r="K59" s="55">
        <v>242102</v>
      </c>
      <c r="L59" s="50">
        <f t="shared" si="13"/>
        <v>11740716</v>
      </c>
      <c r="M59" s="226"/>
      <c r="N59" s="226"/>
      <c r="O59" s="230">
        <v>198453</v>
      </c>
      <c r="P59" s="50">
        <f t="shared" si="14"/>
        <v>11939169</v>
      </c>
      <c r="Q59" s="53">
        <f t="shared" si="15"/>
        <v>1.6902972527399522E-2</v>
      </c>
      <c r="R59" s="40">
        <f t="shared" si="23"/>
        <v>-646412</v>
      </c>
      <c r="S59" s="37">
        <f t="shared" si="16"/>
        <v>-5.4142126642147376E-2</v>
      </c>
      <c r="T59" s="64">
        <f>'Weighted Cases Calc'!J57</f>
        <v>-526241</v>
      </c>
      <c r="U59" s="37">
        <f t="shared" si="17"/>
        <v>-4.4076853255029726E-2</v>
      </c>
      <c r="V59" s="51"/>
      <c r="W59" s="37"/>
      <c r="X59" s="50">
        <f t="shared" si="18"/>
        <v>10766516</v>
      </c>
      <c r="Y59" s="213">
        <v>238183</v>
      </c>
      <c r="Z59" s="217">
        <f t="shared" si="19"/>
        <v>11004699</v>
      </c>
      <c r="AA59" s="209">
        <v>11982501</v>
      </c>
      <c r="AB59" s="35">
        <f t="shared" si="20"/>
        <v>-9.8218979897177094E-2</v>
      </c>
      <c r="AC59" s="35">
        <f t="shared" si="21"/>
        <v>-8.160249684101839E-2</v>
      </c>
      <c r="AD59" s="56">
        <f t="shared" si="22"/>
        <v>-977802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10" customFormat="1" ht="14.25" thickBot="1" x14ac:dyDescent="0.3">
      <c r="A60" s="61" t="s">
        <v>13</v>
      </c>
      <c r="B60" s="60">
        <v>6</v>
      </c>
      <c r="C60" s="59"/>
      <c r="D60" s="58">
        <v>6564061</v>
      </c>
      <c r="E60" s="57">
        <v>88526</v>
      </c>
      <c r="F60" s="57">
        <v>152298</v>
      </c>
      <c r="G60" s="44">
        <f t="shared" si="12"/>
        <v>6804885</v>
      </c>
      <c r="H60" s="56">
        <v>152298</v>
      </c>
      <c r="I60" s="52"/>
      <c r="J60" s="52"/>
      <c r="K60" s="55">
        <v>115801</v>
      </c>
      <c r="L60" s="50">
        <f t="shared" si="13"/>
        <v>6768388</v>
      </c>
      <c r="M60" s="226"/>
      <c r="N60" s="226"/>
      <c r="O60" s="230">
        <v>58291</v>
      </c>
      <c r="P60" s="50">
        <f t="shared" si="14"/>
        <v>6826679</v>
      </c>
      <c r="Q60" s="53">
        <f t="shared" si="15"/>
        <v>8.6122426787589596E-3</v>
      </c>
      <c r="R60" s="40">
        <f t="shared" si="23"/>
        <v>-369611</v>
      </c>
      <c r="S60" s="37">
        <f t="shared" si="16"/>
        <v>-5.4142138512738039E-2</v>
      </c>
      <c r="T60" s="64">
        <f>'Weighted Cases Calc'!J58</f>
        <v>-294903</v>
      </c>
      <c r="U60" s="37">
        <f t="shared" si="17"/>
        <v>-4.3198603596272797E-2</v>
      </c>
      <c r="V60" s="51"/>
      <c r="W60" s="37"/>
      <c r="X60" s="50">
        <f t="shared" si="18"/>
        <v>6162165</v>
      </c>
      <c r="Y60" s="213">
        <v>286925</v>
      </c>
      <c r="Z60" s="217">
        <f t="shared" si="19"/>
        <v>6449090</v>
      </c>
      <c r="AA60" s="209">
        <v>7094770</v>
      </c>
      <c r="AB60" s="35">
        <f t="shared" si="20"/>
        <v>-9.7340742109010892E-2</v>
      </c>
      <c r="AC60" s="35">
        <f t="shared" si="21"/>
        <v>-9.1007883271762124E-2</v>
      </c>
      <c r="AD60" s="56">
        <f t="shared" si="22"/>
        <v>-645680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10" customFormat="1" ht="14.25" thickBot="1" x14ac:dyDescent="0.3">
      <c r="A61" s="61" t="s">
        <v>11</v>
      </c>
      <c r="B61" s="60">
        <v>6</v>
      </c>
      <c r="C61" s="59"/>
      <c r="D61" s="58">
        <v>7937039</v>
      </c>
      <c r="E61" s="57">
        <v>107043</v>
      </c>
      <c r="F61" s="57">
        <v>184154</v>
      </c>
      <c r="G61" s="44">
        <f t="shared" si="12"/>
        <v>8228236</v>
      </c>
      <c r="H61" s="56">
        <v>184154</v>
      </c>
      <c r="I61" s="52"/>
      <c r="J61" s="52"/>
      <c r="K61" s="55">
        <v>176654</v>
      </c>
      <c r="L61" s="50">
        <f t="shared" si="13"/>
        <v>8220736</v>
      </c>
      <c r="M61" s="226"/>
      <c r="N61" s="226"/>
      <c r="O61" s="230">
        <v>101515</v>
      </c>
      <c r="P61" s="50">
        <f t="shared" si="14"/>
        <v>8322251</v>
      </c>
      <c r="Q61" s="53">
        <f t="shared" si="15"/>
        <v>1.2348651021027801E-2</v>
      </c>
      <c r="R61" s="40">
        <f t="shared" si="23"/>
        <v>-450584</v>
      </c>
      <c r="S61" s="37">
        <f t="shared" si="16"/>
        <v>-5.4142082472638714E-2</v>
      </c>
      <c r="T61" s="64">
        <f>'Weighted Cases Calc'!J59</f>
        <v>-322169</v>
      </c>
      <c r="U61" s="37">
        <f t="shared" si="17"/>
        <v>-3.8711761998045963E-2</v>
      </c>
      <c r="V61" s="51"/>
      <c r="W61" s="37"/>
      <c r="X61" s="50">
        <f t="shared" si="18"/>
        <v>7549498</v>
      </c>
      <c r="Y61" s="213">
        <v>345007</v>
      </c>
      <c r="Z61" s="217">
        <f t="shared" si="19"/>
        <v>7894505</v>
      </c>
      <c r="AA61" s="209">
        <v>8577620</v>
      </c>
      <c r="AB61" s="35">
        <f t="shared" si="20"/>
        <v>-9.2853844470684677E-2</v>
      </c>
      <c r="AC61" s="35">
        <f t="shared" si="21"/>
        <v>-7.9639223933911762E-2</v>
      </c>
      <c r="AD61" s="56">
        <f t="shared" si="22"/>
        <v>-683115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10" customFormat="1" ht="14.25" thickBot="1" x14ac:dyDescent="0.3">
      <c r="A62" s="61" t="s">
        <v>10</v>
      </c>
      <c r="B62" s="60">
        <v>6</v>
      </c>
      <c r="C62" s="59"/>
      <c r="D62" s="58">
        <v>8586400</v>
      </c>
      <c r="E62" s="57">
        <v>115800</v>
      </c>
      <c r="F62" s="57">
        <v>199220</v>
      </c>
      <c r="G62" s="44">
        <f t="shared" si="12"/>
        <v>8901420</v>
      </c>
      <c r="H62" s="56">
        <v>199220</v>
      </c>
      <c r="I62" s="52"/>
      <c r="J62" s="52"/>
      <c r="K62" s="55">
        <v>171148</v>
      </c>
      <c r="L62" s="50">
        <f t="shared" si="13"/>
        <v>8873348</v>
      </c>
      <c r="M62" s="226"/>
      <c r="N62" s="226"/>
      <c r="O62" s="230">
        <v>102743</v>
      </c>
      <c r="P62" s="50">
        <f t="shared" si="14"/>
        <v>8976091</v>
      </c>
      <c r="Q62" s="53">
        <f t="shared" si="15"/>
        <v>1.1578831349790406E-2</v>
      </c>
      <c r="R62" s="40">
        <f t="shared" si="23"/>
        <v>-485985</v>
      </c>
      <c r="S62" s="37">
        <f t="shared" si="16"/>
        <v>-5.4142165002560694E-2</v>
      </c>
      <c r="T62" s="64">
        <f>'Weighted Cases Calc'!J60</f>
        <v>-354929</v>
      </c>
      <c r="U62" s="37">
        <f t="shared" si="17"/>
        <v>-3.9541600012744968E-2</v>
      </c>
      <c r="V62" s="51"/>
      <c r="W62" s="37"/>
      <c r="X62" s="50">
        <f t="shared" si="18"/>
        <v>8135177</v>
      </c>
      <c r="Y62" s="213">
        <v>229680</v>
      </c>
      <c r="Z62" s="217">
        <f t="shared" si="19"/>
        <v>8364857</v>
      </c>
      <c r="AA62" s="209">
        <v>9113123</v>
      </c>
      <c r="AB62" s="35">
        <f t="shared" si="20"/>
        <v>-9.368376501530562E-2</v>
      </c>
      <c r="AC62" s="35">
        <f t="shared" si="21"/>
        <v>-8.2108625111281808E-2</v>
      </c>
      <c r="AD62" s="56">
        <f t="shared" si="22"/>
        <v>-748266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0" customFormat="1" ht="14.25" thickBot="1" x14ac:dyDescent="0.3">
      <c r="A63" s="61" t="s">
        <v>54</v>
      </c>
      <c r="B63" s="60">
        <v>7</v>
      </c>
      <c r="C63" s="59"/>
      <c r="D63" s="58">
        <v>18798035</v>
      </c>
      <c r="E63" s="57">
        <v>253519</v>
      </c>
      <c r="F63" s="57">
        <v>436149</v>
      </c>
      <c r="G63" s="44">
        <f t="shared" si="12"/>
        <v>19487703</v>
      </c>
      <c r="H63" s="56">
        <v>436149</v>
      </c>
      <c r="I63" s="52"/>
      <c r="J63" s="52">
        <v>185075</v>
      </c>
      <c r="K63" s="55">
        <v>383829</v>
      </c>
      <c r="L63" s="50">
        <f t="shared" si="13"/>
        <v>19250308</v>
      </c>
      <c r="M63" s="226"/>
      <c r="N63" s="226"/>
      <c r="O63" s="230">
        <v>331044</v>
      </c>
      <c r="P63" s="50">
        <f t="shared" si="14"/>
        <v>19581352</v>
      </c>
      <c r="Q63" s="53">
        <f t="shared" si="15"/>
        <v>1.7196815760038748E-2</v>
      </c>
      <c r="R63" s="40">
        <f t="shared" si="23"/>
        <v>-1060176</v>
      </c>
      <c r="S63" s="37">
        <f t="shared" si="16"/>
        <v>-5.4142124609168965E-2</v>
      </c>
      <c r="T63" s="64">
        <f>'Weighted Cases Calc'!J61</f>
        <v>-558080</v>
      </c>
      <c r="U63" s="37">
        <f t="shared" si="17"/>
        <v>-2.8500585659253765E-2</v>
      </c>
      <c r="V63" s="51"/>
      <c r="W63" s="37"/>
      <c r="X63" s="50">
        <f t="shared" si="18"/>
        <v>17963096</v>
      </c>
      <c r="Y63" s="213">
        <v>447095</v>
      </c>
      <c r="Z63" s="217">
        <f t="shared" si="19"/>
        <v>18410191</v>
      </c>
      <c r="AA63" s="209">
        <v>19934446</v>
      </c>
      <c r="AB63" s="35">
        <f t="shared" si="20"/>
        <v>-8.2642710268422737E-2</v>
      </c>
      <c r="AC63" s="35">
        <f t="shared" si="21"/>
        <v>-7.6463374000962925E-2</v>
      </c>
      <c r="AD63" s="56">
        <f t="shared" si="22"/>
        <v>-1524255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10" customFormat="1" ht="14.25" thickBot="1" x14ac:dyDescent="0.3">
      <c r="A64" s="61" t="s">
        <v>34</v>
      </c>
      <c r="B64" s="60">
        <v>7</v>
      </c>
      <c r="C64" s="59"/>
      <c r="D64" s="58">
        <v>11431052</v>
      </c>
      <c r="E64" s="57">
        <v>154165</v>
      </c>
      <c r="F64" s="57">
        <v>265222</v>
      </c>
      <c r="G64" s="44">
        <f t="shared" si="12"/>
        <v>11850439</v>
      </c>
      <c r="H64" s="56">
        <v>265222</v>
      </c>
      <c r="I64" s="52">
        <v>250797</v>
      </c>
      <c r="J64" s="52"/>
      <c r="K64" s="55">
        <v>241586</v>
      </c>
      <c r="L64" s="50">
        <f t="shared" si="13"/>
        <v>11576006</v>
      </c>
      <c r="M64" s="226"/>
      <c r="N64" s="226"/>
      <c r="O64" s="230">
        <v>125000</v>
      </c>
      <c r="P64" s="50">
        <f t="shared" si="14"/>
        <v>11701006</v>
      </c>
      <c r="Q64" s="53">
        <f t="shared" si="15"/>
        <v>1.0798197582136706E-2</v>
      </c>
      <c r="R64" s="40">
        <f t="shared" si="23"/>
        <v>-633517</v>
      </c>
      <c r="S64" s="37">
        <f t="shared" si="16"/>
        <v>-5.4142096841929659E-2</v>
      </c>
      <c r="T64" s="64">
        <f>'Weighted Cases Calc'!J62</f>
        <v>-358412</v>
      </c>
      <c r="U64" s="37">
        <f t="shared" si="17"/>
        <v>-3.0630870542242266E-2</v>
      </c>
      <c r="V64" s="51"/>
      <c r="W64" s="37"/>
      <c r="X64" s="50">
        <f t="shared" si="18"/>
        <v>10709077</v>
      </c>
      <c r="Y64" s="213">
        <v>265965</v>
      </c>
      <c r="Z64" s="217">
        <f t="shared" si="19"/>
        <v>10975042</v>
      </c>
      <c r="AA64" s="209">
        <v>12103121</v>
      </c>
      <c r="AB64" s="35">
        <f t="shared" si="20"/>
        <v>-8.4772967384171949E-2</v>
      </c>
      <c r="AC64" s="35">
        <f t="shared" si="21"/>
        <v>-9.3205628531682017E-2</v>
      </c>
      <c r="AD64" s="56">
        <f t="shared" si="22"/>
        <v>-1128079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10" customFormat="1" ht="14.25" thickBot="1" x14ac:dyDescent="0.3">
      <c r="A65" s="61" t="s">
        <v>17</v>
      </c>
      <c r="B65" s="60">
        <v>7</v>
      </c>
      <c r="C65" s="59"/>
      <c r="D65" s="58">
        <v>22333132</v>
      </c>
      <c r="E65" s="57">
        <v>301195</v>
      </c>
      <c r="F65" s="57">
        <v>518170</v>
      </c>
      <c r="G65" s="44">
        <f t="shared" si="12"/>
        <v>23152497</v>
      </c>
      <c r="H65" s="56">
        <v>518170</v>
      </c>
      <c r="I65" s="52"/>
      <c r="J65" s="52"/>
      <c r="K65" s="55">
        <v>425497</v>
      </c>
      <c r="L65" s="50">
        <f t="shared" si="13"/>
        <v>23059824</v>
      </c>
      <c r="M65" s="226"/>
      <c r="N65" s="226"/>
      <c r="O65" s="230">
        <v>206999.99000000002</v>
      </c>
      <c r="P65" s="50">
        <f t="shared" si="14"/>
        <v>23266823.989999998</v>
      </c>
      <c r="Q65" s="53">
        <f t="shared" si="15"/>
        <v>8.97665090592192E-3</v>
      </c>
      <c r="R65" s="40">
        <f t="shared" si="23"/>
        <v>-1259715</v>
      </c>
      <c r="S65" s="37">
        <f t="shared" si="16"/>
        <v>-5.4142112414716385E-2</v>
      </c>
      <c r="T65" s="64">
        <f>'Weighted Cases Calc'!J63</f>
        <v>-967184</v>
      </c>
      <c r="U65" s="37">
        <f t="shared" si="17"/>
        <v>-4.1569231813318931E-2</v>
      </c>
      <c r="V65" s="51"/>
      <c r="W65" s="37"/>
      <c r="X65" s="50">
        <f t="shared" si="18"/>
        <v>21039924.989999998</v>
      </c>
      <c r="Y65" s="213">
        <v>596029</v>
      </c>
      <c r="Z65" s="217">
        <f t="shared" si="19"/>
        <v>21635953.989999998</v>
      </c>
      <c r="AA65" s="209">
        <v>23778232</v>
      </c>
      <c r="AB65" s="35">
        <f t="shared" si="20"/>
        <v>-9.5711344228035289E-2</v>
      </c>
      <c r="AC65" s="35">
        <f t="shared" si="21"/>
        <v>-9.0094083109290901E-2</v>
      </c>
      <c r="AD65" s="56">
        <f t="shared" si="22"/>
        <v>-2142278.0100000016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10" customFormat="1" ht="14.25" thickBot="1" x14ac:dyDescent="0.3">
      <c r="A66" s="61" t="s">
        <v>16</v>
      </c>
      <c r="B66" s="60">
        <v>7</v>
      </c>
      <c r="C66" s="59"/>
      <c r="D66" s="58">
        <v>11904163</v>
      </c>
      <c r="E66" s="57">
        <v>160545</v>
      </c>
      <c r="F66" s="57">
        <v>276199</v>
      </c>
      <c r="G66" s="44">
        <f t="shared" si="12"/>
        <v>12340907</v>
      </c>
      <c r="H66" s="56">
        <v>276199</v>
      </c>
      <c r="I66" s="52"/>
      <c r="J66" s="52"/>
      <c r="K66" s="55">
        <v>247167</v>
      </c>
      <c r="L66" s="50">
        <f t="shared" si="13"/>
        <v>12311875</v>
      </c>
      <c r="M66" s="226"/>
      <c r="N66" s="226"/>
      <c r="O66" s="230">
        <v>188668</v>
      </c>
      <c r="P66" s="50">
        <f t="shared" si="14"/>
        <v>12500543</v>
      </c>
      <c r="Q66" s="53">
        <f t="shared" si="15"/>
        <v>1.5324067211533581E-2</v>
      </c>
      <c r="R66" s="40">
        <f t="shared" si="23"/>
        <v>-676806</v>
      </c>
      <c r="S66" s="37">
        <f t="shared" si="16"/>
        <v>-5.4142128065956814E-2</v>
      </c>
      <c r="T66" s="64">
        <f>'Weighted Cases Calc'!J64</f>
        <v>-350886</v>
      </c>
      <c r="U66" s="37">
        <f t="shared" si="17"/>
        <v>-2.8069660653941193E-2</v>
      </c>
      <c r="V66" s="51"/>
      <c r="W66" s="37"/>
      <c r="X66" s="50">
        <f t="shared" si="18"/>
        <v>11472851</v>
      </c>
      <c r="Y66" s="213">
        <v>350062</v>
      </c>
      <c r="Z66" s="217">
        <f t="shared" si="19"/>
        <v>11822913</v>
      </c>
      <c r="AA66" s="209">
        <v>12687574</v>
      </c>
      <c r="AB66" s="35">
        <f t="shared" si="20"/>
        <v>-8.2211788719897982E-2</v>
      </c>
      <c r="AC66" s="35">
        <f t="shared" si="21"/>
        <v>-6.8150223202639082E-2</v>
      </c>
      <c r="AD66" s="56">
        <f t="shared" si="22"/>
        <v>-864661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10" customFormat="1" ht="14.25" thickBot="1" x14ac:dyDescent="0.3">
      <c r="A67" s="61" t="s">
        <v>5</v>
      </c>
      <c r="B67" s="60">
        <v>7</v>
      </c>
      <c r="C67" s="59"/>
      <c r="D67" s="58">
        <v>11240871</v>
      </c>
      <c r="E67" s="57">
        <v>151600</v>
      </c>
      <c r="F67" s="57">
        <v>260809</v>
      </c>
      <c r="G67" s="44">
        <f t="shared" si="12"/>
        <v>11653280</v>
      </c>
      <c r="H67" s="56">
        <v>260809</v>
      </c>
      <c r="I67" s="52"/>
      <c r="J67" s="52"/>
      <c r="K67" s="55">
        <v>234575</v>
      </c>
      <c r="L67" s="50">
        <f t="shared" si="13"/>
        <v>11627046</v>
      </c>
      <c r="M67" s="226"/>
      <c r="N67" s="226"/>
      <c r="O67" s="230">
        <v>135000</v>
      </c>
      <c r="P67" s="50">
        <f t="shared" si="14"/>
        <v>11762046</v>
      </c>
      <c r="Q67" s="53">
        <f t="shared" si="15"/>
        <v>1.1610859714496701E-2</v>
      </c>
      <c r="R67" s="40">
        <f t="shared" si="23"/>
        <v>-636822</v>
      </c>
      <c r="S67" s="37">
        <f t="shared" si="16"/>
        <v>-5.4142110989873697E-2</v>
      </c>
      <c r="T67" s="64">
        <f>'Weighted Cases Calc'!J65</f>
        <v>-367979</v>
      </c>
      <c r="U67" s="37">
        <f t="shared" si="17"/>
        <v>-3.1285288290829674E-2</v>
      </c>
      <c r="V67" s="51"/>
      <c r="W67" s="37"/>
      <c r="X67" s="50">
        <f t="shared" si="18"/>
        <v>10757245</v>
      </c>
      <c r="Y67" s="213">
        <v>279691</v>
      </c>
      <c r="Z67" s="217">
        <f t="shared" si="19"/>
        <v>11036936</v>
      </c>
      <c r="AA67" s="209">
        <v>11929346</v>
      </c>
      <c r="AB67" s="35">
        <f t="shared" si="20"/>
        <v>-8.542739928070342E-2</v>
      </c>
      <c r="AC67" s="35">
        <f t="shared" si="21"/>
        <v>-7.4807956781536844E-2</v>
      </c>
      <c r="AD67" s="56">
        <f t="shared" si="22"/>
        <v>-892410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10" customFormat="1" ht="14.25" thickBot="1" x14ac:dyDescent="0.3">
      <c r="A68" s="61" t="s">
        <v>63</v>
      </c>
      <c r="B68" s="60">
        <v>8</v>
      </c>
      <c r="C68" s="59"/>
      <c r="D68" s="58">
        <v>38880976</v>
      </c>
      <c r="E68" s="57">
        <v>524367</v>
      </c>
      <c r="F68" s="57">
        <v>902111</v>
      </c>
      <c r="G68" s="44">
        <f t="shared" si="12"/>
        <v>40307454</v>
      </c>
      <c r="H68" s="56">
        <v>902111</v>
      </c>
      <c r="I68" s="52"/>
      <c r="J68" s="52">
        <f>1268706-72762</f>
        <v>1195944</v>
      </c>
      <c r="K68" s="55">
        <v>809511</v>
      </c>
      <c r="L68" s="50">
        <f t="shared" si="13"/>
        <v>39018910</v>
      </c>
      <c r="M68" s="226"/>
      <c r="N68" s="226"/>
      <c r="O68" s="230">
        <v>360688</v>
      </c>
      <c r="P68" s="50">
        <f t="shared" si="14"/>
        <v>39379598</v>
      </c>
      <c r="Q68" s="53">
        <f t="shared" si="15"/>
        <v>9.2439281363831029E-3</v>
      </c>
      <c r="R68" s="40">
        <f t="shared" si="23"/>
        <v>-2132095</v>
      </c>
      <c r="S68" s="37">
        <f t="shared" si="16"/>
        <v>-5.4142122019630569E-2</v>
      </c>
      <c r="T68" s="64">
        <f>'Weighted Cases Calc'!J66</f>
        <v>-1358915</v>
      </c>
      <c r="U68" s="37">
        <f t="shared" si="17"/>
        <v>-3.4508097314756743E-2</v>
      </c>
      <c r="V68" s="51"/>
      <c r="W68" s="37"/>
      <c r="X68" s="50">
        <f t="shared" si="18"/>
        <v>35888588</v>
      </c>
      <c r="Y68" s="213">
        <v>852355</v>
      </c>
      <c r="Z68" s="217">
        <f t="shared" si="19"/>
        <v>36740943</v>
      </c>
      <c r="AA68" s="209">
        <v>41089567</v>
      </c>
      <c r="AB68" s="35">
        <f t="shared" si="20"/>
        <v>-8.8650219334387326E-2</v>
      </c>
      <c r="AC68" s="35">
        <f t="shared" si="21"/>
        <v>-0.10583280179126731</v>
      </c>
      <c r="AD68" s="56">
        <f t="shared" si="22"/>
        <v>-4348624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10" customFormat="1" ht="14.25" thickBot="1" x14ac:dyDescent="0.3">
      <c r="A69" s="61" t="s">
        <v>41</v>
      </c>
      <c r="B69" s="60">
        <v>8</v>
      </c>
      <c r="C69" s="59"/>
      <c r="D69" s="58">
        <v>28825309</v>
      </c>
      <c r="E69" s="57">
        <v>388752</v>
      </c>
      <c r="F69" s="57">
        <v>668801</v>
      </c>
      <c r="G69" s="44">
        <f t="shared" si="12"/>
        <v>29882862</v>
      </c>
      <c r="H69" s="56">
        <v>668801</v>
      </c>
      <c r="I69" s="52"/>
      <c r="J69" s="52"/>
      <c r="K69" s="55">
        <v>574885</v>
      </c>
      <c r="L69" s="50">
        <f t="shared" si="13"/>
        <v>29788946</v>
      </c>
      <c r="M69" s="226"/>
      <c r="N69" s="226"/>
      <c r="O69" s="230">
        <v>380661</v>
      </c>
      <c r="P69" s="50">
        <f t="shared" si="14"/>
        <v>30169607</v>
      </c>
      <c r="Q69" s="53">
        <f t="shared" si="15"/>
        <v>1.2778599148825205E-2</v>
      </c>
      <c r="R69" s="40">
        <f t="shared" si="23"/>
        <v>-1633446</v>
      </c>
      <c r="S69" s="37">
        <f t="shared" si="16"/>
        <v>-5.4142104005531128E-2</v>
      </c>
      <c r="T69" s="64">
        <f>'Weighted Cases Calc'!J67</f>
        <v>-1007464</v>
      </c>
      <c r="U69" s="37">
        <f t="shared" si="17"/>
        <v>-3.3393341848967403E-2</v>
      </c>
      <c r="V69" s="51"/>
      <c r="W69" s="37"/>
      <c r="X69" s="50">
        <f t="shared" si="18"/>
        <v>27528697</v>
      </c>
      <c r="Y69" s="213">
        <v>455779</v>
      </c>
      <c r="Z69" s="217">
        <f t="shared" si="19"/>
        <v>27984476</v>
      </c>
      <c r="AA69" s="209">
        <v>30371591</v>
      </c>
      <c r="AB69" s="35">
        <f t="shared" si="20"/>
        <v>-8.7535445854498573E-2</v>
      </c>
      <c r="AC69" s="35">
        <f t="shared" si="21"/>
        <v>-7.8596969121571547E-2</v>
      </c>
      <c r="AD69" s="56">
        <f t="shared" si="22"/>
        <v>-2387115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10" customFormat="1" ht="14.25" thickBot="1" x14ac:dyDescent="0.3">
      <c r="A70" s="61" t="s">
        <v>26</v>
      </c>
      <c r="B70" s="60">
        <v>8</v>
      </c>
      <c r="C70" s="59"/>
      <c r="D70" s="58">
        <v>69013717</v>
      </c>
      <c r="E70" s="57">
        <v>930752</v>
      </c>
      <c r="F70" s="57">
        <v>1601246</v>
      </c>
      <c r="G70" s="44">
        <f t="shared" ref="G70:G72" si="24">F70+E70+D70</f>
        <v>71545715</v>
      </c>
      <c r="H70" s="56">
        <v>1601246</v>
      </c>
      <c r="I70" s="52"/>
      <c r="J70" s="52"/>
      <c r="K70" s="55">
        <v>1394985</v>
      </c>
      <c r="L70" s="50">
        <f t="shared" ref="L70:L72" si="25">G70+K70-H70-I70-J70</f>
        <v>71339454</v>
      </c>
      <c r="M70" s="226"/>
      <c r="N70" s="226"/>
      <c r="O70" s="230">
        <v>831377</v>
      </c>
      <c r="P70" s="50">
        <f t="shared" ref="P70:P72" si="26">L70+O70</f>
        <v>72170831</v>
      </c>
      <c r="Q70" s="53">
        <f t="shared" si="15"/>
        <v>1.1653817815875069E-2</v>
      </c>
      <c r="R70" s="40">
        <f t="shared" si="23"/>
        <v>-3907482</v>
      </c>
      <c r="S70" s="37">
        <f t="shared" ref="S70:S72" si="27">R70/P70</f>
        <v>-5.4142122875098946E-2</v>
      </c>
      <c r="T70" s="64">
        <f>'Weighted Cases Calc'!J68</f>
        <v>-2581090</v>
      </c>
      <c r="U70" s="37">
        <f t="shared" ref="U70:U72" si="28">T70/P70</f>
        <v>-3.5763617575638E-2</v>
      </c>
      <c r="V70" s="51"/>
      <c r="W70" s="37"/>
      <c r="X70" s="50">
        <f t="shared" si="18"/>
        <v>65682259</v>
      </c>
      <c r="Y70" s="213">
        <v>1086987</v>
      </c>
      <c r="Z70" s="217">
        <f t="shared" ref="Z70:Z72" si="29">X70+Y70</f>
        <v>66769246</v>
      </c>
      <c r="AA70" s="209">
        <v>72598440</v>
      </c>
      <c r="AB70" s="35">
        <f t="shared" si="20"/>
        <v>-8.990574045073696E-2</v>
      </c>
      <c r="AC70" s="35">
        <f t="shared" si="21"/>
        <v>-8.0293653692834144E-2</v>
      </c>
      <c r="AD70" s="56">
        <f t="shared" si="22"/>
        <v>-5829194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4.25" thickBot="1" x14ac:dyDescent="0.3">
      <c r="A71" s="61" t="s">
        <v>21</v>
      </c>
      <c r="B71" s="60">
        <v>8</v>
      </c>
      <c r="C71" s="59"/>
      <c r="D71" s="58">
        <v>28007649</v>
      </c>
      <c r="E71" s="57">
        <v>377725</v>
      </c>
      <c r="F71" s="57">
        <v>649829</v>
      </c>
      <c r="G71" s="44">
        <f t="shared" si="24"/>
        <v>29035203</v>
      </c>
      <c r="H71" s="56">
        <v>649829</v>
      </c>
      <c r="I71" s="52">
        <v>120000</v>
      </c>
      <c r="J71" s="52"/>
      <c r="K71" s="55">
        <v>575340</v>
      </c>
      <c r="L71" s="50">
        <f t="shared" si="25"/>
        <v>28840714</v>
      </c>
      <c r="M71" s="226"/>
      <c r="N71" s="226"/>
      <c r="O71" s="230">
        <v>372406</v>
      </c>
      <c r="P71" s="50">
        <f t="shared" si="26"/>
        <v>29213120</v>
      </c>
      <c r="Q71" s="53">
        <f t="shared" si="15"/>
        <v>1.2912509724967281E-2</v>
      </c>
      <c r="R71" s="40">
        <f t="shared" si="23"/>
        <v>-1581660</v>
      </c>
      <c r="S71" s="37">
        <f t="shared" si="27"/>
        <v>-5.4142111489632057E-2</v>
      </c>
      <c r="T71" s="64">
        <f>'Weighted Cases Calc'!J69</f>
        <v>-973211</v>
      </c>
      <c r="U71" s="37">
        <f t="shared" si="28"/>
        <v>-3.3314175274671107E-2</v>
      </c>
      <c r="V71" s="51"/>
      <c r="W71" s="37"/>
      <c r="X71" s="50">
        <f t="shared" si="18"/>
        <v>26658249</v>
      </c>
      <c r="Y71" s="213">
        <v>679256</v>
      </c>
      <c r="Z71" s="217">
        <f t="shared" si="29"/>
        <v>27337505</v>
      </c>
      <c r="AA71" s="209">
        <v>29743534</v>
      </c>
      <c r="AB71" s="35">
        <f t="shared" si="20"/>
        <v>-8.7456286764303171E-2</v>
      </c>
      <c r="AC71" s="35">
        <f t="shared" si="21"/>
        <v>-8.0892505914058499E-2</v>
      </c>
      <c r="AD71" s="56">
        <f t="shared" si="22"/>
        <v>-2406029</v>
      </c>
    </row>
    <row r="72" spans="1:44" ht="14.25" thickBot="1" x14ac:dyDescent="0.3">
      <c r="A72" s="49" t="s">
        <v>19</v>
      </c>
      <c r="B72" s="48">
        <v>8</v>
      </c>
      <c r="C72" s="47"/>
      <c r="D72" s="46">
        <v>29548075</v>
      </c>
      <c r="E72" s="45">
        <v>398499</v>
      </c>
      <c r="F72" s="45">
        <v>685570</v>
      </c>
      <c r="G72" s="44">
        <f t="shared" si="24"/>
        <v>30632144</v>
      </c>
      <c r="H72" s="43">
        <v>685570</v>
      </c>
      <c r="I72" s="39"/>
      <c r="J72" s="39"/>
      <c r="K72" s="42">
        <v>605353</v>
      </c>
      <c r="L72" s="36">
        <f t="shared" si="25"/>
        <v>30551927</v>
      </c>
      <c r="M72" s="227"/>
      <c r="N72" s="227"/>
      <c r="O72" s="231">
        <v>321869</v>
      </c>
      <c r="P72" s="36">
        <f t="shared" si="26"/>
        <v>30873796</v>
      </c>
      <c r="Q72" s="41">
        <f t="shared" si="15"/>
        <v>1.0535145622729459E-2</v>
      </c>
      <c r="R72" s="40">
        <f t="shared" si="23"/>
        <v>-1671573</v>
      </c>
      <c r="S72" s="37">
        <f t="shared" si="27"/>
        <v>-5.4142127518106292E-2</v>
      </c>
      <c r="T72" s="64">
        <f>'Weighted Cases Calc'!J70</f>
        <v>-1136311</v>
      </c>
      <c r="U72" s="37">
        <f t="shared" si="28"/>
        <v>-3.6805030388877349E-2</v>
      </c>
      <c r="V72" s="38"/>
      <c r="W72" s="37"/>
      <c r="X72" s="36">
        <f t="shared" si="18"/>
        <v>28065912</v>
      </c>
      <c r="Y72" s="214">
        <v>755636</v>
      </c>
      <c r="Z72" s="217">
        <f t="shared" si="29"/>
        <v>28821548</v>
      </c>
      <c r="AA72" s="210">
        <v>31433512</v>
      </c>
      <c r="AB72" s="35">
        <f t="shared" si="20"/>
        <v>-9.09471579069836E-2</v>
      </c>
      <c r="AC72" s="35">
        <f t="shared" si="21"/>
        <v>-8.3094882938947401E-2</v>
      </c>
      <c r="AD72" s="43">
        <f t="shared" si="22"/>
        <v>-2611964</v>
      </c>
    </row>
    <row r="73" spans="1:44" ht="14.25" thickBot="1" x14ac:dyDescent="0.3">
      <c r="A73" s="34"/>
      <c r="B73" s="33"/>
      <c r="C73" s="33"/>
      <c r="D73" s="32"/>
      <c r="E73" s="32"/>
      <c r="F73" s="32"/>
      <c r="G73" s="30"/>
      <c r="H73" s="31"/>
      <c r="I73" s="30"/>
      <c r="J73" s="30"/>
      <c r="K73" s="30"/>
      <c r="L73" s="24"/>
      <c r="M73" s="24"/>
      <c r="N73" s="24"/>
      <c r="O73" s="26"/>
      <c r="P73" s="24"/>
      <c r="Q73" s="29"/>
      <c r="R73" s="28"/>
      <c r="S73" s="27"/>
      <c r="T73" s="26"/>
      <c r="U73" s="25"/>
      <c r="V73" s="26"/>
      <c r="W73" s="25"/>
      <c r="X73" s="24"/>
      <c r="Y73" s="32"/>
      <c r="Z73" s="32"/>
      <c r="AA73" s="30"/>
      <c r="AB73" s="23"/>
      <c r="AC73" s="23"/>
      <c r="AD73" s="31"/>
    </row>
    <row r="74" spans="1:44" s="10" customFormat="1" ht="14.25" thickBot="1" x14ac:dyDescent="0.3">
      <c r="A74" s="387" t="s">
        <v>0</v>
      </c>
      <c r="B74" s="388"/>
      <c r="C74" s="21"/>
      <c r="D74" s="20">
        <f t="shared" ref="D74:J74" si="30">D2</f>
        <v>431000000</v>
      </c>
      <c r="E74" s="19">
        <f t="shared" si="30"/>
        <v>5812672</v>
      </c>
      <c r="F74" s="19">
        <f t="shared" si="30"/>
        <v>10000000</v>
      </c>
      <c r="G74" s="18">
        <f t="shared" si="30"/>
        <v>446812672</v>
      </c>
      <c r="H74" s="17">
        <f t="shared" si="30"/>
        <v>10000000</v>
      </c>
      <c r="I74" s="16">
        <f t="shared" si="30"/>
        <v>800743</v>
      </c>
      <c r="J74" s="16">
        <f t="shared" si="30"/>
        <v>1494425</v>
      </c>
      <c r="K74" s="12">
        <f t="shared" ref="K74:P74" si="31">SUM(K6:K72)</f>
        <v>8453579</v>
      </c>
      <c r="L74" s="12">
        <f t="shared" si="31"/>
        <v>442971083</v>
      </c>
      <c r="M74" s="12">
        <f t="shared" si="31"/>
        <v>231587</v>
      </c>
      <c r="N74" s="12">
        <f t="shared" si="31"/>
        <v>-130775</v>
      </c>
      <c r="O74" s="12">
        <f t="shared" si="31"/>
        <v>5420509.9900000002</v>
      </c>
      <c r="P74" s="12">
        <f t="shared" si="31"/>
        <v>448391592.99000001</v>
      </c>
      <c r="Q74" s="15">
        <f>O74/L74</f>
        <v>1.2236712954917647E-2</v>
      </c>
      <c r="R74" s="14">
        <f>SUM(R6:R72)</f>
        <v>-23034957</v>
      </c>
      <c r="S74" s="13">
        <f>R74/$P$74</f>
        <v>-5.1372410544980318E-2</v>
      </c>
      <c r="T74" s="14">
        <f>SUM(T6:T72)</f>
        <v>-15356638</v>
      </c>
      <c r="U74" s="13">
        <f>T74/P74</f>
        <v>-3.4248273696653543E-2</v>
      </c>
      <c r="V74" s="14">
        <f>SUM(V6:V72)</f>
        <v>0</v>
      </c>
      <c r="W74" s="13">
        <f>V74/$P$74</f>
        <v>0</v>
      </c>
      <c r="X74" s="12">
        <f>SUM(X6:X72)</f>
        <v>409999999.99000001</v>
      </c>
      <c r="Y74" s="215">
        <f>SUM(Y6:Y72)</f>
        <v>11700000</v>
      </c>
      <c r="Z74" s="215">
        <f>SUM(Z6:Z72)</f>
        <v>421699999.99000001</v>
      </c>
      <c r="AA74" s="215">
        <f>SUM(AA6:AA72)</f>
        <v>458512672</v>
      </c>
      <c r="AB74" s="11">
        <f>X74/P74-1</f>
        <v>-8.5620679781246989E-2</v>
      </c>
      <c r="AC74" s="35">
        <f t="shared" ref="AC74" si="32">Z74/AA74-1</f>
        <v>-8.0287142009457857E-2</v>
      </c>
      <c r="AD74" s="215">
        <f>SUM(AD6:AD72)</f>
        <v>-36812672.010000005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J75" s="229"/>
      <c r="K75" s="229"/>
      <c r="R75" s="9"/>
      <c r="T75" s="7"/>
      <c r="V75" s="9"/>
      <c r="X75" s="9"/>
      <c r="AD75" s="7"/>
    </row>
    <row r="76" spans="1:44" x14ac:dyDescent="0.25">
      <c r="K76" s="229"/>
    </row>
    <row r="77" spans="1:44" x14ac:dyDescent="0.25">
      <c r="H77" s="7"/>
      <c r="Q77" s="8"/>
      <c r="R77" s="7"/>
      <c r="S77" s="6"/>
      <c r="W77" s="5"/>
      <c r="AD77" s="7"/>
    </row>
  </sheetData>
  <autoFilter ref="A5:AC72" xr:uid="{4EC7684B-053D-43A3-8CD8-BE9A689EFD27}"/>
  <sortState xmlns:xlrd2="http://schemas.microsoft.com/office/spreadsheetml/2017/richdata2" ref="A6:AD72">
    <sortCondition ref="B6"/>
  </sortState>
  <mergeCells count="7">
    <mergeCell ref="A74:B74"/>
    <mergeCell ref="D1:F1"/>
    <mergeCell ref="H1:K1"/>
    <mergeCell ref="R1:W1"/>
    <mergeCell ref="A2:B2"/>
    <mergeCell ref="M3:O3"/>
    <mergeCell ref="M4:O4"/>
  </mergeCells>
  <pageMargins left="0.5" right="0.5" top="0.75" bottom="0.5" header="0.25" footer="0.25"/>
  <pageSetup paperSize="5" scale="79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2B26-80FF-4DDA-9022-61E128AD10AD}">
  <sheetPr>
    <pageSetUpPr fitToPage="1"/>
  </sheetPr>
  <dimension ref="A1:O73"/>
  <sheetViews>
    <sheetView workbookViewId="0">
      <pane xSplit="1" ySplit="3" topLeftCell="B52" activePane="bottomRight" state="frozen"/>
      <selection activeCell="R5" sqref="R5:T75"/>
      <selection pane="topRight" activeCell="R5" sqref="R5:T75"/>
      <selection pane="bottomLeft" activeCell="R5" sqref="R5:T75"/>
      <selection pane="bottomRight" activeCell="I66" sqref="I66"/>
    </sheetView>
  </sheetViews>
  <sheetFormatPr defaultRowHeight="15" x14ac:dyDescent="0.25"/>
  <cols>
    <col min="1" max="1" width="16" style="1" customWidth="1"/>
    <col min="2" max="2" width="7.85546875" style="22" customWidth="1"/>
    <col min="3" max="3" width="11.140625" style="1" customWidth="1"/>
    <col min="4" max="4" width="19.42578125" style="108" bestFit="1" customWidth="1"/>
    <col min="5" max="5" width="16.85546875" style="1" customWidth="1"/>
    <col min="6" max="6" width="25.42578125" style="1" customWidth="1"/>
    <col min="7" max="7" width="18" style="1" bestFit="1" customWidth="1"/>
    <col min="8" max="8" width="16.85546875" style="1" customWidth="1"/>
    <col min="9" max="9" width="22" style="1" customWidth="1"/>
    <col min="10" max="10" width="16.7109375" style="1" customWidth="1"/>
    <col min="11" max="11" width="18" style="1" bestFit="1" customWidth="1"/>
    <col min="13" max="13" width="9.7109375" bestFit="1" customWidth="1"/>
  </cols>
  <sheetData>
    <row r="1" spans="1:15" ht="16.5" thickBot="1" x14ac:dyDescent="0.35">
      <c r="A1" s="140" t="s">
        <v>97</v>
      </c>
      <c r="B1" s="139"/>
      <c r="C1" s="106"/>
      <c r="D1" s="138">
        <f>D72</f>
        <v>425453540.99000001</v>
      </c>
      <c r="E1" s="141">
        <f>F1/D1</f>
        <v>-7.2189490585816751E-2</v>
      </c>
      <c r="F1" s="135">
        <f>J1*2</f>
        <v>-30713274.392000008</v>
      </c>
      <c r="G1" s="137">
        <f>G72</f>
        <v>17417677</v>
      </c>
      <c r="H1" s="134"/>
      <c r="I1" s="136">
        <f>-J1</f>
        <v>15356637.196000004</v>
      </c>
      <c r="J1" s="135">
        <f>'CFY 2020-21 Reductions'!T2</f>
        <v>-15356637.196000004</v>
      </c>
      <c r="K1" s="134"/>
    </row>
    <row r="2" spans="1:15" ht="6" customHeight="1" thickBot="1" x14ac:dyDescent="0.35">
      <c r="A2" s="140"/>
      <c r="B2" s="139"/>
      <c r="C2" s="219"/>
      <c r="D2" s="138"/>
      <c r="E2" s="134"/>
      <c r="F2" s="135"/>
      <c r="G2" s="137"/>
      <c r="H2" s="134"/>
      <c r="I2" s="136"/>
      <c r="J2" s="135"/>
      <c r="K2" s="134"/>
    </row>
    <row r="3" spans="1:15" s="130" customFormat="1" ht="63.75" thickBot="1" x14ac:dyDescent="0.3">
      <c r="A3" s="133" t="s">
        <v>86</v>
      </c>
      <c r="B3" s="133" t="s">
        <v>96</v>
      </c>
      <c r="C3" s="84" t="s">
        <v>84</v>
      </c>
      <c r="D3" s="131" t="s">
        <v>75</v>
      </c>
      <c r="E3" s="131" t="s">
        <v>95</v>
      </c>
      <c r="F3" s="132" t="s">
        <v>123</v>
      </c>
      <c r="G3" s="131" t="s">
        <v>94</v>
      </c>
      <c r="H3" s="131" t="s">
        <v>93</v>
      </c>
      <c r="I3" s="132" t="s">
        <v>125</v>
      </c>
      <c r="J3" s="132" t="s">
        <v>92</v>
      </c>
      <c r="K3" s="131" t="s">
        <v>91</v>
      </c>
      <c r="M3"/>
      <c r="N3"/>
      <c r="O3"/>
    </row>
    <row r="4" spans="1:15" ht="15.75" x14ac:dyDescent="0.25">
      <c r="A4" s="129" t="s">
        <v>62</v>
      </c>
      <c r="B4" s="128">
        <v>1</v>
      </c>
      <c r="C4" s="70" t="s">
        <v>1</v>
      </c>
      <c r="D4" s="127"/>
      <c r="E4" s="118"/>
      <c r="F4" s="116"/>
      <c r="G4" s="126"/>
      <c r="H4" s="118"/>
      <c r="I4" s="117"/>
      <c r="J4" s="116"/>
      <c r="K4" s="115"/>
    </row>
    <row r="5" spans="1:15" ht="15.75" x14ac:dyDescent="0.25">
      <c r="A5" s="125" t="s">
        <v>36</v>
      </c>
      <c r="B5" s="124">
        <v>1</v>
      </c>
      <c r="C5" s="59" t="s">
        <v>1</v>
      </c>
      <c r="D5" s="123"/>
      <c r="E5" s="118"/>
      <c r="F5" s="116"/>
      <c r="G5" s="122"/>
      <c r="H5" s="118"/>
      <c r="I5" s="117"/>
      <c r="J5" s="116"/>
      <c r="K5" s="115"/>
    </row>
    <row r="6" spans="1:15" ht="15.75" x14ac:dyDescent="0.25">
      <c r="A6" s="125" t="s">
        <v>31</v>
      </c>
      <c r="B6" s="124">
        <v>1</v>
      </c>
      <c r="C6" s="59" t="s">
        <v>1</v>
      </c>
      <c r="D6" s="123"/>
      <c r="E6" s="118"/>
      <c r="F6" s="116"/>
      <c r="G6" s="122"/>
      <c r="H6" s="118"/>
      <c r="I6" s="117"/>
      <c r="J6" s="116"/>
      <c r="K6" s="115"/>
    </row>
    <row r="7" spans="1:15" ht="15.75" x14ac:dyDescent="0.25">
      <c r="A7" s="125" t="s">
        <v>6</v>
      </c>
      <c r="B7" s="124">
        <v>1</v>
      </c>
      <c r="C7" s="59" t="s">
        <v>1</v>
      </c>
      <c r="D7" s="123"/>
      <c r="E7" s="118"/>
      <c r="F7" s="116"/>
      <c r="G7" s="122"/>
      <c r="H7" s="118"/>
      <c r="I7" s="117"/>
      <c r="J7" s="116"/>
      <c r="K7" s="115"/>
    </row>
    <row r="8" spans="1:15" ht="15.75" x14ac:dyDescent="0.25">
      <c r="A8" s="125" t="s">
        <v>67</v>
      </c>
      <c r="B8" s="124">
        <v>2</v>
      </c>
      <c r="C8" s="59" t="s">
        <v>1</v>
      </c>
      <c r="D8" s="123"/>
      <c r="E8" s="118"/>
      <c r="F8" s="116"/>
      <c r="G8" s="122"/>
      <c r="H8" s="118"/>
      <c r="I8" s="117"/>
      <c r="J8" s="116"/>
      <c r="K8" s="115"/>
    </row>
    <row r="9" spans="1:15" ht="15.75" x14ac:dyDescent="0.25">
      <c r="A9" s="125" t="s">
        <v>55</v>
      </c>
      <c r="B9" s="124">
        <v>2</v>
      </c>
      <c r="C9" s="59" t="s">
        <v>1</v>
      </c>
      <c r="D9" s="123"/>
      <c r="E9" s="118"/>
      <c r="F9" s="116"/>
      <c r="G9" s="122"/>
      <c r="H9" s="118"/>
      <c r="I9" s="117"/>
      <c r="J9" s="116"/>
      <c r="K9" s="115"/>
    </row>
    <row r="10" spans="1:15" ht="15.75" x14ac:dyDescent="0.25">
      <c r="A10" s="125" t="s">
        <v>51</v>
      </c>
      <c r="B10" s="124">
        <v>2</v>
      </c>
      <c r="C10" s="59" t="s">
        <v>1</v>
      </c>
      <c r="D10" s="123"/>
      <c r="E10" s="118"/>
      <c r="F10" s="116"/>
      <c r="G10" s="122"/>
      <c r="H10" s="118"/>
      <c r="I10" s="117"/>
      <c r="J10" s="116"/>
      <c r="K10" s="115"/>
    </row>
    <row r="11" spans="1:15" ht="15.75" x14ac:dyDescent="0.25">
      <c r="A11" s="125" t="s">
        <v>49</v>
      </c>
      <c r="B11" s="124">
        <v>2</v>
      </c>
      <c r="C11" s="59" t="s">
        <v>1</v>
      </c>
      <c r="D11" s="123"/>
      <c r="E11" s="118"/>
      <c r="F11" s="116"/>
      <c r="G11" s="122"/>
      <c r="H11" s="118"/>
      <c r="I11" s="117"/>
      <c r="J11" s="116"/>
      <c r="K11" s="115"/>
    </row>
    <row r="12" spans="1:15" ht="15.75" x14ac:dyDescent="0.25">
      <c r="A12" s="125" t="s">
        <v>48</v>
      </c>
      <c r="B12" s="124">
        <v>2</v>
      </c>
      <c r="C12" s="59" t="s">
        <v>1</v>
      </c>
      <c r="D12" s="123"/>
      <c r="E12" s="118"/>
      <c r="F12" s="116"/>
      <c r="G12" s="122"/>
      <c r="H12" s="118"/>
      <c r="I12" s="117"/>
      <c r="J12" s="116"/>
      <c r="K12" s="115"/>
    </row>
    <row r="13" spans="1:15" ht="15.75" x14ac:dyDescent="0.25">
      <c r="A13" s="125" t="s">
        <v>47</v>
      </c>
      <c r="B13" s="124">
        <v>2</v>
      </c>
      <c r="C13" s="59" t="s">
        <v>1</v>
      </c>
      <c r="D13" s="123"/>
      <c r="E13" s="118"/>
      <c r="F13" s="116"/>
      <c r="G13" s="122"/>
      <c r="H13" s="118"/>
      <c r="I13" s="117"/>
      <c r="J13" s="116"/>
      <c r="K13" s="115"/>
    </row>
    <row r="14" spans="1:15" ht="15.75" x14ac:dyDescent="0.25">
      <c r="A14" s="125" t="s">
        <v>46</v>
      </c>
      <c r="B14" s="124">
        <v>2</v>
      </c>
      <c r="C14" s="59" t="s">
        <v>1</v>
      </c>
      <c r="D14" s="123"/>
      <c r="E14" s="118"/>
      <c r="F14" s="116"/>
      <c r="G14" s="122"/>
      <c r="H14" s="118"/>
      <c r="I14" s="117"/>
      <c r="J14" s="116"/>
      <c r="K14" s="115"/>
    </row>
    <row r="15" spans="1:15" ht="15.75" x14ac:dyDescent="0.25">
      <c r="A15" s="125" t="s">
        <v>40</v>
      </c>
      <c r="B15" s="124">
        <v>2</v>
      </c>
      <c r="C15" s="59" t="s">
        <v>1</v>
      </c>
      <c r="D15" s="123"/>
      <c r="E15" s="118"/>
      <c r="F15" s="116"/>
      <c r="G15" s="122"/>
      <c r="H15" s="118"/>
      <c r="I15" s="117"/>
      <c r="J15" s="116"/>
      <c r="K15" s="115"/>
    </row>
    <row r="16" spans="1:15" ht="15.75" x14ac:dyDescent="0.25">
      <c r="A16" s="125" t="s">
        <v>37</v>
      </c>
      <c r="B16" s="124">
        <v>2</v>
      </c>
      <c r="C16" s="59" t="s">
        <v>1</v>
      </c>
      <c r="D16" s="123"/>
      <c r="E16" s="118"/>
      <c r="F16" s="116"/>
      <c r="G16" s="122"/>
      <c r="H16" s="118"/>
      <c r="I16" s="117"/>
      <c r="J16" s="116"/>
      <c r="K16" s="115"/>
    </row>
    <row r="17" spans="1:11" ht="15.75" x14ac:dyDescent="0.25">
      <c r="A17" s="125" t="s">
        <v>7</v>
      </c>
      <c r="B17" s="124">
        <v>2</v>
      </c>
      <c r="C17" s="59" t="s">
        <v>1</v>
      </c>
      <c r="D17" s="123"/>
      <c r="E17" s="118"/>
      <c r="F17" s="116"/>
      <c r="G17" s="122"/>
      <c r="H17" s="118"/>
      <c r="I17" s="117"/>
      <c r="J17" s="116"/>
      <c r="K17" s="115"/>
    </row>
    <row r="18" spans="1:11" ht="15.75" x14ac:dyDescent="0.25">
      <c r="A18" s="125" t="s">
        <v>2</v>
      </c>
      <c r="B18" s="124">
        <v>2</v>
      </c>
      <c r="C18" s="59" t="s">
        <v>1</v>
      </c>
      <c r="D18" s="123"/>
      <c r="E18" s="118"/>
      <c r="F18" s="116"/>
      <c r="G18" s="122"/>
      <c r="H18" s="118"/>
      <c r="I18" s="117"/>
      <c r="J18" s="116"/>
      <c r="K18" s="115"/>
    </row>
    <row r="19" spans="1:11" ht="15.75" x14ac:dyDescent="0.25">
      <c r="A19" s="125" t="s">
        <v>65</v>
      </c>
      <c r="B19" s="124">
        <v>3</v>
      </c>
      <c r="C19" s="59" t="s">
        <v>1</v>
      </c>
      <c r="D19" s="123"/>
      <c r="E19" s="118"/>
      <c r="F19" s="116"/>
      <c r="G19" s="122"/>
      <c r="H19" s="118"/>
      <c r="I19" s="117"/>
      <c r="J19" s="116"/>
      <c r="K19" s="115"/>
    </row>
    <row r="20" spans="1:11" ht="15.75" x14ac:dyDescent="0.25">
      <c r="A20" s="125" t="s">
        <v>56</v>
      </c>
      <c r="B20" s="124">
        <v>3</v>
      </c>
      <c r="C20" s="59" t="s">
        <v>1</v>
      </c>
      <c r="D20" s="123"/>
      <c r="E20" s="118"/>
      <c r="F20" s="116"/>
      <c r="G20" s="122"/>
      <c r="H20" s="118"/>
      <c r="I20" s="117"/>
      <c r="J20" s="116"/>
      <c r="K20" s="115"/>
    </row>
    <row r="21" spans="1:11" ht="15.75" x14ac:dyDescent="0.25">
      <c r="A21" s="125" t="s">
        <v>50</v>
      </c>
      <c r="B21" s="124">
        <v>3</v>
      </c>
      <c r="C21" s="59" t="s">
        <v>1</v>
      </c>
      <c r="D21" s="123"/>
      <c r="E21" s="118"/>
      <c r="F21" s="116"/>
      <c r="G21" s="122"/>
      <c r="H21" s="118"/>
      <c r="I21" s="117"/>
      <c r="J21" s="116"/>
      <c r="K21" s="115"/>
    </row>
    <row r="22" spans="1:11" ht="15.75" x14ac:dyDescent="0.25">
      <c r="A22" s="125" t="s">
        <v>45</v>
      </c>
      <c r="B22" s="124">
        <v>3</v>
      </c>
      <c r="C22" s="59" t="s">
        <v>1</v>
      </c>
      <c r="D22" s="123"/>
      <c r="E22" s="118"/>
      <c r="F22" s="116"/>
      <c r="G22" s="122"/>
      <c r="H22" s="118"/>
      <c r="I22" s="117"/>
      <c r="J22" s="116"/>
      <c r="K22" s="115"/>
    </row>
    <row r="23" spans="1:11" ht="15.75" x14ac:dyDescent="0.25">
      <c r="A23" s="125" t="s">
        <v>44</v>
      </c>
      <c r="B23" s="124">
        <v>3</v>
      </c>
      <c r="C23" s="59" t="s">
        <v>1</v>
      </c>
      <c r="D23" s="123"/>
      <c r="E23" s="118"/>
      <c r="F23" s="116"/>
      <c r="G23" s="122"/>
      <c r="H23" s="118"/>
      <c r="I23" s="117"/>
      <c r="J23" s="116"/>
      <c r="K23" s="115"/>
    </row>
    <row r="24" spans="1:11" ht="15.75" x14ac:dyDescent="0.25">
      <c r="A24" s="125" t="s">
        <v>38</v>
      </c>
      <c r="B24" s="124">
        <v>3</v>
      </c>
      <c r="C24" s="59" t="s">
        <v>1</v>
      </c>
      <c r="D24" s="123"/>
      <c r="E24" s="118"/>
      <c r="F24" s="116"/>
      <c r="G24" s="122"/>
      <c r="H24" s="118"/>
      <c r="I24" s="117"/>
      <c r="J24" s="116"/>
      <c r="K24" s="115"/>
    </row>
    <row r="25" spans="1:11" ht="15.75" x14ac:dyDescent="0.25">
      <c r="A25" s="125" t="s">
        <v>32</v>
      </c>
      <c r="B25" s="124">
        <v>3</v>
      </c>
      <c r="C25" s="59" t="s">
        <v>1</v>
      </c>
      <c r="D25" s="123"/>
      <c r="E25" s="118"/>
      <c r="F25" s="116"/>
      <c r="G25" s="122"/>
      <c r="H25" s="118"/>
      <c r="I25" s="117"/>
      <c r="J25" s="116"/>
      <c r="K25" s="115"/>
    </row>
    <row r="26" spans="1:11" ht="15.75" x14ac:dyDescent="0.25">
      <c r="A26" s="125" t="s">
        <v>30</v>
      </c>
      <c r="B26" s="124">
        <v>3</v>
      </c>
      <c r="C26" s="59" t="s">
        <v>1</v>
      </c>
      <c r="D26" s="123"/>
      <c r="E26" s="118"/>
      <c r="F26" s="116"/>
      <c r="G26" s="122"/>
      <c r="H26" s="118"/>
      <c r="I26" s="117"/>
      <c r="J26" s="116"/>
      <c r="K26" s="115"/>
    </row>
    <row r="27" spans="1:11" ht="15.75" x14ac:dyDescent="0.25">
      <c r="A27" s="125" t="s">
        <v>22</v>
      </c>
      <c r="B27" s="124">
        <v>3</v>
      </c>
      <c r="C27" s="59" t="s">
        <v>1</v>
      </c>
      <c r="D27" s="123"/>
      <c r="E27" s="118"/>
      <c r="F27" s="116"/>
      <c r="G27" s="122"/>
      <c r="H27" s="118"/>
      <c r="I27" s="117"/>
      <c r="J27" s="116"/>
      <c r="K27" s="115"/>
    </row>
    <row r="28" spans="1:11" ht="15.75" x14ac:dyDescent="0.25">
      <c r="A28" s="125" t="s">
        <v>8</v>
      </c>
      <c r="B28" s="124">
        <v>3</v>
      </c>
      <c r="C28" s="59" t="s">
        <v>1</v>
      </c>
      <c r="D28" s="123"/>
      <c r="E28" s="118"/>
      <c r="F28" s="116"/>
      <c r="G28" s="122"/>
      <c r="H28" s="118"/>
      <c r="I28" s="117"/>
      <c r="J28" s="116"/>
      <c r="K28" s="115"/>
    </row>
    <row r="29" spans="1:11" ht="15.75" x14ac:dyDescent="0.25">
      <c r="A29" s="125" t="s">
        <v>4</v>
      </c>
      <c r="B29" s="124">
        <v>3</v>
      </c>
      <c r="C29" s="59" t="s">
        <v>1</v>
      </c>
      <c r="D29" s="123"/>
      <c r="E29" s="118"/>
      <c r="F29" s="116"/>
      <c r="G29" s="122"/>
      <c r="H29" s="118"/>
      <c r="I29" s="117"/>
      <c r="J29" s="116"/>
      <c r="K29" s="115"/>
    </row>
    <row r="30" spans="1:11" ht="15.75" x14ac:dyDescent="0.25">
      <c r="A30" s="125" t="s">
        <v>60</v>
      </c>
      <c r="B30" s="124">
        <v>4</v>
      </c>
      <c r="C30" s="59"/>
      <c r="D30" s="123">
        <f>'CFY 2020-21 Reductions'!P32</f>
        <v>3016536</v>
      </c>
      <c r="E30" s="118">
        <f t="shared" ref="E30:E35" si="0">ROUND((D30/$D$1),12)</f>
        <v>7.0901654570000002E-3</v>
      </c>
      <c r="F30" s="116">
        <f t="shared" ref="F30:F35" si="1">ROUND(($F$1*E30),0)</f>
        <v>-217762</v>
      </c>
      <c r="G30" s="122">
        <v>87092.5</v>
      </c>
      <c r="H30" s="118">
        <f t="shared" ref="H30:H35" si="2">ROUND((G30/$G$1),12)</f>
        <v>5.0002362539999998E-3</v>
      </c>
      <c r="I30" s="117">
        <f t="shared" ref="I30:I35" si="3">ROUND(($I$1*H30),0)</f>
        <v>76787</v>
      </c>
      <c r="J30" s="116">
        <f t="shared" ref="J30:J35" si="4">F30+I30</f>
        <v>-140975</v>
      </c>
      <c r="K30" s="115">
        <f t="shared" ref="K30:K35" si="5">J30/D30</f>
        <v>-4.67340684811983E-2</v>
      </c>
    </row>
    <row r="31" spans="1:11" ht="15.75" x14ac:dyDescent="0.25">
      <c r="A31" s="125" t="s">
        <v>57</v>
      </c>
      <c r="B31" s="124">
        <v>4</v>
      </c>
      <c r="C31" s="59" t="s">
        <v>1</v>
      </c>
      <c r="D31" s="123"/>
      <c r="E31" s="118"/>
      <c r="F31" s="116"/>
      <c r="G31" s="122"/>
      <c r="H31" s="118"/>
      <c r="I31" s="117"/>
      <c r="J31" s="116"/>
      <c r="K31" s="115"/>
    </row>
    <row r="32" spans="1:11" ht="15.75" x14ac:dyDescent="0.25">
      <c r="A32" s="125" t="s">
        <v>52</v>
      </c>
      <c r="B32" s="124">
        <v>4</v>
      </c>
      <c r="C32" s="59"/>
      <c r="D32" s="123">
        <f>'CFY 2020-21 Reductions'!P34</f>
        <v>1845142</v>
      </c>
      <c r="E32" s="118">
        <f t="shared" si="0"/>
        <v>4.3368824609999997E-3</v>
      </c>
      <c r="F32" s="116">
        <f t="shared" si="1"/>
        <v>-133200</v>
      </c>
      <c r="G32" s="122">
        <v>77121</v>
      </c>
      <c r="H32" s="118">
        <f t="shared" si="2"/>
        <v>4.4277431490000003E-3</v>
      </c>
      <c r="I32" s="117">
        <f t="shared" si="3"/>
        <v>67995</v>
      </c>
      <c r="J32" s="116">
        <f t="shared" si="4"/>
        <v>-65205</v>
      </c>
      <c r="K32" s="115">
        <f t="shared" si="5"/>
        <v>-3.5338743576375155E-2</v>
      </c>
    </row>
    <row r="33" spans="1:11" ht="15.75" x14ac:dyDescent="0.25">
      <c r="A33" s="125" t="s">
        <v>42</v>
      </c>
      <c r="B33" s="124">
        <v>4</v>
      </c>
      <c r="C33" s="59" t="s">
        <v>1</v>
      </c>
      <c r="D33" s="123"/>
      <c r="E33" s="118"/>
      <c r="F33" s="116"/>
      <c r="G33" s="122"/>
      <c r="H33" s="118"/>
      <c r="I33" s="117"/>
      <c r="J33" s="116"/>
      <c r="K33" s="115"/>
    </row>
    <row r="34" spans="1:11" ht="15.75" x14ac:dyDescent="0.25">
      <c r="A34" s="125" t="s">
        <v>39</v>
      </c>
      <c r="B34" s="124">
        <v>4</v>
      </c>
      <c r="C34" s="59"/>
      <c r="D34" s="123">
        <f>'CFY 2020-21 Reductions'!P36</f>
        <v>3051433</v>
      </c>
      <c r="E34" s="118">
        <f t="shared" si="0"/>
        <v>7.172188514E-3</v>
      </c>
      <c r="F34" s="116">
        <f t="shared" si="1"/>
        <v>-220281</v>
      </c>
      <c r="G34" s="122">
        <v>100990</v>
      </c>
      <c r="H34" s="118">
        <f t="shared" si="2"/>
        <v>5.7981325519999996E-3</v>
      </c>
      <c r="I34" s="117">
        <f t="shared" si="3"/>
        <v>89040</v>
      </c>
      <c r="J34" s="116">
        <f t="shared" si="4"/>
        <v>-131241</v>
      </c>
      <c r="K34" s="115">
        <f t="shared" si="5"/>
        <v>-4.3009628590894834E-2</v>
      </c>
    </row>
    <row r="35" spans="1:11" ht="15.75" x14ac:dyDescent="0.25">
      <c r="A35" s="125" t="s">
        <v>24</v>
      </c>
      <c r="B35" s="124">
        <v>4</v>
      </c>
      <c r="C35" s="59"/>
      <c r="D35" s="123">
        <f>'CFY 2020-21 Reductions'!P37</f>
        <v>1584482</v>
      </c>
      <c r="E35" s="118">
        <f t="shared" si="0"/>
        <v>3.7242186220000002E-3</v>
      </c>
      <c r="F35" s="116">
        <f t="shared" si="1"/>
        <v>-114383</v>
      </c>
      <c r="G35" s="122">
        <v>62815</v>
      </c>
      <c r="H35" s="118">
        <f t="shared" si="2"/>
        <v>3.6063936649999998E-3</v>
      </c>
      <c r="I35" s="117">
        <f t="shared" si="3"/>
        <v>55382</v>
      </c>
      <c r="J35" s="116">
        <f t="shared" si="4"/>
        <v>-59001</v>
      </c>
      <c r="K35" s="115">
        <f t="shared" si="5"/>
        <v>-3.7236775173211181E-2</v>
      </c>
    </row>
    <row r="36" spans="1:11" ht="15.75" x14ac:dyDescent="0.25">
      <c r="A36" s="125" t="s">
        <v>15</v>
      </c>
      <c r="B36" s="124">
        <v>4</v>
      </c>
      <c r="C36" s="59" t="s">
        <v>1</v>
      </c>
      <c r="D36" s="123"/>
      <c r="E36" s="118"/>
      <c r="F36" s="116"/>
      <c r="G36" s="122"/>
      <c r="H36" s="118"/>
      <c r="I36" s="117"/>
      <c r="J36" s="116"/>
      <c r="K36" s="115"/>
    </row>
    <row r="37" spans="1:11" ht="15.75" x14ac:dyDescent="0.25">
      <c r="A37" s="125" t="s">
        <v>9</v>
      </c>
      <c r="B37" s="124">
        <v>4</v>
      </c>
      <c r="C37" s="59"/>
      <c r="D37" s="123">
        <f>'CFY 2020-21 Reductions'!P39</f>
        <v>1902267</v>
      </c>
      <c r="E37" s="118">
        <f t="shared" ref="E37:E70" si="6">ROUND((D37/$D$1),12)</f>
        <v>4.4711509410000003E-3</v>
      </c>
      <c r="F37" s="116">
        <f t="shared" ref="F37:F70" si="7">ROUND(($F$1*E37),0)</f>
        <v>-137324</v>
      </c>
      <c r="G37" s="122">
        <v>71926.5</v>
      </c>
      <c r="H37" s="118">
        <f t="shared" ref="H37:H70" si="8">ROUND((G37/$G$1),12)</f>
        <v>4.1295116450000002E-3</v>
      </c>
      <c r="I37" s="117">
        <f t="shared" ref="I37:I70" si="9">ROUND(($I$1*H37),0)</f>
        <v>63415</v>
      </c>
      <c r="J37" s="116">
        <f t="shared" ref="J37:J70" si="10">F37+I37</f>
        <v>-73909</v>
      </c>
      <c r="K37" s="115">
        <f t="shared" ref="K37:K70" si="11">J37/D37</f>
        <v>-3.8853115782379655E-2</v>
      </c>
    </row>
    <row r="38" spans="1:11" ht="15.75" x14ac:dyDescent="0.25">
      <c r="A38" s="125" t="s">
        <v>3</v>
      </c>
      <c r="B38" s="124">
        <v>4</v>
      </c>
      <c r="C38" s="59"/>
      <c r="D38" s="123">
        <f>'CFY 2020-21 Reductions'!P40</f>
        <v>1659220</v>
      </c>
      <c r="E38" s="118">
        <f t="shared" si="6"/>
        <v>3.8998852759999998E-3</v>
      </c>
      <c r="F38" s="116">
        <f t="shared" si="7"/>
        <v>-119778</v>
      </c>
      <c r="G38" s="122">
        <v>54757.5</v>
      </c>
      <c r="H38" s="118">
        <f t="shared" si="8"/>
        <v>3.143788922E-3</v>
      </c>
      <c r="I38" s="117">
        <f t="shared" si="9"/>
        <v>48278</v>
      </c>
      <c r="J38" s="116">
        <f t="shared" si="10"/>
        <v>-71500</v>
      </c>
      <c r="K38" s="115">
        <f t="shared" si="11"/>
        <v>-4.3092537457359484E-2</v>
      </c>
    </row>
    <row r="39" spans="1:11" ht="15.75" x14ac:dyDescent="0.25">
      <c r="A39" s="125" t="s">
        <v>68</v>
      </c>
      <c r="B39" s="124">
        <v>5</v>
      </c>
      <c r="C39" s="59"/>
      <c r="D39" s="123">
        <f>'CFY 2020-21 Reductions'!P41</f>
        <v>5969088</v>
      </c>
      <c r="E39" s="118">
        <f t="shared" si="6"/>
        <v>1.4029940816E-2</v>
      </c>
      <c r="F39" s="116">
        <f t="shared" si="7"/>
        <v>-430905</v>
      </c>
      <c r="G39" s="122">
        <v>196928.5</v>
      </c>
      <c r="H39" s="118">
        <f t="shared" si="8"/>
        <v>1.1306243650999999E-2</v>
      </c>
      <c r="I39" s="117">
        <f t="shared" si="9"/>
        <v>173626</v>
      </c>
      <c r="J39" s="116">
        <f t="shared" si="10"/>
        <v>-257279</v>
      </c>
      <c r="K39" s="115">
        <f t="shared" si="11"/>
        <v>-4.3101894292729474E-2</v>
      </c>
    </row>
    <row r="40" spans="1:11" ht="15.75" x14ac:dyDescent="0.25">
      <c r="A40" s="125" t="s">
        <v>61</v>
      </c>
      <c r="B40" s="124">
        <v>5</v>
      </c>
      <c r="C40" s="59"/>
      <c r="D40" s="123">
        <f>'CFY 2020-21 Reductions'!P42</f>
        <v>3586752</v>
      </c>
      <c r="E40" s="118">
        <f t="shared" si="6"/>
        <v>8.4304199039999996E-3</v>
      </c>
      <c r="F40" s="116">
        <f t="shared" si="7"/>
        <v>-258926</v>
      </c>
      <c r="G40" s="122">
        <v>147088.5</v>
      </c>
      <c r="H40" s="118">
        <f t="shared" si="8"/>
        <v>8.4447828490000001E-3</v>
      </c>
      <c r="I40" s="117">
        <f t="shared" si="9"/>
        <v>129683</v>
      </c>
      <c r="J40" s="116">
        <f t="shared" si="10"/>
        <v>-129243</v>
      </c>
      <c r="K40" s="115">
        <f t="shared" si="11"/>
        <v>-3.6033436379208819E-2</v>
      </c>
    </row>
    <row r="41" spans="1:11" ht="15.75" x14ac:dyDescent="0.25">
      <c r="A41" s="125" t="s">
        <v>59</v>
      </c>
      <c r="B41" s="124">
        <v>5</v>
      </c>
      <c r="C41" s="59"/>
      <c r="D41" s="123">
        <f>'CFY 2020-21 Reductions'!P43</f>
        <v>3723844</v>
      </c>
      <c r="E41" s="118">
        <f t="shared" si="6"/>
        <v>8.7526454509999994E-3</v>
      </c>
      <c r="F41" s="116">
        <f t="shared" si="7"/>
        <v>-268822</v>
      </c>
      <c r="G41" s="122">
        <v>130747</v>
      </c>
      <c r="H41" s="118">
        <f t="shared" si="8"/>
        <v>7.5065693319999998E-3</v>
      </c>
      <c r="I41" s="117">
        <f t="shared" si="9"/>
        <v>115276</v>
      </c>
      <c r="J41" s="116">
        <f t="shared" si="10"/>
        <v>-153546</v>
      </c>
      <c r="K41" s="115">
        <f t="shared" si="11"/>
        <v>-4.1233198812839635E-2</v>
      </c>
    </row>
    <row r="42" spans="1:11" ht="15.75" x14ac:dyDescent="0.25">
      <c r="A42" s="125" t="s">
        <v>43</v>
      </c>
      <c r="B42" s="124">
        <v>5</v>
      </c>
      <c r="C42" s="59"/>
      <c r="D42" s="123">
        <f>'CFY 2020-21 Reductions'!P44</f>
        <v>3440662</v>
      </c>
      <c r="E42" s="118">
        <f t="shared" si="6"/>
        <v>8.0870451610000008E-3</v>
      </c>
      <c r="F42" s="116">
        <f t="shared" si="7"/>
        <v>-248380</v>
      </c>
      <c r="G42" s="122">
        <v>150019.5</v>
      </c>
      <c r="H42" s="118">
        <f t="shared" si="8"/>
        <v>8.6130601690000003E-3</v>
      </c>
      <c r="I42" s="117">
        <f t="shared" si="9"/>
        <v>132268</v>
      </c>
      <c r="J42" s="116">
        <f t="shared" si="10"/>
        <v>-116112</v>
      </c>
      <c r="K42" s="115">
        <f t="shared" si="11"/>
        <v>-3.3746994037775285E-2</v>
      </c>
    </row>
    <row r="43" spans="1:11" ht="15.75" x14ac:dyDescent="0.25">
      <c r="A43" s="125" t="s">
        <v>27</v>
      </c>
      <c r="B43" s="124">
        <v>5</v>
      </c>
      <c r="C43" s="59"/>
      <c r="D43" s="123">
        <f>'CFY 2020-21 Reductions'!P45</f>
        <v>3631959</v>
      </c>
      <c r="E43" s="118">
        <f t="shared" si="6"/>
        <v>8.5366759240000003E-3</v>
      </c>
      <c r="F43" s="116">
        <f t="shared" si="7"/>
        <v>-262189</v>
      </c>
      <c r="G43" s="122">
        <v>110967.5</v>
      </c>
      <c r="H43" s="118">
        <f t="shared" si="8"/>
        <v>6.3709701360000004E-3</v>
      </c>
      <c r="I43" s="117">
        <f t="shared" si="9"/>
        <v>97837</v>
      </c>
      <c r="J43" s="116">
        <f t="shared" si="10"/>
        <v>-164352</v>
      </c>
      <c r="K43" s="115">
        <f t="shared" si="11"/>
        <v>-4.5251612146502758E-2</v>
      </c>
    </row>
    <row r="44" spans="1:11" ht="15.75" x14ac:dyDescent="0.25">
      <c r="A44" s="125" t="s">
        <v>25</v>
      </c>
      <c r="B44" s="124">
        <v>5</v>
      </c>
      <c r="C44" s="59"/>
      <c r="D44" s="123">
        <f>'CFY 2020-21 Reductions'!P46</f>
        <v>3566977</v>
      </c>
      <c r="E44" s="118">
        <f t="shared" si="6"/>
        <v>8.3839400929999995E-3</v>
      </c>
      <c r="F44" s="116">
        <f t="shared" si="7"/>
        <v>-257498</v>
      </c>
      <c r="G44" s="122">
        <v>106173</v>
      </c>
      <c r="H44" s="118">
        <f t="shared" si="8"/>
        <v>6.0957038069999999E-3</v>
      </c>
      <c r="I44" s="117">
        <f t="shared" si="9"/>
        <v>93610</v>
      </c>
      <c r="J44" s="116">
        <f t="shared" si="10"/>
        <v>-163888</v>
      </c>
      <c r="K44" s="115">
        <f t="shared" si="11"/>
        <v>-4.5945908818587844E-2</v>
      </c>
    </row>
    <row r="45" spans="1:11" ht="15.75" x14ac:dyDescent="0.25">
      <c r="A45" s="125" t="s">
        <v>23</v>
      </c>
      <c r="B45" s="124">
        <v>5</v>
      </c>
      <c r="C45" s="59"/>
      <c r="D45" s="123">
        <f>'CFY 2020-21 Reductions'!P47</f>
        <v>3675742</v>
      </c>
      <c r="E45" s="118">
        <f t="shared" si="6"/>
        <v>8.6395849269999998E-3</v>
      </c>
      <c r="F45" s="116">
        <f t="shared" si="7"/>
        <v>-265350</v>
      </c>
      <c r="G45" s="122">
        <v>166573</v>
      </c>
      <c r="H45" s="118">
        <f t="shared" si="8"/>
        <v>9.5634452289999998E-3</v>
      </c>
      <c r="I45" s="117">
        <f t="shared" si="9"/>
        <v>146862</v>
      </c>
      <c r="J45" s="116">
        <f t="shared" si="10"/>
        <v>-118488</v>
      </c>
      <c r="K45" s="115">
        <f t="shared" si="11"/>
        <v>-3.2235124227979001E-2</v>
      </c>
    </row>
    <row r="46" spans="1:11" ht="15.75" x14ac:dyDescent="0.25">
      <c r="A46" s="125" t="s">
        <v>14</v>
      </c>
      <c r="B46" s="124">
        <v>5</v>
      </c>
      <c r="C46" s="59"/>
      <c r="D46" s="123">
        <f>'CFY 2020-21 Reductions'!P48</f>
        <v>3588624</v>
      </c>
      <c r="E46" s="118">
        <f t="shared" si="6"/>
        <v>8.4348199140000003E-3</v>
      </c>
      <c r="F46" s="116">
        <f t="shared" si="7"/>
        <v>-259061</v>
      </c>
      <c r="G46" s="122">
        <v>137200</v>
      </c>
      <c r="H46" s="118">
        <f t="shared" si="8"/>
        <v>7.8770550169999995E-3</v>
      </c>
      <c r="I46" s="117">
        <f t="shared" si="9"/>
        <v>120965</v>
      </c>
      <c r="J46" s="116">
        <f t="shared" si="10"/>
        <v>-138096</v>
      </c>
      <c r="K46" s="115">
        <f t="shared" si="11"/>
        <v>-3.8481601861883555E-2</v>
      </c>
    </row>
    <row r="47" spans="1:11" ht="15.75" x14ac:dyDescent="0.25">
      <c r="A47" s="125" t="s">
        <v>12</v>
      </c>
      <c r="B47" s="124">
        <v>5</v>
      </c>
      <c r="C47" s="59"/>
      <c r="D47" s="123">
        <f>'CFY 2020-21 Reductions'!P49</f>
        <v>3199438</v>
      </c>
      <c r="E47" s="118">
        <f t="shared" si="6"/>
        <v>7.5200643349999999E-3</v>
      </c>
      <c r="F47" s="116">
        <f t="shared" si="7"/>
        <v>-230966</v>
      </c>
      <c r="G47" s="122">
        <v>124446</v>
      </c>
      <c r="H47" s="118">
        <f t="shared" si="8"/>
        <v>7.1448104130000002E-3</v>
      </c>
      <c r="I47" s="117">
        <f t="shared" si="9"/>
        <v>109720</v>
      </c>
      <c r="J47" s="116">
        <f t="shared" si="10"/>
        <v>-121246</v>
      </c>
      <c r="K47" s="115">
        <f t="shared" si="11"/>
        <v>-3.7896030490354872E-2</v>
      </c>
    </row>
    <row r="48" spans="1:11" ht="15.75" x14ac:dyDescent="0.25">
      <c r="A48" s="125" t="s">
        <v>66</v>
      </c>
      <c r="B48" s="124">
        <v>6</v>
      </c>
      <c r="C48" s="59"/>
      <c r="D48" s="123">
        <f>'CFY 2020-21 Reductions'!P50</f>
        <v>3697036</v>
      </c>
      <c r="E48" s="118">
        <f t="shared" si="6"/>
        <v>8.6896350449999996E-3</v>
      </c>
      <c r="F48" s="116">
        <f t="shared" si="7"/>
        <v>-266887</v>
      </c>
      <c r="G48" s="122">
        <v>234983</v>
      </c>
      <c r="H48" s="118">
        <f t="shared" si="8"/>
        <v>1.3491064279000001E-2</v>
      </c>
      <c r="I48" s="117">
        <f t="shared" si="9"/>
        <v>207177</v>
      </c>
      <c r="J48" s="116">
        <f t="shared" si="10"/>
        <v>-59710</v>
      </c>
      <c r="K48" s="115">
        <f t="shared" si="11"/>
        <v>-1.6150775918871225E-2</v>
      </c>
    </row>
    <row r="49" spans="1:11" ht="15.75" x14ac:dyDescent="0.25">
      <c r="A49" s="125" t="s">
        <v>64</v>
      </c>
      <c r="B49" s="124">
        <v>6</v>
      </c>
      <c r="C49" s="59"/>
      <c r="D49" s="123">
        <f>'CFY 2020-21 Reductions'!P51</f>
        <v>11575607</v>
      </c>
      <c r="E49" s="118">
        <f t="shared" si="6"/>
        <v>2.7207687526000002E-2</v>
      </c>
      <c r="F49" s="116">
        <f t="shared" si="7"/>
        <v>-835637</v>
      </c>
      <c r="G49" s="122">
        <v>421947</v>
      </c>
      <c r="H49" s="118">
        <f t="shared" si="8"/>
        <v>2.4225216715000001E-2</v>
      </c>
      <c r="I49" s="117">
        <f t="shared" si="9"/>
        <v>372018</v>
      </c>
      <c r="J49" s="116">
        <f t="shared" si="10"/>
        <v>-463619</v>
      </c>
      <c r="K49" s="115">
        <f t="shared" si="11"/>
        <v>-4.0051377003383064E-2</v>
      </c>
    </row>
    <row r="50" spans="1:11" ht="15.75" x14ac:dyDescent="0.25">
      <c r="A50" s="125" t="s">
        <v>58</v>
      </c>
      <c r="B50" s="124">
        <v>6</v>
      </c>
      <c r="C50" s="59"/>
      <c r="D50" s="123">
        <f>'CFY 2020-21 Reductions'!P52</f>
        <v>6604814</v>
      </c>
      <c r="E50" s="118">
        <f t="shared" si="6"/>
        <v>1.5524172120999999E-2</v>
      </c>
      <c r="F50" s="116">
        <f t="shared" si="7"/>
        <v>-476798</v>
      </c>
      <c r="G50" s="122">
        <v>213907.5</v>
      </c>
      <c r="H50" s="118">
        <f t="shared" si="8"/>
        <v>1.2281057916E-2</v>
      </c>
      <c r="I50" s="117">
        <f t="shared" si="9"/>
        <v>188596</v>
      </c>
      <c r="J50" s="116">
        <f t="shared" si="10"/>
        <v>-288202</v>
      </c>
      <c r="K50" s="115">
        <f t="shared" si="11"/>
        <v>-4.3635142488493997E-2</v>
      </c>
    </row>
    <row r="51" spans="1:11" ht="15.75" x14ac:dyDescent="0.25">
      <c r="A51" s="125" t="s">
        <v>53</v>
      </c>
      <c r="B51" s="124">
        <v>6</v>
      </c>
      <c r="C51" s="59"/>
      <c r="D51" s="123">
        <f>'CFY 2020-21 Reductions'!P53</f>
        <v>7003363</v>
      </c>
      <c r="E51" s="118">
        <f t="shared" si="6"/>
        <v>1.6460934803E-2</v>
      </c>
      <c r="F51" s="116">
        <f t="shared" si="7"/>
        <v>-505569</v>
      </c>
      <c r="G51" s="122">
        <v>319096</v>
      </c>
      <c r="H51" s="118">
        <f t="shared" si="8"/>
        <v>1.8320238685999999E-2</v>
      </c>
      <c r="I51" s="117">
        <f t="shared" si="9"/>
        <v>281337</v>
      </c>
      <c r="J51" s="116">
        <f t="shared" si="10"/>
        <v>-224232</v>
      </c>
      <c r="K51" s="115">
        <f t="shared" si="11"/>
        <v>-3.2017760610152581E-2</v>
      </c>
    </row>
    <row r="52" spans="1:11" ht="15.75" x14ac:dyDescent="0.25">
      <c r="A52" s="125" t="s">
        <v>35</v>
      </c>
      <c r="B52" s="124">
        <v>6</v>
      </c>
      <c r="C52" s="59"/>
      <c r="D52" s="123">
        <f>'CFY 2020-21 Reductions'!P54</f>
        <v>6256001</v>
      </c>
      <c r="E52" s="118">
        <f t="shared" si="6"/>
        <v>1.470431057E-2</v>
      </c>
      <c r="F52" s="116">
        <f t="shared" si="7"/>
        <v>-451618</v>
      </c>
      <c r="G52" s="122">
        <v>223107.5</v>
      </c>
      <c r="H52" s="118">
        <f t="shared" si="8"/>
        <v>1.2809256941E-2</v>
      </c>
      <c r="I52" s="117">
        <f t="shared" si="9"/>
        <v>196707</v>
      </c>
      <c r="J52" s="116">
        <f t="shared" si="10"/>
        <v>-254911</v>
      </c>
      <c r="K52" s="115">
        <f t="shared" si="11"/>
        <v>-4.07466367092972E-2</v>
      </c>
    </row>
    <row r="53" spans="1:11" ht="15.75" x14ac:dyDescent="0.25">
      <c r="A53" s="125" t="s">
        <v>33</v>
      </c>
      <c r="B53" s="124">
        <v>6</v>
      </c>
      <c r="C53" s="59"/>
      <c r="D53" s="123">
        <f>'CFY 2020-21 Reductions'!P55</f>
        <v>6019139</v>
      </c>
      <c r="E53" s="118">
        <f t="shared" si="6"/>
        <v>1.4147582333E-2</v>
      </c>
      <c r="F53" s="116">
        <f t="shared" si="7"/>
        <v>-434519</v>
      </c>
      <c r="G53" s="122">
        <v>233591.5</v>
      </c>
      <c r="H53" s="118">
        <f t="shared" si="8"/>
        <v>1.3411174176999999E-2</v>
      </c>
      <c r="I53" s="117">
        <f t="shared" si="9"/>
        <v>205951</v>
      </c>
      <c r="J53" s="116">
        <f t="shared" si="10"/>
        <v>-228568</v>
      </c>
      <c r="K53" s="115">
        <f t="shared" si="11"/>
        <v>-3.797353741124769E-2</v>
      </c>
    </row>
    <row r="54" spans="1:11" ht="15.75" x14ac:dyDescent="0.25">
      <c r="A54" s="125" t="s">
        <v>29</v>
      </c>
      <c r="B54" s="124">
        <v>6</v>
      </c>
      <c r="C54" s="59"/>
      <c r="D54" s="123">
        <f>'CFY 2020-21 Reductions'!P56</f>
        <v>6029043</v>
      </c>
      <c r="E54" s="118">
        <f t="shared" si="6"/>
        <v>1.417086102E-2</v>
      </c>
      <c r="F54" s="116">
        <f t="shared" si="7"/>
        <v>-435234</v>
      </c>
      <c r="G54" s="122">
        <v>235082</v>
      </c>
      <c r="H54" s="118">
        <f t="shared" si="8"/>
        <v>1.349674816E-2</v>
      </c>
      <c r="I54" s="117">
        <f t="shared" si="9"/>
        <v>207265</v>
      </c>
      <c r="J54" s="116">
        <f t="shared" si="10"/>
        <v>-227969</v>
      </c>
      <c r="K54" s="115">
        <f t="shared" si="11"/>
        <v>-3.7811805289827922E-2</v>
      </c>
    </row>
    <row r="55" spans="1:11" ht="15.75" x14ac:dyDescent="0.25">
      <c r="A55" s="125" t="s">
        <v>28</v>
      </c>
      <c r="B55" s="124">
        <v>6</v>
      </c>
      <c r="C55" s="59"/>
      <c r="D55" s="123">
        <f>'CFY 2020-21 Reductions'!P57</f>
        <v>6699240</v>
      </c>
      <c r="E55" s="118">
        <f t="shared" si="6"/>
        <v>1.5746114097999999E-2</v>
      </c>
      <c r="F55" s="116">
        <f t="shared" si="7"/>
        <v>-483615</v>
      </c>
      <c r="G55" s="122">
        <v>245179.5</v>
      </c>
      <c r="H55" s="118">
        <f t="shared" si="8"/>
        <v>1.4076475296E-2</v>
      </c>
      <c r="I55" s="117">
        <f t="shared" si="9"/>
        <v>216167</v>
      </c>
      <c r="J55" s="116">
        <f t="shared" si="10"/>
        <v>-267448</v>
      </c>
      <c r="K55" s="115">
        <f t="shared" si="11"/>
        <v>-3.9922140421898601E-2</v>
      </c>
    </row>
    <row r="56" spans="1:11" ht="15.75" x14ac:dyDescent="0.25">
      <c r="A56" s="125" t="s">
        <v>20</v>
      </c>
      <c r="B56" s="124">
        <v>6</v>
      </c>
      <c r="C56" s="59"/>
      <c r="D56" s="123">
        <f>'CFY 2020-21 Reductions'!P58</f>
        <v>7444219</v>
      </c>
      <c r="E56" s="118">
        <f t="shared" si="6"/>
        <v>1.7497137249999999E-2</v>
      </c>
      <c r="F56" s="116">
        <f t="shared" si="7"/>
        <v>-537394</v>
      </c>
      <c r="G56" s="122">
        <v>291798.5</v>
      </c>
      <c r="H56" s="118">
        <f t="shared" si="8"/>
        <v>1.6753009026E-2</v>
      </c>
      <c r="I56" s="117">
        <f t="shared" si="9"/>
        <v>257270</v>
      </c>
      <c r="J56" s="116">
        <f t="shared" si="10"/>
        <v>-280124</v>
      </c>
      <c r="K56" s="115">
        <f t="shared" si="11"/>
        <v>-3.7629736578142045E-2</v>
      </c>
    </row>
    <row r="57" spans="1:11" ht="15.75" x14ac:dyDescent="0.25">
      <c r="A57" s="125" t="s">
        <v>18</v>
      </c>
      <c r="B57" s="124">
        <v>6</v>
      </c>
      <c r="C57" s="59"/>
      <c r="D57" s="123">
        <f>'CFY 2020-21 Reductions'!P59</f>
        <v>11939169</v>
      </c>
      <c r="E57" s="118">
        <f t="shared" si="6"/>
        <v>2.8062215612000001E-2</v>
      </c>
      <c r="F57" s="116">
        <f t="shared" si="7"/>
        <v>-861883</v>
      </c>
      <c r="G57" s="122">
        <v>380689</v>
      </c>
      <c r="H57" s="118">
        <f t="shared" si="8"/>
        <v>2.1856473742000001E-2</v>
      </c>
      <c r="I57" s="117">
        <f t="shared" si="9"/>
        <v>335642</v>
      </c>
      <c r="J57" s="116">
        <f t="shared" si="10"/>
        <v>-526241</v>
      </c>
      <c r="K57" s="115">
        <f t="shared" si="11"/>
        <v>-4.4076853255029726E-2</v>
      </c>
    </row>
    <row r="58" spans="1:11" ht="15.75" x14ac:dyDescent="0.25">
      <c r="A58" s="125" t="s">
        <v>13</v>
      </c>
      <c r="B58" s="124">
        <v>6</v>
      </c>
      <c r="C58" s="59"/>
      <c r="D58" s="123">
        <f>'CFY 2020-21 Reductions'!P60</f>
        <v>6826679</v>
      </c>
      <c r="E58" s="118">
        <f t="shared" si="6"/>
        <v>1.6045650916999998E-2</v>
      </c>
      <c r="F58" s="116">
        <f t="shared" si="7"/>
        <v>-492814</v>
      </c>
      <c r="G58" s="122">
        <v>224473</v>
      </c>
      <c r="H58" s="118">
        <f t="shared" si="8"/>
        <v>1.2887654307E-2</v>
      </c>
      <c r="I58" s="117">
        <f t="shared" si="9"/>
        <v>197911</v>
      </c>
      <c r="J58" s="116">
        <f t="shared" si="10"/>
        <v>-294903</v>
      </c>
      <c r="K58" s="115">
        <f t="shared" si="11"/>
        <v>-4.3198603596272797E-2</v>
      </c>
    </row>
    <row r="59" spans="1:11" ht="15.75" x14ac:dyDescent="0.25">
      <c r="A59" s="125" t="s">
        <v>11</v>
      </c>
      <c r="B59" s="124">
        <v>6</v>
      </c>
      <c r="C59" s="59"/>
      <c r="D59" s="123">
        <f>'CFY 2020-21 Reductions'!P61</f>
        <v>8322251</v>
      </c>
      <c r="E59" s="118">
        <f t="shared" si="6"/>
        <v>1.9560892549000002E-2</v>
      </c>
      <c r="F59" s="116">
        <f t="shared" si="7"/>
        <v>-600779</v>
      </c>
      <c r="G59" s="122">
        <v>316002.5</v>
      </c>
      <c r="H59" s="118">
        <f t="shared" si="8"/>
        <v>1.8142631764000001E-2</v>
      </c>
      <c r="I59" s="117">
        <f t="shared" si="9"/>
        <v>278610</v>
      </c>
      <c r="J59" s="116">
        <f t="shared" si="10"/>
        <v>-322169</v>
      </c>
      <c r="K59" s="115">
        <f t="shared" si="11"/>
        <v>-3.8711761998045963E-2</v>
      </c>
    </row>
    <row r="60" spans="1:11" ht="15.75" x14ac:dyDescent="0.25">
      <c r="A60" s="125" t="s">
        <v>10</v>
      </c>
      <c r="B60" s="124">
        <v>6</v>
      </c>
      <c r="C60" s="59"/>
      <c r="D60" s="123">
        <f>'CFY 2020-21 Reductions'!P62</f>
        <v>8976091</v>
      </c>
      <c r="E60" s="118">
        <f t="shared" si="6"/>
        <v>2.1097699596E-2</v>
      </c>
      <c r="F60" s="116">
        <f t="shared" si="7"/>
        <v>-647979</v>
      </c>
      <c r="G60" s="122">
        <v>332381</v>
      </c>
      <c r="H60" s="118">
        <f t="shared" si="8"/>
        <v>1.9082969559999999E-2</v>
      </c>
      <c r="I60" s="117">
        <f t="shared" si="9"/>
        <v>293050</v>
      </c>
      <c r="J60" s="116">
        <f t="shared" si="10"/>
        <v>-354929</v>
      </c>
      <c r="K60" s="115">
        <f t="shared" si="11"/>
        <v>-3.9541600012744968E-2</v>
      </c>
    </row>
    <row r="61" spans="1:11" ht="15.75" x14ac:dyDescent="0.25">
      <c r="A61" s="125" t="s">
        <v>54</v>
      </c>
      <c r="B61" s="124">
        <v>7</v>
      </c>
      <c r="C61" s="59"/>
      <c r="D61" s="123">
        <f>'CFY 2020-21 Reductions'!P63</f>
        <v>19581352</v>
      </c>
      <c r="E61" s="118">
        <f t="shared" si="6"/>
        <v>4.6024653960000002E-2</v>
      </c>
      <c r="F61" s="116">
        <f t="shared" si="7"/>
        <v>-1413568</v>
      </c>
      <c r="G61" s="122">
        <v>970304.5</v>
      </c>
      <c r="H61" s="118">
        <f t="shared" si="8"/>
        <v>5.5708031558999997E-2</v>
      </c>
      <c r="I61" s="117">
        <f t="shared" si="9"/>
        <v>855488</v>
      </c>
      <c r="J61" s="116">
        <f t="shared" si="10"/>
        <v>-558080</v>
      </c>
      <c r="K61" s="115">
        <f t="shared" si="11"/>
        <v>-2.8500585659253765E-2</v>
      </c>
    </row>
    <row r="62" spans="1:11" ht="15.75" x14ac:dyDescent="0.25">
      <c r="A62" s="125" t="s">
        <v>34</v>
      </c>
      <c r="B62" s="124">
        <v>7</v>
      </c>
      <c r="C62" s="59"/>
      <c r="D62" s="123">
        <f>'CFY 2020-21 Reductions'!P64</f>
        <v>11701006</v>
      </c>
      <c r="E62" s="118">
        <f t="shared" si="6"/>
        <v>2.7502429461E-2</v>
      </c>
      <c r="F62" s="116">
        <f t="shared" si="7"/>
        <v>-844690</v>
      </c>
      <c r="G62" s="122">
        <v>551542.5</v>
      </c>
      <c r="H62" s="118">
        <f t="shared" si="8"/>
        <v>3.1665675050000001E-2</v>
      </c>
      <c r="I62" s="117">
        <f t="shared" si="9"/>
        <v>486278</v>
      </c>
      <c r="J62" s="116">
        <f t="shared" si="10"/>
        <v>-358412</v>
      </c>
      <c r="K62" s="115">
        <f t="shared" si="11"/>
        <v>-3.0630870542242266E-2</v>
      </c>
    </row>
    <row r="63" spans="1:11" ht="15.75" x14ac:dyDescent="0.25">
      <c r="A63" s="125" t="s">
        <v>17</v>
      </c>
      <c r="B63" s="124">
        <v>7</v>
      </c>
      <c r="C63" s="59"/>
      <c r="D63" s="123">
        <f>'CFY 2020-21 Reductions'!P65</f>
        <v>23266823.989999998</v>
      </c>
      <c r="E63" s="118">
        <f t="shared" si="6"/>
        <v>5.4687108576000003E-2</v>
      </c>
      <c r="F63" s="116">
        <f t="shared" si="7"/>
        <v>-1679620</v>
      </c>
      <c r="G63" s="122">
        <v>808053.5</v>
      </c>
      <c r="H63" s="118">
        <f t="shared" si="8"/>
        <v>4.6392725045999998E-2</v>
      </c>
      <c r="I63" s="117">
        <f t="shared" si="9"/>
        <v>712436</v>
      </c>
      <c r="J63" s="116">
        <f t="shared" si="10"/>
        <v>-967184</v>
      </c>
      <c r="K63" s="115">
        <f t="shared" si="11"/>
        <v>-4.1569231813318931E-2</v>
      </c>
    </row>
    <row r="64" spans="1:11" ht="15.75" x14ac:dyDescent="0.25">
      <c r="A64" s="125" t="s">
        <v>16</v>
      </c>
      <c r="B64" s="124">
        <v>7</v>
      </c>
      <c r="C64" s="59"/>
      <c r="D64" s="123">
        <f>'CFY 2020-21 Reductions'!P66</f>
        <v>12500543</v>
      </c>
      <c r="E64" s="118">
        <f t="shared" si="6"/>
        <v>2.9381687529999999E-2</v>
      </c>
      <c r="F64" s="116">
        <f t="shared" si="7"/>
        <v>-902408</v>
      </c>
      <c r="G64" s="122">
        <v>625543</v>
      </c>
      <c r="H64" s="118">
        <f t="shared" si="8"/>
        <v>3.5914261126999997E-2</v>
      </c>
      <c r="I64" s="117">
        <f t="shared" si="9"/>
        <v>551522</v>
      </c>
      <c r="J64" s="116">
        <f t="shared" si="10"/>
        <v>-350886</v>
      </c>
      <c r="K64" s="115">
        <f t="shared" si="11"/>
        <v>-2.8069660653941193E-2</v>
      </c>
    </row>
    <row r="65" spans="1:11" ht="15.75" x14ac:dyDescent="0.25">
      <c r="A65" s="125" t="s">
        <v>5</v>
      </c>
      <c r="B65" s="124">
        <v>7</v>
      </c>
      <c r="C65" s="59"/>
      <c r="D65" s="123">
        <f>'CFY 2020-21 Reductions'!P67</f>
        <v>11762046</v>
      </c>
      <c r="E65" s="118">
        <f t="shared" si="6"/>
        <v>2.7645899884999998E-2</v>
      </c>
      <c r="F65" s="116">
        <f t="shared" si="7"/>
        <v>-849096</v>
      </c>
      <c r="G65" s="122">
        <v>545688</v>
      </c>
      <c r="H65" s="118">
        <f t="shared" si="8"/>
        <v>3.1329551007000002E-2</v>
      </c>
      <c r="I65" s="117">
        <f t="shared" si="9"/>
        <v>481117</v>
      </c>
      <c r="J65" s="116">
        <f t="shared" si="10"/>
        <v>-367979</v>
      </c>
      <c r="K65" s="115">
        <f t="shared" si="11"/>
        <v>-3.1285288290829674E-2</v>
      </c>
    </row>
    <row r="66" spans="1:11" ht="15.75" x14ac:dyDescent="0.25">
      <c r="A66" s="125" t="s">
        <v>63</v>
      </c>
      <c r="B66" s="124">
        <v>8</v>
      </c>
      <c r="C66" s="59"/>
      <c r="D66" s="123">
        <f>'CFY 2020-21 Reductions'!P68</f>
        <v>39379598</v>
      </c>
      <c r="E66" s="118">
        <f t="shared" si="6"/>
        <v>9.2559102712999997E-2</v>
      </c>
      <c r="F66" s="116">
        <f t="shared" si="7"/>
        <v>-2842793</v>
      </c>
      <c r="G66" s="122">
        <v>1683032</v>
      </c>
      <c r="H66" s="118">
        <f t="shared" si="8"/>
        <v>9.6627810930000002E-2</v>
      </c>
      <c r="I66" s="117">
        <f>ROUND(($I$1*H66),0)</f>
        <v>1483878</v>
      </c>
      <c r="J66" s="116">
        <f t="shared" si="10"/>
        <v>-1358915</v>
      </c>
      <c r="K66" s="115">
        <f t="shared" si="11"/>
        <v>-3.4508097314756743E-2</v>
      </c>
    </row>
    <row r="67" spans="1:11" ht="15.75" x14ac:dyDescent="0.25">
      <c r="A67" s="125" t="s">
        <v>41</v>
      </c>
      <c r="B67" s="124">
        <v>8</v>
      </c>
      <c r="C67" s="59"/>
      <c r="D67" s="123">
        <f>'CFY 2020-21 Reductions'!P69</f>
        <v>30169607</v>
      </c>
      <c r="E67" s="118">
        <f t="shared" si="6"/>
        <v>7.0911636860999994E-2</v>
      </c>
      <c r="F67" s="116">
        <f t="shared" si="7"/>
        <v>-2177929</v>
      </c>
      <c r="G67" s="122">
        <v>1327555</v>
      </c>
      <c r="H67" s="118">
        <f t="shared" si="8"/>
        <v>7.6218832166999997E-2</v>
      </c>
      <c r="I67" s="117">
        <f t="shared" si="9"/>
        <v>1170465</v>
      </c>
      <c r="J67" s="116">
        <f t="shared" si="10"/>
        <v>-1007464</v>
      </c>
      <c r="K67" s="115">
        <f t="shared" si="11"/>
        <v>-3.3393341848967403E-2</v>
      </c>
    </row>
    <row r="68" spans="1:11" ht="15.75" x14ac:dyDescent="0.25">
      <c r="A68" s="125" t="s">
        <v>26</v>
      </c>
      <c r="B68" s="124">
        <v>8</v>
      </c>
      <c r="C68" s="59"/>
      <c r="D68" s="123">
        <f>'CFY 2020-21 Reductions'!P70</f>
        <v>72170831</v>
      </c>
      <c r="E68" s="118">
        <f t="shared" si="6"/>
        <v>0.16963269557499999</v>
      </c>
      <c r="F68" s="116">
        <f t="shared" si="7"/>
        <v>-5209976</v>
      </c>
      <c r="G68" s="122">
        <v>2981713.5</v>
      </c>
      <c r="H68" s="118">
        <f t="shared" si="8"/>
        <v>0.171188930648</v>
      </c>
      <c r="I68" s="117">
        <f t="shared" si="9"/>
        <v>2628886</v>
      </c>
      <c r="J68" s="116">
        <f t="shared" si="10"/>
        <v>-2581090</v>
      </c>
      <c r="K68" s="115">
        <f t="shared" si="11"/>
        <v>-3.5763617575638E-2</v>
      </c>
    </row>
    <row r="69" spans="1:11" ht="15.75" x14ac:dyDescent="0.25">
      <c r="A69" s="125" t="s">
        <v>21</v>
      </c>
      <c r="B69" s="124">
        <v>8</v>
      </c>
      <c r="C69" s="59"/>
      <c r="D69" s="123">
        <f>'CFY 2020-21 Reductions'!P71</f>
        <v>29213120</v>
      </c>
      <c r="E69" s="118">
        <f t="shared" si="6"/>
        <v>6.8663478348000004E-2</v>
      </c>
      <c r="F69" s="116">
        <f t="shared" si="7"/>
        <v>-2108880</v>
      </c>
      <c r="G69" s="122">
        <v>1288088.5</v>
      </c>
      <c r="H69" s="118">
        <f t="shared" si="8"/>
        <v>7.3952944470999996E-2</v>
      </c>
      <c r="I69" s="117">
        <f t="shared" si="9"/>
        <v>1135669</v>
      </c>
      <c r="J69" s="116">
        <f t="shared" si="10"/>
        <v>-973211</v>
      </c>
      <c r="K69" s="115">
        <f t="shared" si="11"/>
        <v>-3.3314175274671107E-2</v>
      </c>
    </row>
    <row r="70" spans="1:11" ht="16.5" thickBot="1" x14ac:dyDescent="0.3">
      <c r="A70" s="121" t="s">
        <v>19</v>
      </c>
      <c r="B70" s="120">
        <v>8</v>
      </c>
      <c r="C70" s="47"/>
      <c r="D70" s="123">
        <f>'CFY 2020-21 Reductions'!P72</f>
        <v>30873796</v>
      </c>
      <c r="E70" s="118">
        <f t="shared" si="6"/>
        <v>7.2566785854000004E-2</v>
      </c>
      <c r="F70" s="116">
        <f t="shared" si="7"/>
        <v>-2228764</v>
      </c>
      <c r="G70" s="119">
        <v>1239073</v>
      </c>
      <c r="H70" s="118">
        <f t="shared" si="8"/>
        <v>7.1138820635999994E-2</v>
      </c>
      <c r="I70" s="117">
        <f t="shared" si="9"/>
        <v>1092453</v>
      </c>
      <c r="J70" s="116">
        <f t="shared" si="10"/>
        <v>-1136311</v>
      </c>
      <c r="K70" s="115">
        <f t="shared" si="11"/>
        <v>-3.6805030388877349E-2</v>
      </c>
    </row>
    <row r="71" spans="1:11" ht="15.75" thickBot="1" x14ac:dyDescent="0.3">
      <c r="A71"/>
      <c r="B71"/>
      <c r="C71"/>
      <c r="D71"/>
      <c r="E71"/>
      <c r="F71"/>
      <c r="G71"/>
      <c r="H71"/>
      <c r="I71"/>
      <c r="J71"/>
      <c r="K71"/>
    </row>
    <row r="72" spans="1:11" ht="16.5" thickBot="1" x14ac:dyDescent="0.3">
      <c r="A72"/>
      <c r="B72"/>
      <c r="C72"/>
      <c r="D72" s="114">
        <f t="shared" ref="D72:J72" si="12">SUM(D4:D70)</f>
        <v>425453540.99000001</v>
      </c>
      <c r="E72" s="113">
        <f t="shared" si="12"/>
        <v>0.99999999999899991</v>
      </c>
      <c r="F72" s="110">
        <f t="shared" si="12"/>
        <v>-30713275</v>
      </c>
      <c r="G72" s="112">
        <f t="shared" si="12"/>
        <v>17417677</v>
      </c>
      <c r="H72" s="113">
        <f t="shared" si="12"/>
        <v>0.99999999999999989</v>
      </c>
      <c r="I72" s="111">
        <f t="shared" si="12"/>
        <v>15356637</v>
      </c>
      <c r="J72" s="110">
        <f t="shared" si="12"/>
        <v>-15356638</v>
      </c>
      <c r="K72" s="109">
        <f>J72/D72</f>
        <v>-3.6094747182656421E-2</v>
      </c>
    </row>
    <row r="73" spans="1:11" x14ac:dyDescent="0.25">
      <c r="B73"/>
      <c r="C73"/>
      <c r="I73" s="7"/>
    </row>
  </sheetData>
  <pageMargins left="0.5" right="0.5" top="0.75" bottom="0.75" header="0.3" footer="0.3"/>
  <pageSetup paperSize="5" scale="7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6D53-1F73-4C2B-A33C-70CF88F96266}">
  <sheetPr>
    <pageSetUpPr fitToPage="1"/>
  </sheetPr>
  <dimension ref="A1:B21"/>
  <sheetViews>
    <sheetView tabSelected="1" zoomScale="90" zoomScaleNormal="90" workbookViewId="0">
      <selection activeCell="A12" sqref="A12"/>
    </sheetView>
  </sheetViews>
  <sheetFormatPr defaultRowHeight="21" x14ac:dyDescent="0.35"/>
  <cols>
    <col min="1" max="1" width="105.7109375" style="378" customWidth="1"/>
    <col min="2" max="2" width="28" style="378" customWidth="1"/>
    <col min="3" max="3" width="3.85546875" style="378" customWidth="1"/>
    <col min="4" max="16384" width="9.140625" style="378"/>
  </cols>
  <sheetData>
    <row r="1" spans="1:2" x14ac:dyDescent="0.35">
      <c r="A1" s="401" t="s">
        <v>226</v>
      </c>
      <c r="B1" s="401"/>
    </row>
    <row r="2" spans="1:2" ht="37.5" customHeight="1" x14ac:dyDescent="0.35"/>
    <row r="3" spans="1:2" ht="21.75" thickBot="1" x14ac:dyDescent="0.4">
      <c r="A3" s="378" t="s">
        <v>229</v>
      </c>
      <c r="B3" s="381">
        <v>410000000</v>
      </c>
    </row>
    <row r="4" spans="1:2" ht="21.75" thickTop="1" x14ac:dyDescent="0.35">
      <c r="A4" s="405" t="s">
        <v>231</v>
      </c>
      <c r="B4" s="379">
        <f>SUM(B3:B3)</f>
        <v>410000000</v>
      </c>
    </row>
    <row r="5" spans="1:2" x14ac:dyDescent="0.35">
      <c r="B5" s="380"/>
    </row>
    <row r="6" spans="1:2" ht="21.75" thickBot="1" x14ac:dyDescent="0.4">
      <c r="A6" s="378" t="s">
        <v>230</v>
      </c>
      <c r="B6" s="380">
        <v>11700000</v>
      </c>
    </row>
    <row r="7" spans="1:2" ht="21.75" thickTop="1" x14ac:dyDescent="0.35">
      <c r="A7" s="405" t="s">
        <v>232</v>
      </c>
      <c r="B7" s="379">
        <f>SUM(B4:B6)</f>
        <v>421700000</v>
      </c>
    </row>
    <row r="8" spans="1:2" x14ac:dyDescent="0.35">
      <c r="B8" s="380"/>
    </row>
    <row r="9" spans="1:2" x14ac:dyDescent="0.35">
      <c r="B9" s="380"/>
    </row>
    <row r="10" spans="1:2" x14ac:dyDescent="0.35">
      <c r="B10" s="380"/>
    </row>
    <row r="11" spans="1:2" x14ac:dyDescent="0.35">
      <c r="A11" s="378" t="s">
        <v>235</v>
      </c>
      <c r="B11" s="381">
        <v>391413777</v>
      </c>
    </row>
    <row r="12" spans="1:2" ht="11.25" customHeight="1" x14ac:dyDescent="0.35">
      <c r="B12" s="381"/>
    </row>
    <row r="13" spans="1:2" s="382" customFormat="1" x14ac:dyDescent="0.35">
      <c r="A13" s="382" t="s">
        <v>227</v>
      </c>
      <c r="B13" s="383">
        <f>B4-B11</f>
        <v>18586223</v>
      </c>
    </row>
    <row r="14" spans="1:2" x14ac:dyDescent="0.35">
      <c r="B14" s="384">
        <f>B13/B11</f>
        <v>4.7484846196407644E-2</v>
      </c>
    </row>
    <row r="16" spans="1:2" hidden="1" x14ac:dyDescent="0.35">
      <c r="A16" s="385" t="s">
        <v>228</v>
      </c>
    </row>
    <row r="17" spans="1:2" x14ac:dyDescent="0.35">
      <c r="B17" s="386"/>
    </row>
    <row r="18" spans="1:2" x14ac:dyDescent="0.35">
      <c r="A18" s="378" t="s">
        <v>234</v>
      </c>
      <c r="B18" s="381">
        <v>403113777</v>
      </c>
    </row>
    <row r="19" spans="1:2" ht="11.25" customHeight="1" x14ac:dyDescent="0.35">
      <c r="B19" s="381"/>
    </row>
    <row r="20" spans="1:2" x14ac:dyDescent="0.35">
      <c r="A20" s="382" t="s">
        <v>233</v>
      </c>
      <c r="B20" s="383">
        <f>B7-B18</f>
        <v>18586223</v>
      </c>
    </row>
    <row r="21" spans="1:2" x14ac:dyDescent="0.35">
      <c r="B21" s="384">
        <f>B20/B18</f>
        <v>4.6106642988785772E-2</v>
      </c>
    </row>
  </sheetData>
  <mergeCells count="1">
    <mergeCell ref="A1:B1"/>
  </mergeCells>
  <printOptions horizontalCentered="1"/>
  <pageMargins left="0.5" right="0.5" top="1" bottom="1" header="0.5" footer="0.5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5A2C-35F4-4C61-8F45-7D072E9611B4}">
  <sheetPr>
    <pageSetUpPr fitToPage="1"/>
  </sheetPr>
  <dimension ref="A1:AH80"/>
  <sheetViews>
    <sheetView zoomScaleNormal="100" workbookViewId="0">
      <pane xSplit="2" ySplit="5" topLeftCell="C54" activePane="bottomRight" state="frozen"/>
      <selection pane="topRight" activeCell="D1" sqref="D1"/>
      <selection pane="bottomLeft" activeCell="A7" sqref="A7"/>
      <selection pane="bottomRight" activeCell="E77" sqref="E77"/>
    </sheetView>
  </sheetViews>
  <sheetFormatPr defaultColWidth="9.140625" defaultRowHeight="13.5" x14ac:dyDescent="0.25"/>
  <cols>
    <col min="1" max="1" width="11.5703125" style="1" bestFit="1" customWidth="1"/>
    <col min="2" max="2" width="6.7109375" style="1" customWidth="1"/>
    <col min="3" max="3" width="17.28515625" style="1" customWidth="1"/>
    <col min="4" max="4" width="15.42578125" style="1" customWidth="1"/>
    <col min="5" max="5" width="16.42578125" style="1" customWidth="1"/>
    <col min="6" max="6" width="15" style="1" customWidth="1"/>
    <col min="7" max="7" width="14.28515625" style="1" customWidth="1"/>
    <col min="8" max="8" width="17.42578125" style="1" customWidth="1"/>
    <col min="9" max="9" width="14.85546875" style="1" customWidth="1"/>
    <col min="10" max="10" width="17.140625" style="1" customWidth="1"/>
    <col min="11" max="11" width="15.140625" style="1" customWidth="1"/>
    <col min="12" max="12" width="9.28515625" style="347" customWidth="1"/>
    <col min="13" max="13" width="15.42578125" style="1" customWidth="1"/>
    <col min="14" max="14" width="9.28515625" style="347" customWidth="1"/>
    <col min="15" max="15" width="16.42578125" style="1" customWidth="1"/>
    <col min="16" max="16" width="14.28515625" style="1" customWidth="1"/>
    <col min="17" max="17" width="16.42578125" style="1" customWidth="1"/>
    <col min="18" max="18" width="10.7109375" style="343" customWidth="1"/>
    <col min="19" max="19" width="14" style="1" bestFit="1" customWidth="1"/>
    <col min="20" max="20" width="15.140625" style="1" bestFit="1" customWidth="1"/>
    <col min="21" max="21" width="12.7109375" style="1" bestFit="1" customWidth="1"/>
    <col min="22" max="22" width="13.85546875" style="1" bestFit="1" customWidth="1"/>
    <col min="23" max="16384" width="9.140625" style="1"/>
  </cols>
  <sheetData>
    <row r="1" spans="1:34" ht="15.75" customHeight="1" thickBot="1" x14ac:dyDescent="0.3">
      <c r="A1" s="107"/>
      <c r="B1" s="219"/>
      <c r="C1" s="328"/>
      <c r="D1" s="393" t="s">
        <v>209</v>
      </c>
      <c r="E1" s="394"/>
      <c r="F1" s="394"/>
      <c r="G1" s="394"/>
      <c r="H1" s="395"/>
      <c r="I1" s="390" t="s">
        <v>216</v>
      </c>
      <c r="J1" s="391"/>
      <c r="K1" s="391"/>
      <c r="L1" s="391"/>
      <c r="M1" s="391"/>
      <c r="N1" s="392"/>
      <c r="O1" s="352">
        <f>O2-J2</f>
        <v>-38398802.99000001</v>
      </c>
      <c r="P1" s="402"/>
      <c r="Q1" s="403"/>
      <c r="R1" s="404"/>
    </row>
    <row r="2" spans="1:34" s="10" customFormat="1" ht="14.25" hidden="1" thickBot="1" x14ac:dyDescent="0.3">
      <c r="A2" s="396" t="s">
        <v>87</v>
      </c>
      <c r="B2" s="397"/>
      <c r="C2" s="92">
        <f t="shared" ref="C2:G2" si="0">SUM(C6:C72)</f>
        <v>446812672</v>
      </c>
      <c r="D2" s="92">
        <f t="shared" si="0"/>
        <v>10000000</v>
      </c>
      <c r="E2" s="89">
        <f t="shared" si="0"/>
        <v>800743</v>
      </c>
      <c r="F2" s="89">
        <f t="shared" si="0"/>
        <v>1494425</v>
      </c>
      <c r="G2" s="91">
        <f t="shared" si="0"/>
        <v>8453579</v>
      </c>
      <c r="H2" s="87">
        <f>C2+G2-D2-E2-F2</f>
        <v>442971083</v>
      </c>
      <c r="I2" s="91">
        <f>SUM(I6:I72)</f>
        <v>5427719.9900000002</v>
      </c>
      <c r="J2" s="87">
        <f>H2+I2</f>
        <v>448398802.99000001</v>
      </c>
      <c r="K2" s="89">
        <f>O1*0.6</f>
        <v>-23039281.794000003</v>
      </c>
      <c r="L2" s="340">
        <f>K2/J2</f>
        <v>-5.1381229477799953E-2</v>
      </c>
      <c r="M2" s="89">
        <f>O1*0.4</f>
        <v>-15359521.196000004</v>
      </c>
      <c r="N2" s="340">
        <f>M2/J2</f>
        <v>-3.4254152985199973E-2</v>
      </c>
      <c r="O2" s="87">
        <v>410000000</v>
      </c>
      <c r="P2" s="211">
        <v>11700000</v>
      </c>
      <c r="Q2" s="216"/>
      <c r="R2" s="33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10" customFormat="1" ht="15.75" hidden="1" customHeight="1" x14ac:dyDescent="0.25">
      <c r="A3" s="98"/>
      <c r="B3" s="97"/>
      <c r="C3" s="221" t="e">
        <f>SUM(#REF!)</f>
        <v>#REF!</v>
      </c>
      <c r="D3" s="92"/>
      <c r="E3" s="89"/>
      <c r="F3" s="89"/>
      <c r="G3" s="91"/>
      <c r="H3" s="87"/>
      <c r="I3" s="236"/>
      <c r="J3" s="222">
        <f>SUM(J32,J34,J36,J37,J39:J72)</f>
        <v>425453540.99000001</v>
      </c>
      <c r="K3" s="89"/>
      <c r="L3" s="348"/>
      <c r="M3" s="89"/>
      <c r="N3" s="344"/>
      <c r="O3" s="224"/>
      <c r="P3" s="211"/>
      <c r="Q3" s="216"/>
      <c r="R3" s="33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10" customFormat="1" ht="15.6" hidden="1" customHeight="1" thickBot="1" x14ac:dyDescent="0.3">
      <c r="A4" s="98"/>
      <c r="B4" s="97"/>
      <c r="C4" s="93"/>
      <c r="D4" s="92"/>
      <c r="E4" s="89"/>
      <c r="F4" s="89"/>
      <c r="G4" s="91"/>
      <c r="H4" s="87"/>
      <c r="I4" s="236"/>
      <c r="J4" s="87">
        <f>SUM(J6:J31,J33,J35,J38)</f>
        <v>22945262</v>
      </c>
      <c r="K4" s="89"/>
      <c r="L4" s="348"/>
      <c r="M4" s="89"/>
      <c r="N4" s="344"/>
      <c r="O4" s="224"/>
      <c r="P4" s="211"/>
      <c r="Q4" s="216"/>
      <c r="R4" s="33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73" customFormat="1" ht="54.75" thickBot="1" x14ac:dyDescent="0.3">
      <c r="A5" s="84" t="s">
        <v>86</v>
      </c>
      <c r="B5" s="85" t="s">
        <v>85</v>
      </c>
      <c r="C5" s="225" t="s">
        <v>208</v>
      </c>
      <c r="D5" s="218" t="s">
        <v>222</v>
      </c>
      <c r="E5" s="77" t="s">
        <v>223</v>
      </c>
      <c r="F5" s="77" t="s">
        <v>224</v>
      </c>
      <c r="G5" s="324" t="s">
        <v>217</v>
      </c>
      <c r="H5" s="75" t="s">
        <v>212</v>
      </c>
      <c r="I5" s="334" t="s">
        <v>218</v>
      </c>
      <c r="J5" s="75" t="s">
        <v>213</v>
      </c>
      <c r="K5" s="338" t="s">
        <v>214</v>
      </c>
      <c r="L5" s="349" t="s">
        <v>71</v>
      </c>
      <c r="M5" s="78" t="s">
        <v>73</v>
      </c>
      <c r="N5" s="345" t="s">
        <v>71</v>
      </c>
      <c r="O5" s="75" t="s">
        <v>207</v>
      </c>
      <c r="P5" s="324" t="s">
        <v>219</v>
      </c>
      <c r="Q5" s="225" t="s">
        <v>206</v>
      </c>
      <c r="R5" s="356" t="s">
        <v>215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10" customFormat="1" x14ac:dyDescent="0.25">
      <c r="A6" s="72" t="s">
        <v>62</v>
      </c>
      <c r="B6" s="71">
        <v>1</v>
      </c>
      <c r="C6" s="44">
        <v>428517</v>
      </c>
      <c r="D6" s="67">
        <v>9591</v>
      </c>
      <c r="E6" s="64"/>
      <c r="F6" s="64"/>
      <c r="G6" s="66"/>
      <c r="H6" s="62">
        <f t="shared" ref="H6:H37" si="1">C6+G6-D6-E6-F6</f>
        <v>418926</v>
      </c>
      <c r="I6" s="65">
        <v>4111</v>
      </c>
      <c r="J6" s="335">
        <f t="shared" ref="J6:J37" si="2">H6+I6</f>
        <v>423037</v>
      </c>
      <c r="K6" s="357">
        <v>0</v>
      </c>
      <c r="L6" s="358">
        <f t="shared" ref="L6:L37" si="3">K6/J6</f>
        <v>0</v>
      </c>
      <c r="M6" s="63">
        <f>'Weighted Cases Calc.  '!J4</f>
        <v>0</v>
      </c>
      <c r="N6" s="358">
        <f t="shared" ref="N6:N37" si="4">M6/J6</f>
        <v>0</v>
      </c>
      <c r="O6" s="62">
        <f>J6+K6+M6</f>
        <v>423037</v>
      </c>
      <c r="P6" s="281">
        <v>8508</v>
      </c>
      <c r="Q6" s="325">
        <f t="shared" ref="Q6:Q37" si="5">O6+P6</f>
        <v>431545</v>
      </c>
      <c r="R6" s="359">
        <f t="shared" ref="R6:R37" si="6">O6/J6-1</f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10" customFormat="1" x14ac:dyDescent="0.25">
      <c r="A7" s="61" t="s">
        <v>36</v>
      </c>
      <c r="B7" s="60">
        <v>1</v>
      </c>
      <c r="C7" s="44">
        <v>298844</v>
      </c>
      <c r="D7" s="56">
        <v>6688</v>
      </c>
      <c r="E7" s="52"/>
      <c r="F7" s="52"/>
      <c r="G7" s="55"/>
      <c r="H7" s="50">
        <f t="shared" si="1"/>
        <v>292156</v>
      </c>
      <c r="I7" s="54">
        <v>0</v>
      </c>
      <c r="J7" s="336">
        <f t="shared" si="2"/>
        <v>292156</v>
      </c>
      <c r="K7" s="357">
        <v>0</v>
      </c>
      <c r="L7" s="358">
        <f t="shared" si="3"/>
        <v>0</v>
      </c>
      <c r="M7" s="63">
        <f>'Weighted Cases Calc.  '!J5</f>
        <v>0</v>
      </c>
      <c r="N7" s="358">
        <f t="shared" si="4"/>
        <v>0</v>
      </c>
      <c r="O7" s="62">
        <f t="shared" ref="O7:O70" si="7">J7+K7+M7</f>
        <v>292156</v>
      </c>
      <c r="P7" s="256">
        <v>6121</v>
      </c>
      <c r="Q7" s="325">
        <f t="shared" si="5"/>
        <v>298277</v>
      </c>
      <c r="R7" s="359">
        <f t="shared" si="6"/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10" customFormat="1" x14ac:dyDescent="0.25">
      <c r="A8" s="61" t="s">
        <v>31</v>
      </c>
      <c r="B8" s="60">
        <v>1</v>
      </c>
      <c r="C8" s="44">
        <v>288357</v>
      </c>
      <c r="D8" s="56">
        <v>6454</v>
      </c>
      <c r="E8" s="52"/>
      <c r="F8" s="52"/>
      <c r="G8" s="55"/>
      <c r="H8" s="50">
        <f t="shared" si="1"/>
        <v>281903</v>
      </c>
      <c r="I8" s="54">
        <v>6454</v>
      </c>
      <c r="J8" s="336">
        <f t="shared" si="2"/>
        <v>288357</v>
      </c>
      <c r="K8" s="357">
        <v>0</v>
      </c>
      <c r="L8" s="358">
        <f t="shared" si="3"/>
        <v>0</v>
      </c>
      <c r="M8" s="63">
        <f>'Weighted Cases Calc.  '!J6</f>
        <v>0</v>
      </c>
      <c r="N8" s="358">
        <f t="shared" si="4"/>
        <v>0</v>
      </c>
      <c r="O8" s="62">
        <f t="shared" si="7"/>
        <v>288357</v>
      </c>
      <c r="P8" s="256">
        <v>9964</v>
      </c>
      <c r="Q8" s="325">
        <f t="shared" si="5"/>
        <v>298321</v>
      </c>
      <c r="R8" s="359">
        <f t="shared" si="6"/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10" customFormat="1" x14ac:dyDescent="0.25">
      <c r="A9" s="61" t="s">
        <v>6</v>
      </c>
      <c r="B9" s="60">
        <v>1</v>
      </c>
      <c r="C9" s="44">
        <v>467330</v>
      </c>
      <c r="D9" s="56">
        <v>10458</v>
      </c>
      <c r="E9" s="52">
        <v>7000</v>
      </c>
      <c r="F9" s="52"/>
      <c r="G9" s="55"/>
      <c r="H9" s="50">
        <f t="shared" si="1"/>
        <v>449872</v>
      </c>
      <c r="I9" s="54">
        <v>8000</v>
      </c>
      <c r="J9" s="336">
        <f t="shared" si="2"/>
        <v>457872</v>
      </c>
      <c r="K9" s="357">
        <v>0</v>
      </c>
      <c r="L9" s="358">
        <f t="shared" si="3"/>
        <v>0</v>
      </c>
      <c r="M9" s="63">
        <f>'Weighted Cases Calc.  '!J7</f>
        <v>0</v>
      </c>
      <c r="N9" s="358">
        <f t="shared" si="4"/>
        <v>0</v>
      </c>
      <c r="O9" s="62">
        <f t="shared" si="7"/>
        <v>457872</v>
      </c>
      <c r="P9" s="256">
        <v>8252</v>
      </c>
      <c r="Q9" s="325">
        <f t="shared" si="5"/>
        <v>466124</v>
      </c>
      <c r="R9" s="359">
        <f t="shared" si="6"/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0" customFormat="1" x14ac:dyDescent="0.25">
      <c r="A10" s="61" t="s">
        <v>67</v>
      </c>
      <c r="B10" s="60">
        <v>2</v>
      </c>
      <c r="C10" s="44">
        <v>663029</v>
      </c>
      <c r="D10" s="56">
        <v>14839</v>
      </c>
      <c r="E10" s="52"/>
      <c r="F10" s="52"/>
      <c r="G10" s="55"/>
      <c r="H10" s="50">
        <f t="shared" si="1"/>
        <v>648190</v>
      </c>
      <c r="I10" s="54">
        <v>14839</v>
      </c>
      <c r="J10" s="336">
        <f t="shared" si="2"/>
        <v>663029</v>
      </c>
      <c r="K10" s="357">
        <v>0</v>
      </c>
      <c r="L10" s="358">
        <f t="shared" si="3"/>
        <v>0</v>
      </c>
      <c r="M10" s="63">
        <f>'Weighted Cases Calc.  '!J8</f>
        <v>0</v>
      </c>
      <c r="N10" s="358">
        <f t="shared" si="4"/>
        <v>0</v>
      </c>
      <c r="O10" s="62">
        <f t="shared" si="7"/>
        <v>663029</v>
      </c>
      <c r="P10" s="256">
        <v>35091</v>
      </c>
      <c r="Q10" s="325">
        <f t="shared" si="5"/>
        <v>698120</v>
      </c>
      <c r="R10" s="359">
        <f t="shared" si="6"/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0" customFormat="1" x14ac:dyDescent="0.25">
      <c r="A11" s="61" t="s">
        <v>55</v>
      </c>
      <c r="B11" s="60">
        <v>2</v>
      </c>
      <c r="C11" s="44">
        <v>465241</v>
      </c>
      <c r="D11" s="56">
        <v>10412</v>
      </c>
      <c r="E11" s="52"/>
      <c r="F11" s="52"/>
      <c r="G11" s="55"/>
      <c r="H11" s="50">
        <f t="shared" si="1"/>
        <v>454829</v>
      </c>
      <c r="I11" s="54">
        <v>5842</v>
      </c>
      <c r="J11" s="336">
        <f t="shared" si="2"/>
        <v>460671</v>
      </c>
      <c r="K11" s="357">
        <v>0</v>
      </c>
      <c r="L11" s="358">
        <f t="shared" si="3"/>
        <v>0</v>
      </c>
      <c r="M11" s="63">
        <f>'Weighted Cases Calc.  '!J9</f>
        <v>0</v>
      </c>
      <c r="N11" s="358">
        <f t="shared" si="4"/>
        <v>0</v>
      </c>
      <c r="O11" s="62">
        <f t="shared" si="7"/>
        <v>460671</v>
      </c>
      <c r="P11" s="256">
        <v>11336</v>
      </c>
      <c r="Q11" s="325">
        <f t="shared" si="5"/>
        <v>472007</v>
      </c>
      <c r="R11" s="359">
        <f t="shared" si="6"/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0" customFormat="1" x14ac:dyDescent="0.25">
      <c r="A12" s="61" t="s">
        <v>51</v>
      </c>
      <c r="B12" s="60">
        <v>2</v>
      </c>
      <c r="C12" s="44">
        <v>620259</v>
      </c>
      <c r="D12" s="56">
        <v>13882</v>
      </c>
      <c r="E12" s="52"/>
      <c r="F12" s="52"/>
      <c r="G12" s="55"/>
      <c r="H12" s="50">
        <f t="shared" si="1"/>
        <v>606377</v>
      </c>
      <c r="I12" s="54">
        <v>13882</v>
      </c>
      <c r="J12" s="336">
        <f t="shared" si="2"/>
        <v>620259</v>
      </c>
      <c r="K12" s="357">
        <v>0</v>
      </c>
      <c r="L12" s="358">
        <f t="shared" si="3"/>
        <v>0</v>
      </c>
      <c r="M12" s="63">
        <f>'Weighted Cases Calc.  '!J10</f>
        <v>0</v>
      </c>
      <c r="N12" s="358">
        <f t="shared" si="4"/>
        <v>0</v>
      </c>
      <c r="O12" s="62">
        <f t="shared" si="7"/>
        <v>620259</v>
      </c>
      <c r="P12" s="256">
        <v>14000</v>
      </c>
      <c r="Q12" s="325">
        <f t="shared" si="5"/>
        <v>634259</v>
      </c>
      <c r="R12" s="359">
        <f t="shared" si="6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0" customFormat="1" x14ac:dyDescent="0.25">
      <c r="A13" s="61" t="s">
        <v>49</v>
      </c>
      <c r="B13" s="60">
        <v>2</v>
      </c>
      <c r="C13" s="44">
        <v>512702</v>
      </c>
      <c r="D13" s="56">
        <v>11475</v>
      </c>
      <c r="E13" s="52"/>
      <c r="F13" s="52"/>
      <c r="G13" s="55"/>
      <c r="H13" s="50">
        <f t="shared" si="1"/>
        <v>501227</v>
      </c>
      <c r="I13" s="54">
        <v>11475</v>
      </c>
      <c r="J13" s="336">
        <f t="shared" si="2"/>
        <v>512702</v>
      </c>
      <c r="K13" s="357">
        <v>0</v>
      </c>
      <c r="L13" s="358">
        <f t="shared" si="3"/>
        <v>0</v>
      </c>
      <c r="M13" s="63">
        <f>'Weighted Cases Calc.  '!J11</f>
        <v>0</v>
      </c>
      <c r="N13" s="358">
        <f t="shared" si="4"/>
        <v>0</v>
      </c>
      <c r="O13" s="62">
        <f t="shared" si="7"/>
        <v>512702</v>
      </c>
      <c r="P13" s="256">
        <v>7958</v>
      </c>
      <c r="Q13" s="325">
        <f t="shared" si="5"/>
        <v>520660</v>
      </c>
      <c r="R13" s="359">
        <f t="shared" si="6"/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0" customFormat="1" x14ac:dyDescent="0.25">
      <c r="A14" s="61" t="s">
        <v>48</v>
      </c>
      <c r="B14" s="60">
        <v>2</v>
      </c>
      <c r="C14" s="44">
        <v>504497</v>
      </c>
      <c r="D14" s="56">
        <v>11291</v>
      </c>
      <c r="E14" s="52"/>
      <c r="F14" s="52"/>
      <c r="G14" s="55"/>
      <c r="H14" s="50">
        <f t="shared" si="1"/>
        <v>493206</v>
      </c>
      <c r="I14" s="54">
        <v>5246</v>
      </c>
      <c r="J14" s="336">
        <f t="shared" si="2"/>
        <v>498452</v>
      </c>
      <c r="K14" s="357">
        <v>0</v>
      </c>
      <c r="L14" s="358">
        <f t="shared" si="3"/>
        <v>0</v>
      </c>
      <c r="M14" s="63">
        <f>'Weighted Cases Calc.  '!J12</f>
        <v>0</v>
      </c>
      <c r="N14" s="358">
        <f t="shared" si="4"/>
        <v>0</v>
      </c>
      <c r="O14" s="62">
        <f t="shared" si="7"/>
        <v>498452</v>
      </c>
      <c r="P14" s="256">
        <v>20146</v>
      </c>
      <c r="Q14" s="325">
        <f t="shared" si="5"/>
        <v>518598</v>
      </c>
      <c r="R14" s="359">
        <f t="shared" si="6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0" customFormat="1" x14ac:dyDescent="0.25">
      <c r="A15" s="61" t="s">
        <v>47</v>
      </c>
      <c r="B15" s="60">
        <v>2</v>
      </c>
      <c r="C15" s="44">
        <v>470599</v>
      </c>
      <c r="D15" s="56">
        <v>10532</v>
      </c>
      <c r="E15" s="52"/>
      <c r="F15" s="52"/>
      <c r="G15" s="55"/>
      <c r="H15" s="50">
        <f t="shared" si="1"/>
        <v>460067</v>
      </c>
      <c r="I15" s="54">
        <v>0</v>
      </c>
      <c r="J15" s="336">
        <f t="shared" si="2"/>
        <v>460067</v>
      </c>
      <c r="K15" s="357">
        <v>0</v>
      </c>
      <c r="L15" s="358">
        <f t="shared" si="3"/>
        <v>0</v>
      </c>
      <c r="M15" s="63">
        <f>'Weighted Cases Calc.  '!J13</f>
        <v>0</v>
      </c>
      <c r="N15" s="358">
        <f t="shared" si="4"/>
        <v>0</v>
      </c>
      <c r="O15" s="62">
        <f t="shared" si="7"/>
        <v>460067</v>
      </c>
      <c r="P15" s="256">
        <v>20602</v>
      </c>
      <c r="Q15" s="325">
        <f t="shared" si="5"/>
        <v>480669</v>
      </c>
      <c r="R15" s="359">
        <f t="shared" si="6"/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0" customFormat="1" x14ac:dyDescent="0.25">
      <c r="A16" s="61" t="s">
        <v>46</v>
      </c>
      <c r="B16" s="60">
        <v>2</v>
      </c>
      <c r="C16" s="44">
        <v>498919</v>
      </c>
      <c r="D16" s="56">
        <v>11166</v>
      </c>
      <c r="E16" s="52"/>
      <c r="F16" s="52"/>
      <c r="G16" s="55"/>
      <c r="H16" s="50">
        <f t="shared" si="1"/>
        <v>487753</v>
      </c>
      <c r="I16" s="54">
        <v>8961</v>
      </c>
      <c r="J16" s="336">
        <f t="shared" si="2"/>
        <v>496714</v>
      </c>
      <c r="K16" s="357">
        <v>0</v>
      </c>
      <c r="L16" s="358">
        <f t="shared" si="3"/>
        <v>0</v>
      </c>
      <c r="M16" s="63">
        <f>'Weighted Cases Calc.  '!J14</f>
        <v>0</v>
      </c>
      <c r="N16" s="358">
        <f t="shared" si="4"/>
        <v>0</v>
      </c>
      <c r="O16" s="62">
        <f t="shared" si="7"/>
        <v>496714</v>
      </c>
      <c r="P16" s="256">
        <v>12928</v>
      </c>
      <c r="Q16" s="325">
        <f t="shared" si="5"/>
        <v>509642</v>
      </c>
      <c r="R16" s="359">
        <f t="shared" si="6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10" customFormat="1" x14ac:dyDescent="0.25">
      <c r="A17" s="61" t="s">
        <v>40</v>
      </c>
      <c r="B17" s="60">
        <v>2</v>
      </c>
      <c r="C17" s="44">
        <v>559006</v>
      </c>
      <c r="D17" s="56">
        <v>12511</v>
      </c>
      <c r="E17" s="52"/>
      <c r="F17" s="52"/>
      <c r="G17" s="55"/>
      <c r="H17" s="50">
        <f t="shared" si="1"/>
        <v>546495</v>
      </c>
      <c r="I17" s="54">
        <v>6307</v>
      </c>
      <c r="J17" s="336">
        <f t="shared" si="2"/>
        <v>552802</v>
      </c>
      <c r="K17" s="357">
        <v>0</v>
      </c>
      <c r="L17" s="358">
        <f t="shared" si="3"/>
        <v>0</v>
      </c>
      <c r="M17" s="63">
        <f>'Weighted Cases Calc.  '!J15</f>
        <v>0</v>
      </c>
      <c r="N17" s="358">
        <f t="shared" si="4"/>
        <v>0</v>
      </c>
      <c r="O17" s="62">
        <f t="shared" si="7"/>
        <v>552802</v>
      </c>
      <c r="P17" s="256">
        <v>17037</v>
      </c>
      <c r="Q17" s="325">
        <f t="shared" si="5"/>
        <v>569839</v>
      </c>
      <c r="R17" s="359">
        <f t="shared" si="6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0" customFormat="1" x14ac:dyDescent="0.25">
      <c r="A18" s="61" t="s">
        <v>37</v>
      </c>
      <c r="B18" s="60">
        <v>2</v>
      </c>
      <c r="C18" s="44">
        <v>471920</v>
      </c>
      <c r="D18" s="56">
        <v>10562</v>
      </c>
      <c r="E18" s="52"/>
      <c r="F18" s="52"/>
      <c r="G18" s="55"/>
      <c r="H18" s="50">
        <f t="shared" si="1"/>
        <v>461358</v>
      </c>
      <c r="I18" s="54">
        <v>5058</v>
      </c>
      <c r="J18" s="336">
        <f t="shared" si="2"/>
        <v>466416</v>
      </c>
      <c r="K18" s="357">
        <v>0</v>
      </c>
      <c r="L18" s="358">
        <f t="shared" si="3"/>
        <v>0</v>
      </c>
      <c r="M18" s="63">
        <f>'Weighted Cases Calc.  '!J16</f>
        <v>0</v>
      </c>
      <c r="N18" s="358">
        <f t="shared" si="4"/>
        <v>0</v>
      </c>
      <c r="O18" s="62">
        <f t="shared" si="7"/>
        <v>466416</v>
      </c>
      <c r="P18" s="256">
        <v>39724</v>
      </c>
      <c r="Q18" s="325">
        <f t="shared" si="5"/>
        <v>506140</v>
      </c>
      <c r="R18" s="359">
        <f t="shared" si="6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10" customFormat="1" x14ac:dyDescent="0.25">
      <c r="A19" s="61" t="s">
        <v>7</v>
      </c>
      <c r="B19" s="60">
        <v>2</v>
      </c>
      <c r="C19" s="44">
        <v>526312</v>
      </c>
      <c r="D19" s="56">
        <v>11779</v>
      </c>
      <c r="E19" s="52"/>
      <c r="F19" s="52"/>
      <c r="G19" s="55"/>
      <c r="H19" s="50">
        <f t="shared" si="1"/>
        <v>514533</v>
      </c>
      <c r="I19" s="54">
        <v>11218</v>
      </c>
      <c r="J19" s="336">
        <f t="shared" si="2"/>
        <v>525751</v>
      </c>
      <c r="K19" s="357">
        <v>0</v>
      </c>
      <c r="L19" s="358">
        <f t="shared" si="3"/>
        <v>0</v>
      </c>
      <c r="M19" s="63">
        <f>'Weighted Cases Calc.  '!J17</f>
        <v>0</v>
      </c>
      <c r="N19" s="358">
        <f t="shared" si="4"/>
        <v>0</v>
      </c>
      <c r="O19" s="62">
        <f t="shared" si="7"/>
        <v>525751</v>
      </c>
      <c r="P19" s="256">
        <v>11979</v>
      </c>
      <c r="Q19" s="325">
        <f t="shared" si="5"/>
        <v>537730</v>
      </c>
      <c r="R19" s="359">
        <f t="shared" si="6"/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0" customFormat="1" x14ac:dyDescent="0.25">
      <c r="A20" s="61" t="s">
        <v>2</v>
      </c>
      <c r="B20" s="60">
        <v>2</v>
      </c>
      <c r="C20" s="44">
        <v>754649</v>
      </c>
      <c r="D20" s="56">
        <v>16890</v>
      </c>
      <c r="E20" s="52"/>
      <c r="F20" s="52"/>
      <c r="G20" s="55"/>
      <c r="H20" s="50">
        <f t="shared" si="1"/>
        <v>737759</v>
      </c>
      <c r="I20" s="54">
        <v>3250</v>
      </c>
      <c r="J20" s="336">
        <f t="shared" si="2"/>
        <v>741009</v>
      </c>
      <c r="K20" s="357">
        <v>0</v>
      </c>
      <c r="L20" s="358">
        <f t="shared" si="3"/>
        <v>0</v>
      </c>
      <c r="M20" s="63">
        <f>'Weighted Cases Calc.  '!J18</f>
        <v>0</v>
      </c>
      <c r="N20" s="358">
        <f t="shared" si="4"/>
        <v>0</v>
      </c>
      <c r="O20" s="62">
        <f t="shared" si="7"/>
        <v>741009</v>
      </c>
      <c r="P20" s="256">
        <v>38209</v>
      </c>
      <c r="Q20" s="325">
        <f t="shared" si="5"/>
        <v>779218</v>
      </c>
      <c r="R20" s="359">
        <f t="shared" si="6"/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0" customFormat="1" x14ac:dyDescent="0.25">
      <c r="A21" s="61" t="s">
        <v>65</v>
      </c>
      <c r="B21" s="60">
        <v>3</v>
      </c>
      <c r="C21" s="44">
        <v>680789</v>
      </c>
      <c r="D21" s="56">
        <v>15237</v>
      </c>
      <c r="E21" s="52"/>
      <c r="F21" s="52"/>
      <c r="G21" s="55"/>
      <c r="H21" s="50">
        <f t="shared" si="1"/>
        <v>665552</v>
      </c>
      <c r="I21" s="54">
        <v>15237</v>
      </c>
      <c r="J21" s="336">
        <f t="shared" si="2"/>
        <v>680789</v>
      </c>
      <c r="K21" s="357">
        <v>0</v>
      </c>
      <c r="L21" s="358">
        <f t="shared" si="3"/>
        <v>0</v>
      </c>
      <c r="M21" s="63">
        <f>'Weighted Cases Calc.  '!J19</f>
        <v>0</v>
      </c>
      <c r="N21" s="358">
        <f t="shared" si="4"/>
        <v>0</v>
      </c>
      <c r="O21" s="62">
        <f t="shared" si="7"/>
        <v>680789</v>
      </c>
      <c r="P21" s="256">
        <v>21725</v>
      </c>
      <c r="Q21" s="325">
        <f t="shared" si="5"/>
        <v>702514</v>
      </c>
      <c r="R21" s="359">
        <f t="shared" si="6"/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10" customFormat="1" x14ac:dyDescent="0.25">
      <c r="A22" s="61" t="s">
        <v>56</v>
      </c>
      <c r="B22" s="60">
        <v>3</v>
      </c>
      <c r="C22" s="44">
        <v>762973</v>
      </c>
      <c r="D22" s="56">
        <v>17076</v>
      </c>
      <c r="E22" s="52"/>
      <c r="F22" s="52"/>
      <c r="G22" s="55"/>
      <c r="H22" s="50">
        <f t="shared" si="1"/>
        <v>745897</v>
      </c>
      <c r="I22" s="54">
        <v>17076</v>
      </c>
      <c r="J22" s="336">
        <f t="shared" si="2"/>
        <v>762973</v>
      </c>
      <c r="K22" s="357">
        <v>0</v>
      </c>
      <c r="L22" s="358">
        <f t="shared" si="3"/>
        <v>0</v>
      </c>
      <c r="M22" s="63">
        <f>'Weighted Cases Calc.  '!J20</f>
        <v>0</v>
      </c>
      <c r="N22" s="358">
        <f t="shared" si="4"/>
        <v>0</v>
      </c>
      <c r="O22" s="62">
        <f t="shared" si="7"/>
        <v>762973</v>
      </c>
      <c r="P22" s="256">
        <v>33258</v>
      </c>
      <c r="Q22" s="325">
        <f t="shared" si="5"/>
        <v>796231</v>
      </c>
      <c r="R22" s="359">
        <f t="shared" si="6"/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10" customFormat="1" x14ac:dyDescent="0.25">
      <c r="A23" s="61" t="s">
        <v>50</v>
      </c>
      <c r="B23" s="60">
        <v>3</v>
      </c>
      <c r="C23" s="44">
        <v>1243932</v>
      </c>
      <c r="D23" s="56">
        <v>27840</v>
      </c>
      <c r="E23" s="52"/>
      <c r="F23" s="52"/>
      <c r="G23" s="55"/>
      <c r="H23" s="50">
        <f t="shared" si="1"/>
        <v>1216092</v>
      </c>
      <c r="I23" s="54">
        <v>14359</v>
      </c>
      <c r="J23" s="336">
        <f t="shared" si="2"/>
        <v>1230451</v>
      </c>
      <c r="K23" s="357">
        <v>0</v>
      </c>
      <c r="L23" s="358">
        <f t="shared" si="3"/>
        <v>0</v>
      </c>
      <c r="M23" s="63">
        <f>'Weighted Cases Calc.  '!J21</f>
        <v>0</v>
      </c>
      <c r="N23" s="358">
        <f t="shared" si="4"/>
        <v>0</v>
      </c>
      <c r="O23" s="62">
        <f t="shared" si="7"/>
        <v>1230451</v>
      </c>
      <c r="P23" s="256">
        <v>51146</v>
      </c>
      <c r="Q23" s="325">
        <f t="shared" si="5"/>
        <v>1281597</v>
      </c>
      <c r="R23" s="359">
        <f t="shared" si="6"/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0" customFormat="1" x14ac:dyDescent="0.25">
      <c r="A24" s="61" t="s">
        <v>45</v>
      </c>
      <c r="B24" s="60">
        <v>3</v>
      </c>
      <c r="C24" s="44">
        <v>863252</v>
      </c>
      <c r="D24" s="56">
        <v>19320</v>
      </c>
      <c r="E24" s="52"/>
      <c r="F24" s="52"/>
      <c r="G24" s="55"/>
      <c r="H24" s="50">
        <f t="shared" si="1"/>
        <v>843932</v>
      </c>
      <c r="I24" s="54">
        <v>9000</v>
      </c>
      <c r="J24" s="336">
        <f t="shared" si="2"/>
        <v>852932</v>
      </c>
      <c r="K24" s="357">
        <v>0</v>
      </c>
      <c r="L24" s="358">
        <f t="shared" si="3"/>
        <v>0</v>
      </c>
      <c r="M24" s="63">
        <f>'Weighted Cases Calc.  '!J22</f>
        <v>0</v>
      </c>
      <c r="N24" s="358">
        <f t="shared" si="4"/>
        <v>0</v>
      </c>
      <c r="O24" s="62">
        <f t="shared" si="7"/>
        <v>852932</v>
      </c>
      <c r="P24" s="256">
        <v>37662</v>
      </c>
      <c r="Q24" s="325">
        <f t="shared" si="5"/>
        <v>890594</v>
      </c>
      <c r="R24" s="359">
        <f t="shared" si="6"/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0" customFormat="1" x14ac:dyDescent="0.25">
      <c r="A25" s="61" t="s">
        <v>44</v>
      </c>
      <c r="B25" s="60">
        <v>3</v>
      </c>
      <c r="C25" s="44">
        <v>1197173</v>
      </c>
      <c r="D25" s="56">
        <v>26794</v>
      </c>
      <c r="E25" s="52"/>
      <c r="F25" s="52"/>
      <c r="G25" s="55"/>
      <c r="H25" s="50">
        <f t="shared" si="1"/>
        <v>1170379</v>
      </c>
      <c r="I25" s="54">
        <v>26794</v>
      </c>
      <c r="J25" s="336">
        <f t="shared" si="2"/>
        <v>1197173</v>
      </c>
      <c r="K25" s="357">
        <v>0</v>
      </c>
      <c r="L25" s="358">
        <f t="shared" si="3"/>
        <v>0</v>
      </c>
      <c r="M25" s="63">
        <f>'Weighted Cases Calc.  '!J23</f>
        <v>0</v>
      </c>
      <c r="N25" s="358">
        <f t="shared" si="4"/>
        <v>0</v>
      </c>
      <c r="O25" s="62">
        <f t="shared" si="7"/>
        <v>1197173</v>
      </c>
      <c r="P25" s="256">
        <v>58253</v>
      </c>
      <c r="Q25" s="325">
        <f t="shared" si="5"/>
        <v>1255426</v>
      </c>
      <c r="R25" s="359">
        <f t="shared" si="6"/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0" customFormat="1" x14ac:dyDescent="0.25">
      <c r="A26" s="61" t="s">
        <v>38</v>
      </c>
      <c r="B26" s="60">
        <v>3</v>
      </c>
      <c r="C26" s="44">
        <v>1052321</v>
      </c>
      <c r="D26" s="56">
        <v>23552</v>
      </c>
      <c r="E26" s="52"/>
      <c r="F26" s="52"/>
      <c r="G26" s="55"/>
      <c r="H26" s="50">
        <f t="shared" si="1"/>
        <v>1028769</v>
      </c>
      <c r="I26" s="54">
        <v>11440</v>
      </c>
      <c r="J26" s="336">
        <f t="shared" si="2"/>
        <v>1040209</v>
      </c>
      <c r="K26" s="357">
        <v>0</v>
      </c>
      <c r="L26" s="358">
        <f t="shared" si="3"/>
        <v>0</v>
      </c>
      <c r="M26" s="63">
        <f>'Weighted Cases Calc.  '!J24</f>
        <v>0</v>
      </c>
      <c r="N26" s="358">
        <f t="shared" si="4"/>
        <v>0</v>
      </c>
      <c r="O26" s="62">
        <f t="shared" si="7"/>
        <v>1040209</v>
      </c>
      <c r="P26" s="256">
        <v>30427</v>
      </c>
      <c r="Q26" s="325">
        <f t="shared" si="5"/>
        <v>1070636</v>
      </c>
      <c r="R26" s="359">
        <f t="shared" si="6"/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0" customFormat="1" x14ac:dyDescent="0.25">
      <c r="A27" s="61" t="s">
        <v>32</v>
      </c>
      <c r="B27" s="60">
        <v>3</v>
      </c>
      <c r="C27" s="44">
        <v>1030854</v>
      </c>
      <c r="D27" s="56">
        <v>23071</v>
      </c>
      <c r="E27" s="52"/>
      <c r="F27" s="52"/>
      <c r="G27" s="55"/>
      <c r="H27" s="50">
        <f t="shared" si="1"/>
        <v>1007783</v>
      </c>
      <c r="I27" s="54">
        <v>9909</v>
      </c>
      <c r="J27" s="336">
        <f t="shared" si="2"/>
        <v>1017692</v>
      </c>
      <c r="K27" s="357">
        <v>0</v>
      </c>
      <c r="L27" s="358">
        <f t="shared" si="3"/>
        <v>0</v>
      </c>
      <c r="M27" s="63">
        <f>'Weighted Cases Calc.  '!J25</f>
        <v>0</v>
      </c>
      <c r="N27" s="358">
        <f t="shared" si="4"/>
        <v>0</v>
      </c>
      <c r="O27" s="62">
        <f t="shared" si="7"/>
        <v>1017692</v>
      </c>
      <c r="P27" s="256">
        <v>60562</v>
      </c>
      <c r="Q27" s="325">
        <f t="shared" si="5"/>
        <v>1078254</v>
      </c>
      <c r="R27" s="359">
        <f t="shared" si="6"/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0" customFormat="1" x14ac:dyDescent="0.25">
      <c r="A28" s="61" t="s">
        <v>30</v>
      </c>
      <c r="B28" s="60">
        <v>3</v>
      </c>
      <c r="C28" s="44">
        <v>536805</v>
      </c>
      <c r="D28" s="56">
        <v>12014</v>
      </c>
      <c r="E28" s="52"/>
      <c r="F28" s="52"/>
      <c r="G28" s="55"/>
      <c r="H28" s="50">
        <f t="shared" si="1"/>
        <v>524791</v>
      </c>
      <c r="I28" s="54">
        <v>0</v>
      </c>
      <c r="J28" s="336">
        <f t="shared" si="2"/>
        <v>524791</v>
      </c>
      <c r="K28" s="357">
        <v>0</v>
      </c>
      <c r="L28" s="358">
        <f t="shared" si="3"/>
        <v>0</v>
      </c>
      <c r="M28" s="63">
        <f>'Weighted Cases Calc.  '!J26</f>
        <v>0</v>
      </c>
      <c r="N28" s="358">
        <f t="shared" si="4"/>
        <v>0</v>
      </c>
      <c r="O28" s="62">
        <f t="shared" si="7"/>
        <v>524791</v>
      </c>
      <c r="P28" s="256">
        <v>9621</v>
      </c>
      <c r="Q28" s="325">
        <f t="shared" si="5"/>
        <v>534412</v>
      </c>
      <c r="R28" s="359">
        <f t="shared" si="6"/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0" customFormat="1" x14ac:dyDescent="0.25">
      <c r="A29" s="61" t="s">
        <v>22</v>
      </c>
      <c r="B29" s="60">
        <v>3</v>
      </c>
      <c r="C29" s="44">
        <v>1251005</v>
      </c>
      <c r="D29" s="56">
        <v>27998</v>
      </c>
      <c r="E29" s="52"/>
      <c r="F29" s="52">
        <v>43314</v>
      </c>
      <c r="G29" s="55"/>
      <c r="H29" s="50">
        <f t="shared" si="1"/>
        <v>1179693</v>
      </c>
      <c r="I29" s="54">
        <v>15997</v>
      </c>
      <c r="J29" s="336">
        <f t="shared" si="2"/>
        <v>1195690</v>
      </c>
      <c r="K29" s="357">
        <v>0</v>
      </c>
      <c r="L29" s="358">
        <f t="shared" si="3"/>
        <v>0</v>
      </c>
      <c r="M29" s="63">
        <f>'Weighted Cases Calc.  '!J27</f>
        <v>0</v>
      </c>
      <c r="N29" s="358">
        <f t="shared" si="4"/>
        <v>0</v>
      </c>
      <c r="O29" s="62">
        <f t="shared" si="7"/>
        <v>1195690</v>
      </c>
      <c r="P29" s="256">
        <v>89747</v>
      </c>
      <c r="Q29" s="325">
        <f t="shared" si="5"/>
        <v>1285437</v>
      </c>
      <c r="R29" s="359">
        <f t="shared" si="6"/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0" customFormat="1" x14ac:dyDescent="0.25">
      <c r="A30" s="61" t="s">
        <v>8</v>
      </c>
      <c r="B30" s="60">
        <v>3</v>
      </c>
      <c r="C30" s="44">
        <v>1098181</v>
      </c>
      <c r="D30" s="56">
        <v>24578</v>
      </c>
      <c r="E30" s="52"/>
      <c r="F30" s="52"/>
      <c r="G30" s="55"/>
      <c r="H30" s="50">
        <f t="shared" si="1"/>
        <v>1073603</v>
      </c>
      <c r="I30" s="54">
        <v>15001</v>
      </c>
      <c r="J30" s="336">
        <f t="shared" si="2"/>
        <v>1088604</v>
      </c>
      <c r="K30" s="357">
        <v>0</v>
      </c>
      <c r="L30" s="358">
        <f t="shared" si="3"/>
        <v>0</v>
      </c>
      <c r="M30" s="63">
        <f>'Weighted Cases Calc.  '!J28</f>
        <v>0</v>
      </c>
      <c r="N30" s="358">
        <f t="shared" si="4"/>
        <v>0</v>
      </c>
      <c r="O30" s="62">
        <f t="shared" si="7"/>
        <v>1088604</v>
      </c>
      <c r="P30" s="256">
        <v>27131</v>
      </c>
      <c r="Q30" s="325">
        <f t="shared" si="5"/>
        <v>1115735</v>
      </c>
      <c r="R30" s="359">
        <f t="shared" si="6"/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10" customFormat="1" x14ac:dyDescent="0.25">
      <c r="A31" s="61" t="s">
        <v>4</v>
      </c>
      <c r="B31" s="60">
        <v>3</v>
      </c>
      <c r="C31" s="44">
        <v>644175</v>
      </c>
      <c r="D31" s="56">
        <v>14417</v>
      </c>
      <c r="E31" s="52"/>
      <c r="F31" s="52"/>
      <c r="G31" s="55"/>
      <c r="H31" s="50">
        <f t="shared" si="1"/>
        <v>629758</v>
      </c>
      <c r="I31" s="54">
        <v>14417</v>
      </c>
      <c r="J31" s="336">
        <f t="shared" si="2"/>
        <v>644175</v>
      </c>
      <c r="K31" s="357">
        <v>0</v>
      </c>
      <c r="L31" s="358">
        <f t="shared" si="3"/>
        <v>0</v>
      </c>
      <c r="M31" s="63">
        <f>'Weighted Cases Calc.  '!J29</f>
        <v>0</v>
      </c>
      <c r="N31" s="358">
        <f t="shared" si="4"/>
        <v>0</v>
      </c>
      <c r="O31" s="62">
        <f t="shared" si="7"/>
        <v>644175</v>
      </c>
      <c r="P31" s="256">
        <v>36361</v>
      </c>
      <c r="Q31" s="325">
        <f t="shared" si="5"/>
        <v>680536</v>
      </c>
      <c r="R31" s="359">
        <f t="shared" si="6"/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10" customFormat="1" x14ac:dyDescent="0.25">
      <c r="A32" s="61" t="s">
        <v>60</v>
      </c>
      <c r="B32" s="60">
        <v>4</v>
      </c>
      <c r="C32" s="44">
        <v>2977771</v>
      </c>
      <c r="D32" s="56">
        <v>66645</v>
      </c>
      <c r="E32" s="52"/>
      <c r="F32" s="52"/>
      <c r="G32" s="55">
        <v>66445</v>
      </c>
      <c r="H32" s="50">
        <f t="shared" si="1"/>
        <v>2977571</v>
      </c>
      <c r="I32" s="54">
        <v>38965</v>
      </c>
      <c r="J32" s="336">
        <f t="shared" si="2"/>
        <v>3016536</v>
      </c>
      <c r="K32" s="40">
        <f>ROUND((J32/$J$3)*$K$2,0)</f>
        <v>-163352</v>
      </c>
      <c r="L32" s="340">
        <f t="shared" si="3"/>
        <v>-5.4152179851326157E-2</v>
      </c>
      <c r="M32" s="64">
        <f>'Weighted Cases Calc.  '!J30</f>
        <v>-141002</v>
      </c>
      <c r="N32" s="340">
        <f t="shared" si="4"/>
        <v>-4.6743019145138662E-2</v>
      </c>
      <c r="O32" s="62">
        <f t="shared" si="7"/>
        <v>2712182</v>
      </c>
      <c r="P32" s="256">
        <v>71752</v>
      </c>
      <c r="Q32" s="325">
        <f t="shared" si="5"/>
        <v>2783934</v>
      </c>
      <c r="R32" s="354">
        <f t="shared" si="6"/>
        <v>-0.10089519899646482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10" customFormat="1" x14ac:dyDescent="0.25">
      <c r="A33" s="61" t="s">
        <v>57</v>
      </c>
      <c r="B33" s="60">
        <v>4</v>
      </c>
      <c r="C33" s="44">
        <v>1510013</v>
      </c>
      <c r="D33" s="56">
        <v>33795</v>
      </c>
      <c r="E33" s="52"/>
      <c r="F33" s="52">
        <v>70092</v>
      </c>
      <c r="G33" s="55"/>
      <c r="H33" s="50">
        <f t="shared" si="1"/>
        <v>1406126</v>
      </c>
      <c r="I33" s="54">
        <v>25150</v>
      </c>
      <c r="J33" s="336">
        <f t="shared" si="2"/>
        <v>1431276</v>
      </c>
      <c r="K33" s="357">
        <v>0</v>
      </c>
      <c r="L33" s="358">
        <f t="shared" si="3"/>
        <v>0</v>
      </c>
      <c r="M33" s="63">
        <f>'Weighted Cases Calc.  '!J31</f>
        <v>0</v>
      </c>
      <c r="N33" s="358">
        <f t="shared" si="4"/>
        <v>0</v>
      </c>
      <c r="O33" s="62">
        <f t="shared" si="7"/>
        <v>1431276</v>
      </c>
      <c r="P33" s="256">
        <v>54990</v>
      </c>
      <c r="Q33" s="325">
        <f t="shared" si="5"/>
        <v>1486266</v>
      </c>
      <c r="R33" s="359">
        <f t="shared" si="6"/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10" customFormat="1" x14ac:dyDescent="0.25">
      <c r="A34" s="61" t="s">
        <v>52</v>
      </c>
      <c r="B34" s="60">
        <v>4</v>
      </c>
      <c r="C34" s="44">
        <v>1823431</v>
      </c>
      <c r="D34" s="56">
        <v>40810</v>
      </c>
      <c r="E34" s="52"/>
      <c r="F34" s="52"/>
      <c r="G34" s="55">
        <v>39715</v>
      </c>
      <c r="H34" s="50">
        <f t="shared" si="1"/>
        <v>1822336</v>
      </c>
      <c r="I34" s="54">
        <v>22806</v>
      </c>
      <c r="J34" s="336">
        <f t="shared" si="2"/>
        <v>1845142</v>
      </c>
      <c r="K34" s="40">
        <f>ROUND((J34/$J$3)*$K$2,0)</f>
        <v>-99919</v>
      </c>
      <c r="L34" s="340">
        <f t="shared" si="3"/>
        <v>-5.4152471733882809E-2</v>
      </c>
      <c r="M34" s="64">
        <f>'Weighted Cases Calc.  '!J32</f>
        <v>-65217</v>
      </c>
      <c r="N34" s="340">
        <f t="shared" si="4"/>
        <v>-3.5345247140870457E-2</v>
      </c>
      <c r="O34" s="62">
        <f t="shared" si="7"/>
        <v>1680006</v>
      </c>
      <c r="P34" s="256">
        <v>61285</v>
      </c>
      <c r="Q34" s="325">
        <f t="shared" si="5"/>
        <v>1741291</v>
      </c>
      <c r="R34" s="354">
        <f t="shared" si="6"/>
        <v>-8.9497718874753218E-2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10" customFormat="1" x14ac:dyDescent="0.25">
      <c r="A35" s="61" t="s">
        <v>42</v>
      </c>
      <c r="B35" s="60">
        <v>4</v>
      </c>
      <c r="C35" s="44">
        <v>1872231</v>
      </c>
      <c r="D35" s="56">
        <v>41902</v>
      </c>
      <c r="E35" s="52">
        <v>32546</v>
      </c>
      <c r="F35" s="52"/>
      <c r="G35" s="55"/>
      <c r="H35" s="50">
        <f t="shared" si="1"/>
        <v>1797783</v>
      </c>
      <c r="I35" s="54">
        <v>25531</v>
      </c>
      <c r="J35" s="336">
        <f t="shared" si="2"/>
        <v>1823314</v>
      </c>
      <c r="K35" s="357">
        <v>0</v>
      </c>
      <c r="L35" s="358">
        <f t="shared" si="3"/>
        <v>0</v>
      </c>
      <c r="M35" s="63">
        <f>'Weighted Cases Calc.  '!J33</f>
        <v>0</v>
      </c>
      <c r="N35" s="358">
        <f t="shared" si="4"/>
        <v>0</v>
      </c>
      <c r="O35" s="62">
        <f t="shared" si="7"/>
        <v>1823314</v>
      </c>
      <c r="P35" s="256">
        <v>77778</v>
      </c>
      <c r="Q35" s="325">
        <f t="shared" si="5"/>
        <v>1901092</v>
      </c>
      <c r="R35" s="359">
        <f t="shared" si="6"/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10" customFormat="1" x14ac:dyDescent="0.25">
      <c r="A36" s="61" t="s">
        <v>39</v>
      </c>
      <c r="B36" s="60">
        <v>4</v>
      </c>
      <c r="C36" s="44">
        <v>3015965</v>
      </c>
      <c r="D36" s="56">
        <v>67500</v>
      </c>
      <c r="E36" s="52"/>
      <c r="F36" s="52"/>
      <c r="G36" s="55">
        <v>63846</v>
      </c>
      <c r="H36" s="50">
        <f t="shared" si="1"/>
        <v>3012311</v>
      </c>
      <c r="I36" s="54">
        <v>39122</v>
      </c>
      <c r="J36" s="336">
        <f t="shared" si="2"/>
        <v>3051433</v>
      </c>
      <c r="K36" s="40">
        <f>ROUND((J36/$J$3)*$K$2,0)</f>
        <v>-165242</v>
      </c>
      <c r="L36" s="340">
        <f t="shared" si="3"/>
        <v>-5.4152262232203686E-2</v>
      </c>
      <c r="M36" s="64">
        <f>'Weighted Cases Calc.  '!J34</f>
        <v>-131266</v>
      </c>
      <c r="N36" s="340">
        <f t="shared" si="4"/>
        <v>-4.3017821462899564E-2</v>
      </c>
      <c r="O36" s="62">
        <f t="shared" si="7"/>
        <v>2754925</v>
      </c>
      <c r="P36" s="256">
        <v>175535</v>
      </c>
      <c r="Q36" s="325">
        <f t="shared" si="5"/>
        <v>2930460</v>
      </c>
      <c r="R36" s="354">
        <f t="shared" si="6"/>
        <v>-9.7170083695103271E-2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10" customFormat="1" x14ac:dyDescent="0.25">
      <c r="A37" s="61" t="s">
        <v>24</v>
      </c>
      <c r="B37" s="60">
        <v>4</v>
      </c>
      <c r="C37" s="44">
        <v>1562829</v>
      </c>
      <c r="D37" s="56">
        <v>34977</v>
      </c>
      <c r="E37" s="52"/>
      <c r="F37" s="52"/>
      <c r="G37" s="55">
        <v>34324</v>
      </c>
      <c r="H37" s="50">
        <f t="shared" si="1"/>
        <v>1562176</v>
      </c>
      <c r="I37" s="54">
        <v>22306</v>
      </c>
      <c r="J37" s="336">
        <f t="shared" si="2"/>
        <v>1584482</v>
      </c>
      <c r="K37" s="40">
        <f>ROUND((J37/$J$3)*$K$2,0)</f>
        <v>-85803</v>
      </c>
      <c r="L37" s="340">
        <f t="shared" si="3"/>
        <v>-5.4152082510246252E-2</v>
      </c>
      <c r="M37" s="64">
        <f>'Weighted Cases Calc.  '!J35</f>
        <v>-59012</v>
      </c>
      <c r="N37" s="340">
        <f t="shared" si="4"/>
        <v>-3.7243717505153102E-2</v>
      </c>
      <c r="O37" s="62">
        <f t="shared" si="7"/>
        <v>1439667</v>
      </c>
      <c r="P37" s="256">
        <v>70087</v>
      </c>
      <c r="Q37" s="325">
        <f t="shared" si="5"/>
        <v>1509754</v>
      </c>
      <c r="R37" s="354">
        <f t="shared" si="6"/>
        <v>-9.1395800015399375E-2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10" customFormat="1" x14ac:dyDescent="0.25">
      <c r="A38" s="61" t="s">
        <v>15</v>
      </c>
      <c r="B38" s="60">
        <v>4</v>
      </c>
      <c r="C38" s="44">
        <v>1993279</v>
      </c>
      <c r="D38" s="56">
        <v>44611</v>
      </c>
      <c r="E38" s="52"/>
      <c r="F38" s="52"/>
      <c r="G38" s="55"/>
      <c r="H38" s="50">
        <f t="shared" ref="H38:H69" si="8">C38+G38-D38-E38-F38</f>
        <v>1948668</v>
      </c>
      <c r="I38" s="54">
        <v>47231</v>
      </c>
      <c r="J38" s="336">
        <f t="shared" ref="J38:J69" si="9">H38+I38</f>
        <v>1995899</v>
      </c>
      <c r="K38" s="357">
        <v>0</v>
      </c>
      <c r="L38" s="358">
        <f t="shared" ref="L38:L69" si="10">K38/J38</f>
        <v>0</v>
      </c>
      <c r="M38" s="63">
        <f>'Weighted Cases Calc.  '!J36</f>
        <v>0</v>
      </c>
      <c r="N38" s="358">
        <f t="shared" ref="N38:N69" si="11">M38/J38</f>
        <v>0</v>
      </c>
      <c r="O38" s="62">
        <f t="shared" si="7"/>
        <v>1995899</v>
      </c>
      <c r="P38" s="256">
        <v>95990</v>
      </c>
      <c r="Q38" s="325">
        <f t="shared" ref="Q38:Q69" si="12">O38+P38</f>
        <v>2091889</v>
      </c>
      <c r="R38" s="359">
        <f t="shared" ref="R38:R72" si="13">O38/J38-1</f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10" customFormat="1" x14ac:dyDescent="0.25">
      <c r="A39" s="61" t="s">
        <v>9</v>
      </c>
      <c r="B39" s="60">
        <v>4</v>
      </c>
      <c r="C39" s="44">
        <v>1864635</v>
      </c>
      <c r="D39" s="56">
        <v>41732</v>
      </c>
      <c r="E39" s="52"/>
      <c r="F39" s="52"/>
      <c r="G39" s="55">
        <v>49915</v>
      </c>
      <c r="H39" s="50">
        <f t="shared" si="8"/>
        <v>1872818</v>
      </c>
      <c r="I39" s="54">
        <v>29449</v>
      </c>
      <c r="J39" s="336">
        <f t="shared" si="9"/>
        <v>1902267</v>
      </c>
      <c r="K39" s="40">
        <f t="shared" ref="K39:K72" si="14">ROUND((J39/$J$3)*$K$2,0)</f>
        <v>-103012</v>
      </c>
      <c r="L39" s="340">
        <f t="shared" si="10"/>
        <v>-5.4152229944587169E-2</v>
      </c>
      <c r="M39" s="64">
        <f>'Weighted Cases Calc.  '!J37</f>
        <v>-73922</v>
      </c>
      <c r="N39" s="340">
        <f t="shared" si="11"/>
        <v>-3.8859949733659895E-2</v>
      </c>
      <c r="O39" s="62">
        <f t="shared" si="7"/>
        <v>1725333</v>
      </c>
      <c r="P39" s="256">
        <v>73628</v>
      </c>
      <c r="Q39" s="325">
        <f t="shared" si="12"/>
        <v>1798961</v>
      </c>
      <c r="R39" s="354">
        <f t="shared" si="13"/>
        <v>-9.3012179678247042E-2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10" customFormat="1" x14ac:dyDescent="0.25">
      <c r="A40" s="61" t="s">
        <v>3</v>
      </c>
      <c r="B40" s="60">
        <v>4</v>
      </c>
      <c r="C40" s="44">
        <v>1632548</v>
      </c>
      <c r="D40" s="56">
        <v>36538</v>
      </c>
      <c r="E40" s="52"/>
      <c r="F40" s="52"/>
      <c r="G40" s="55">
        <v>41468</v>
      </c>
      <c r="H40" s="50">
        <f t="shared" si="8"/>
        <v>1637478</v>
      </c>
      <c r="I40" s="54">
        <v>21742</v>
      </c>
      <c r="J40" s="336">
        <f t="shared" si="9"/>
        <v>1659220</v>
      </c>
      <c r="K40" s="40">
        <f t="shared" si="14"/>
        <v>-89851</v>
      </c>
      <c r="L40" s="340">
        <f t="shared" si="10"/>
        <v>-5.4152553609527365E-2</v>
      </c>
      <c r="M40" s="64">
        <f>'Weighted Cases Calc.  '!J38</f>
        <v>-71514</v>
      </c>
      <c r="N40" s="340">
        <f t="shared" si="11"/>
        <v>-4.3100975157001481E-2</v>
      </c>
      <c r="O40" s="62">
        <f t="shared" si="7"/>
        <v>1497855</v>
      </c>
      <c r="P40" s="256">
        <v>56372</v>
      </c>
      <c r="Q40" s="325">
        <f t="shared" si="12"/>
        <v>1554227</v>
      </c>
      <c r="R40" s="354">
        <f t="shared" si="13"/>
        <v>-9.7253528766528818E-2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10" customFormat="1" x14ac:dyDescent="0.25">
      <c r="A41" s="61" t="s">
        <v>68</v>
      </c>
      <c r="B41" s="60">
        <v>5</v>
      </c>
      <c r="C41" s="44">
        <v>6101007</v>
      </c>
      <c r="D41" s="56">
        <v>136545</v>
      </c>
      <c r="E41" s="52">
        <v>237400</v>
      </c>
      <c r="F41" s="52"/>
      <c r="G41" s="55">
        <v>125926</v>
      </c>
      <c r="H41" s="50">
        <f t="shared" si="8"/>
        <v>5852988</v>
      </c>
      <c r="I41" s="54">
        <v>116100</v>
      </c>
      <c r="J41" s="336">
        <f t="shared" si="9"/>
        <v>5969088</v>
      </c>
      <c r="K41" s="40">
        <f t="shared" si="14"/>
        <v>-323240</v>
      </c>
      <c r="L41" s="340">
        <f t="shared" si="10"/>
        <v>-5.4152326117490643E-2</v>
      </c>
      <c r="M41" s="64">
        <f>'Weighted Cases Calc.  '!J39</f>
        <v>-257328</v>
      </c>
      <c r="N41" s="340">
        <f t="shared" si="11"/>
        <v>-4.3110103251954066E-2</v>
      </c>
      <c r="O41" s="62">
        <f t="shared" si="7"/>
        <v>5388520</v>
      </c>
      <c r="P41" s="256">
        <v>194506</v>
      </c>
      <c r="Q41" s="325">
        <f t="shared" si="12"/>
        <v>5583026</v>
      </c>
      <c r="R41" s="354">
        <f t="shared" si="13"/>
        <v>-9.7262429369444736E-2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10" customFormat="1" x14ac:dyDescent="0.25">
      <c r="A42" s="61" t="s">
        <v>61</v>
      </c>
      <c r="B42" s="60">
        <v>5</v>
      </c>
      <c r="C42" s="44">
        <v>3564967</v>
      </c>
      <c r="D42" s="56">
        <v>79787</v>
      </c>
      <c r="E42" s="52"/>
      <c r="F42" s="52"/>
      <c r="G42" s="55">
        <v>66636</v>
      </c>
      <c r="H42" s="50">
        <f t="shared" si="8"/>
        <v>3551816</v>
      </c>
      <c r="I42" s="54">
        <v>34936</v>
      </c>
      <c r="J42" s="336">
        <f t="shared" si="9"/>
        <v>3586752</v>
      </c>
      <c r="K42" s="40">
        <f t="shared" si="14"/>
        <v>-194231</v>
      </c>
      <c r="L42" s="340">
        <f t="shared" si="10"/>
        <v>-5.4152336152597111E-2</v>
      </c>
      <c r="M42" s="64">
        <f>'Weighted Cases Calc.  '!J40</f>
        <v>-129266</v>
      </c>
      <c r="N42" s="340">
        <f t="shared" si="11"/>
        <v>-3.603984886604928E-2</v>
      </c>
      <c r="O42" s="62">
        <f t="shared" si="7"/>
        <v>3263255</v>
      </c>
      <c r="P42" s="256">
        <v>139134</v>
      </c>
      <c r="Q42" s="325">
        <f t="shared" si="12"/>
        <v>3402389</v>
      </c>
      <c r="R42" s="354">
        <f t="shared" si="13"/>
        <v>-9.0192185018646343E-2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0" customFormat="1" x14ac:dyDescent="0.25">
      <c r="A43" s="61" t="s">
        <v>59</v>
      </c>
      <c r="B43" s="60">
        <v>5</v>
      </c>
      <c r="C43" s="44">
        <v>3675597</v>
      </c>
      <c r="D43" s="56">
        <v>82263</v>
      </c>
      <c r="E43" s="52"/>
      <c r="F43" s="52"/>
      <c r="G43" s="55">
        <v>84160</v>
      </c>
      <c r="H43" s="50">
        <f t="shared" si="8"/>
        <v>3677494</v>
      </c>
      <c r="I43" s="54">
        <v>46350</v>
      </c>
      <c r="J43" s="336">
        <f t="shared" si="9"/>
        <v>3723844</v>
      </c>
      <c r="K43" s="40">
        <f t="shared" si="14"/>
        <v>-201655</v>
      </c>
      <c r="L43" s="340">
        <f t="shared" si="10"/>
        <v>-5.4152375878259135E-2</v>
      </c>
      <c r="M43" s="64">
        <f>'Weighted Cases Calc.  '!J41</f>
        <v>-153576</v>
      </c>
      <c r="N43" s="340">
        <f t="shared" si="11"/>
        <v>-4.1241255004237559E-2</v>
      </c>
      <c r="O43" s="62">
        <f t="shared" si="7"/>
        <v>3368613</v>
      </c>
      <c r="P43" s="256">
        <v>57905</v>
      </c>
      <c r="Q43" s="325">
        <f t="shared" si="12"/>
        <v>3426518</v>
      </c>
      <c r="R43" s="354">
        <f t="shared" si="13"/>
        <v>-9.5393630882496638E-2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10" customFormat="1" x14ac:dyDescent="0.25">
      <c r="A44" s="61" t="s">
        <v>43</v>
      </c>
      <c r="B44" s="60">
        <v>5</v>
      </c>
      <c r="C44" s="44">
        <v>3415436</v>
      </c>
      <c r="D44" s="56">
        <v>76440</v>
      </c>
      <c r="E44" s="52"/>
      <c r="F44" s="52"/>
      <c r="G44" s="55">
        <v>67084</v>
      </c>
      <c r="H44" s="50">
        <f t="shared" si="8"/>
        <v>3406080</v>
      </c>
      <c r="I44" s="54">
        <v>34582</v>
      </c>
      <c r="J44" s="336">
        <f t="shared" si="9"/>
        <v>3440662</v>
      </c>
      <c r="K44" s="40">
        <f t="shared" si="14"/>
        <v>-186320</v>
      </c>
      <c r="L44" s="340">
        <f t="shared" si="10"/>
        <v>-5.415236951493637E-2</v>
      </c>
      <c r="M44" s="64">
        <f>'Weighted Cases Calc.  '!J42</f>
        <v>-116134</v>
      </c>
      <c r="N44" s="340">
        <f t="shared" si="11"/>
        <v>-3.3753388156116469E-2</v>
      </c>
      <c r="O44" s="62">
        <f t="shared" si="7"/>
        <v>3138208</v>
      </c>
      <c r="P44" s="256">
        <v>151493</v>
      </c>
      <c r="Q44" s="325">
        <f t="shared" si="12"/>
        <v>3289701</v>
      </c>
      <c r="R44" s="354">
        <f t="shared" si="13"/>
        <v>-8.7905757671052798E-2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10" customFormat="1" x14ac:dyDescent="0.25">
      <c r="A45" s="61" t="s">
        <v>27</v>
      </c>
      <c r="B45" s="60">
        <v>5</v>
      </c>
      <c r="C45" s="44">
        <v>3601519</v>
      </c>
      <c r="D45" s="56">
        <v>80605</v>
      </c>
      <c r="E45" s="52"/>
      <c r="F45" s="52"/>
      <c r="G45" s="55">
        <v>66856</v>
      </c>
      <c r="H45" s="50">
        <f t="shared" si="8"/>
        <v>3587770</v>
      </c>
      <c r="I45" s="54">
        <v>44189</v>
      </c>
      <c r="J45" s="336">
        <f t="shared" si="9"/>
        <v>3631959</v>
      </c>
      <c r="K45" s="40">
        <f t="shared" si="14"/>
        <v>-196679</v>
      </c>
      <c r="L45" s="340">
        <f t="shared" si="10"/>
        <v>-5.415231834940868E-2</v>
      </c>
      <c r="M45" s="64">
        <f>'Weighted Cases Calc.  '!J43</f>
        <v>-164384</v>
      </c>
      <c r="N45" s="340">
        <f t="shared" si="11"/>
        <v>-4.5260422818649657E-2</v>
      </c>
      <c r="O45" s="62">
        <f t="shared" si="7"/>
        <v>3270896</v>
      </c>
      <c r="P45" s="256">
        <v>146682</v>
      </c>
      <c r="Q45" s="325">
        <f t="shared" si="12"/>
        <v>3417578</v>
      </c>
      <c r="R45" s="354">
        <f t="shared" si="13"/>
        <v>-9.9412741168058316E-2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10" customFormat="1" x14ac:dyDescent="0.25">
      <c r="A46" s="61" t="s">
        <v>25</v>
      </c>
      <c r="B46" s="60">
        <v>5</v>
      </c>
      <c r="C46" s="44">
        <v>3681004</v>
      </c>
      <c r="D46" s="56">
        <v>82384</v>
      </c>
      <c r="E46" s="52">
        <v>153000</v>
      </c>
      <c r="F46" s="52"/>
      <c r="G46" s="55">
        <v>74724</v>
      </c>
      <c r="H46" s="50">
        <f t="shared" si="8"/>
        <v>3520344</v>
      </c>
      <c r="I46" s="54">
        <v>46633</v>
      </c>
      <c r="J46" s="336">
        <f t="shared" si="9"/>
        <v>3566977</v>
      </c>
      <c r="K46" s="40">
        <f t="shared" si="14"/>
        <v>-193160</v>
      </c>
      <c r="L46" s="340">
        <f t="shared" si="10"/>
        <v>-5.4152297589807843E-2</v>
      </c>
      <c r="M46" s="64">
        <f>'Weighted Cases Calc.  '!J44</f>
        <v>-163920</v>
      </c>
      <c r="N46" s="340">
        <f t="shared" si="11"/>
        <v>-4.595488000062798E-2</v>
      </c>
      <c r="O46" s="62">
        <f t="shared" si="7"/>
        <v>3209897</v>
      </c>
      <c r="P46" s="256">
        <v>141324</v>
      </c>
      <c r="Q46" s="325">
        <f t="shared" si="12"/>
        <v>3351221</v>
      </c>
      <c r="R46" s="354">
        <f t="shared" si="13"/>
        <v>-0.10010717759043586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10" customFormat="1" x14ac:dyDescent="0.25">
      <c r="A47" s="61" t="s">
        <v>23</v>
      </c>
      <c r="B47" s="60">
        <v>5</v>
      </c>
      <c r="C47" s="44">
        <v>3684787</v>
      </c>
      <c r="D47" s="56">
        <v>82468</v>
      </c>
      <c r="E47" s="52"/>
      <c r="F47" s="52"/>
      <c r="G47" s="55">
        <v>73423</v>
      </c>
      <c r="H47" s="50">
        <f t="shared" si="8"/>
        <v>3675742</v>
      </c>
      <c r="I47" s="54">
        <v>0</v>
      </c>
      <c r="J47" s="336">
        <f t="shared" si="9"/>
        <v>3675742</v>
      </c>
      <c r="K47" s="40">
        <f t="shared" si="14"/>
        <v>-199050</v>
      </c>
      <c r="L47" s="340">
        <f t="shared" si="10"/>
        <v>-5.4152331692485491E-2</v>
      </c>
      <c r="M47" s="64">
        <f>'Weighted Cases Calc.  '!J45</f>
        <v>-118510</v>
      </c>
      <c r="N47" s="340">
        <f t="shared" si="11"/>
        <v>-3.2241109414099252E-2</v>
      </c>
      <c r="O47" s="62">
        <f t="shared" si="7"/>
        <v>3358182</v>
      </c>
      <c r="P47" s="256">
        <v>98991</v>
      </c>
      <c r="Q47" s="325">
        <f t="shared" si="12"/>
        <v>3457173</v>
      </c>
      <c r="R47" s="354">
        <f t="shared" si="13"/>
        <v>-8.6393441106584756E-2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10" customFormat="1" x14ac:dyDescent="0.25">
      <c r="A48" s="61" t="s">
        <v>14</v>
      </c>
      <c r="B48" s="60">
        <v>5</v>
      </c>
      <c r="C48" s="44">
        <v>3565949</v>
      </c>
      <c r="D48" s="56">
        <v>79809</v>
      </c>
      <c r="E48" s="52"/>
      <c r="F48" s="52"/>
      <c r="G48" s="55">
        <v>69884</v>
      </c>
      <c r="H48" s="50">
        <f t="shared" si="8"/>
        <v>3556024</v>
      </c>
      <c r="I48" s="54">
        <v>32600</v>
      </c>
      <c r="J48" s="336">
        <f t="shared" si="9"/>
        <v>3588624</v>
      </c>
      <c r="K48" s="40">
        <f t="shared" si="14"/>
        <v>-194332</v>
      </c>
      <c r="L48" s="340">
        <f t="shared" si="10"/>
        <v>-5.4152232164751728E-2</v>
      </c>
      <c r="M48" s="64">
        <f>'Weighted Cases Calc.  '!J46</f>
        <v>-138122</v>
      </c>
      <c r="N48" s="340">
        <f t="shared" si="11"/>
        <v>-3.8488846978674836E-2</v>
      </c>
      <c r="O48" s="62">
        <f t="shared" si="7"/>
        <v>3256170</v>
      </c>
      <c r="P48" s="256">
        <v>79264</v>
      </c>
      <c r="Q48" s="325">
        <f t="shared" si="12"/>
        <v>3335434</v>
      </c>
      <c r="R48" s="354">
        <f t="shared" si="13"/>
        <v>-9.2641079143426563E-2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10" customFormat="1" x14ac:dyDescent="0.25">
      <c r="A49" s="61" t="s">
        <v>12</v>
      </c>
      <c r="B49" s="60">
        <v>5</v>
      </c>
      <c r="C49" s="44">
        <v>3167828</v>
      </c>
      <c r="D49" s="56">
        <v>70898</v>
      </c>
      <c r="E49" s="52"/>
      <c r="F49" s="52"/>
      <c r="G49" s="55">
        <v>69508</v>
      </c>
      <c r="H49" s="50">
        <f t="shared" si="8"/>
        <v>3166438</v>
      </c>
      <c r="I49" s="54">
        <v>33000</v>
      </c>
      <c r="J49" s="336">
        <f t="shared" si="9"/>
        <v>3199438</v>
      </c>
      <c r="K49" s="40">
        <f t="shared" si="14"/>
        <v>-173257</v>
      </c>
      <c r="L49" s="340">
        <f t="shared" si="10"/>
        <v>-5.4152323001727176E-2</v>
      </c>
      <c r="M49" s="64">
        <f>'Weighted Cases Calc.  '!J47</f>
        <v>-121268</v>
      </c>
      <c r="N49" s="340">
        <f t="shared" si="11"/>
        <v>-3.7902906697988833E-2</v>
      </c>
      <c r="O49" s="62">
        <f t="shared" si="7"/>
        <v>2904913</v>
      </c>
      <c r="P49" s="256">
        <v>166552</v>
      </c>
      <c r="Q49" s="325">
        <f t="shared" si="12"/>
        <v>3071465</v>
      </c>
      <c r="R49" s="354">
        <f t="shared" si="13"/>
        <v>-9.2055229699716024E-2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10" customFormat="1" x14ac:dyDescent="0.25">
      <c r="A50" s="61" t="s">
        <v>66</v>
      </c>
      <c r="B50" s="60">
        <v>6</v>
      </c>
      <c r="C50" s="44">
        <v>3663308</v>
      </c>
      <c r="D50" s="56">
        <v>81988</v>
      </c>
      <c r="E50" s="52"/>
      <c r="F50" s="52"/>
      <c r="G50" s="55">
        <v>77961</v>
      </c>
      <c r="H50" s="50">
        <f t="shared" si="8"/>
        <v>3659281</v>
      </c>
      <c r="I50" s="54">
        <v>37755</v>
      </c>
      <c r="J50" s="336">
        <f t="shared" si="9"/>
        <v>3697036</v>
      </c>
      <c r="K50" s="40">
        <f t="shared" si="14"/>
        <v>-200203</v>
      </c>
      <c r="L50" s="340">
        <f t="shared" si="10"/>
        <v>-5.4152299301386299E-2</v>
      </c>
      <c r="M50" s="64">
        <f>'Weighted Cases Calc.  '!J48</f>
        <v>-59721</v>
      </c>
      <c r="N50" s="340">
        <f t="shared" si="11"/>
        <v>-1.615375127534598E-2</v>
      </c>
      <c r="O50" s="62">
        <f t="shared" si="7"/>
        <v>3437112</v>
      </c>
      <c r="P50" s="256">
        <v>175554</v>
      </c>
      <c r="Q50" s="325">
        <f t="shared" si="12"/>
        <v>3612666</v>
      </c>
      <c r="R50" s="354">
        <f t="shared" si="13"/>
        <v>-7.0306050576732226E-2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10" customFormat="1" x14ac:dyDescent="0.25">
      <c r="A51" s="61" t="s">
        <v>64</v>
      </c>
      <c r="B51" s="60">
        <v>6</v>
      </c>
      <c r="C51" s="44">
        <v>11462167</v>
      </c>
      <c r="D51" s="56">
        <v>256532</v>
      </c>
      <c r="E51" s="52"/>
      <c r="F51" s="52"/>
      <c r="G51" s="55">
        <v>241972</v>
      </c>
      <c r="H51" s="50">
        <f t="shared" si="8"/>
        <v>11447607</v>
      </c>
      <c r="I51" s="54">
        <v>128000</v>
      </c>
      <c r="J51" s="336">
        <f t="shared" si="9"/>
        <v>11575607</v>
      </c>
      <c r="K51" s="40">
        <f t="shared" si="14"/>
        <v>-626846</v>
      </c>
      <c r="L51" s="340">
        <f t="shared" si="10"/>
        <v>-5.4152322206515821E-2</v>
      </c>
      <c r="M51" s="64">
        <f>'Weighted Cases Calc.  '!J49</f>
        <v>-463706</v>
      </c>
      <c r="N51" s="340">
        <f t="shared" si="11"/>
        <v>-4.0058892807953828E-2</v>
      </c>
      <c r="O51" s="62">
        <f t="shared" si="7"/>
        <v>10485055</v>
      </c>
      <c r="P51" s="256">
        <v>418041</v>
      </c>
      <c r="Q51" s="325">
        <f t="shared" si="12"/>
        <v>10903096</v>
      </c>
      <c r="R51" s="354">
        <f t="shared" si="13"/>
        <v>-9.4211215014469607E-2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10" customFormat="1" x14ac:dyDescent="0.25">
      <c r="A52" s="61" t="s">
        <v>58</v>
      </c>
      <c r="B52" s="60">
        <v>6</v>
      </c>
      <c r="C52" s="44">
        <v>6528308</v>
      </c>
      <c r="D52" s="56">
        <v>146108</v>
      </c>
      <c r="E52" s="52"/>
      <c r="F52" s="52"/>
      <c r="G52" s="55">
        <v>124614</v>
      </c>
      <c r="H52" s="50">
        <f t="shared" si="8"/>
        <v>6506814</v>
      </c>
      <c r="I52" s="54">
        <v>98000</v>
      </c>
      <c r="J52" s="336">
        <f t="shared" si="9"/>
        <v>6604814</v>
      </c>
      <c r="K52" s="40">
        <f t="shared" si="14"/>
        <v>-357666</v>
      </c>
      <c r="L52" s="340">
        <f t="shared" si="10"/>
        <v>-5.4152319807946145E-2</v>
      </c>
      <c r="M52" s="64">
        <f>'Weighted Cases Calc.  '!J50</f>
        <v>-288257</v>
      </c>
      <c r="N52" s="340">
        <f t="shared" si="11"/>
        <v>-4.3643469747974735E-2</v>
      </c>
      <c r="O52" s="62">
        <f t="shared" si="7"/>
        <v>5958891</v>
      </c>
      <c r="P52" s="256">
        <v>241522</v>
      </c>
      <c r="Q52" s="325">
        <f t="shared" si="12"/>
        <v>6200413</v>
      </c>
      <c r="R52" s="354">
        <f t="shared" si="13"/>
        <v>-9.7795789555920831E-2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10" customFormat="1" x14ac:dyDescent="0.25">
      <c r="A53" s="61" t="s">
        <v>53</v>
      </c>
      <c r="B53" s="60">
        <v>6</v>
      </c>
      <c r="C53" s="44">
        <v>6926892</v>
      </c>
      <c r="D53" s="56">
        <v>155029</v>
      </c>
      <c r="E53" s="52"/>
      <c r="F53" s="52"/>
      <c r="G53" s="55">
        <v>140188</v>
      </c>
      <c r="H53" s="50">
        <f t="shared" si="8"/>
        <v>6912051</v>
      </c>
      <c r="I53" s="54">
        <v>91312</v>
      </c>
      <c r="J53" s="336">
        <f t="shared" si="9"/>
        <v>7003363</v>
      </c>
      <c r="K53" s="40">
        <f t="shared" si="14"/>
        <v>-379248</v>
      </c>
      <c r="L53" s="340">
        <f t="shared" si="10"/>
        <v>-5.4152269416850161E-2</v>
      </c>
      <c r="M53" s="64">
        <f>'Weighted Cases Calc.  '!J51</f>
        <v>-224274</v>
      </c>
      <c r="N53" s="340">
        <f t="shared" si="11"/>
        <v>-3.2023757728965353E-2</v>
      </c>
      <c r="O53" s="62">
        <f t="shared" si="7"/>
        <v>6399841</v>
      </c>
      <c r="P53" s="256">
        <v>285844</v>
      </c>
      <c r="Q53" s="325">
        <f t="shared" si="12"/>
        <v>6685685</v>
      </c>
      <c r="R53" s="354">
        <f t="shared" si="13"/>
        <v>-8.6176027145815515E-2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10" customFormat="1" x14ac:dyDescent="0.25">
      <c r="A54" s="61" t="s">
        <v>35</v>
      </c>
      <c r="B54" s="60">
        <v>6</v>
      </c>
      <c r="C54" s="44">
        <v>6180164</v>
      </c>
      <c r="D54" s="56">
        <v>138317</v>
      </c>
      <c r="E54" s="52"/>
      <c r="F54" s="52"/>
      <c r="G54" s="55">
        <v>133667</v>
      </c>
      <c r="H54" s="50">
        <f t="shared" si="8"/>
        <v>6175514</v>
      </c>
      <c r="I54" s="54">
        <v>80487</v>
      </c>
      <c r="J54" s="336">
        <f t="shared" si="9"/>
        <v>6256001</v>
      </c>
      <c r="K54" s="40">
        <f t="shared" si="14"/>
        <v>-338777</v>
      </c>
      <c r="L54" s="340">
        <f t="shared" si="10"/>
        <v>-5.4152325103528597E-2</v>
      </c>
      <c r="M54" s="64">
        <f>'Weighted Cases Calc.  '!J52</f>
        <v>-254958</v>
      </c>
      <c r="N54" s="340">
        <f t="shared" si="11"/>
        <v>-4.0754149495820097E-2</v>
      </c>
      <c r="O54" s="62">
        <f t="shared" si="7"/>
        <v>5662266</v>
      </c>
      <c r="P54" s="256">
        <v>210560</v>
      </c>
      <c r="Q54" s="325">
        <f t="shared" si="12"/>
        <v>5872826</v>
      </c>
      <c r="R54" s="354">
        <f t="shared" si="13"/>
        <v>-9.4906474599348645E-2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10" customFormat="1" x14ac:dyDescent="0.25">
      <c r="A55" s="61" t="s">
        <v>33</v>
      </c>
      <c r="B55" s="60">
        <v>6</v>
      </c>
      <c r="C55" s="44">
        <v>5926985</v>
      </c>
      <c r="D55" s="56">
        <v>132650</v>
      </c>
      <c r="E55" s="52"/>
      <c r="F55" s="52"/>
      <c r="G55" s="55">
        <v>125299</v>
      </c>
      <c r="H55" s="50">
        <f t="shared" si="8"/>
        <v>5919634</v>
      </c>
      <c r="I55" s="54">
        <v>99505</v>
      </c>
      <c r="J55" s="336">
        <f t="shared" si="9"/>
        <v>6019139</v>
      </c>
      <c r="K55" s="40">
        <f t="shared" si="14"/>
        <v>-325950</v>
      </c>
      <c r="L55" s="340">
        <f t="shared" si="10"/>
        <v>-5.4152263305432886E-2</v>
      </c>
      <c r="M55" s="64">
        <f>'Weighted Cases Calc.  '!J53</f>
        <v>-228611</v>
      </c>
      <c r="N55" s="340">
        <f t="shared" si="11"/>
        <v>-3.7980681290131366E-2</v>
      </c>
      <c r="O55" s="62">
        <f t="shared" si="7"/>
        <v>5464578</v>
      </c>
      <c r="P55" s="256">
        <v>245082</v>
      </c>
      <c r="Q55" s="325">
        <f t="shared" si="12"/>
        <v>5709660</v>
      </c>
      <c r="R55" s="354">
        <f t="shared" si="13"/>
        <v>-9.2132944595564203E-2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10" customFormat="1" x14ac:dyDescent="0.25">
      <c r="A56" s="61" t="s">
        <v>29</v>
      </c>
      <c r="B56" s="60">
        <v>6</v>
      </c>
      <c r="C56" s="44">
        <v>5983881</v>
      </c>
      <c r="D56" s="56">
        <v>133924</v>
      </c>
      <c r="E56" s="52"/>
      <c r="F56" s="52"/>
      <c r="G56" s="55">
        <v>120279</v>
      </c>
      <c r="H56" s="50">
        <f t="shared" si="8"/>
        <v>5970236</v>
      </c>
      <c r="I56" s="54">
        <v>58807</v>
      </c>
      <c r="J56" s="336">
        <f t="shared" si="9"/>
        <v>6029043</v>
      </c>
      <c r="K56" s="40">
        <f t="shared" si="14"/>
        <v>-326486</v>
      </c>
      <c r="L56" s="340">
        <f t="shared" si="10"/>
        <v>-5.4152209562943907E-2</v>
      </c>
      <c r="M56" s="64">
        <f>'Weighted Cases Calc.  '!J54</f>
        <v>-228011</v>
      </c>
      <c r="N56" s="340">
        <f t="shared" si="11"/>
        <v>-3.7818771569550921E-2</v>
      </c>
      <c r="O56" s="62">
        <f t="shared" si="7"/>
        <v>5474546</v>
      </c>
      <c r="P56" s="256">
        <v>132169</v>
      </c>
      <c r="Q56" s="325">
        <f t="shared" si="12"/>
        <v>5606715</v>
      </c>
      <c r="R56" s="354">
        <f t="shared" si="13"/>
        <v>-9.19709811324948E-2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10" customFormat="1" x14ac:dyDescent="0.25">
      <c r="A57" s="61" t="s">
        <v>28</v>
      </c>
      <c r="B57" s="60">
        <v>6</v>
      </c>
      <c r="C57" s="44">
        <v>6626239</v>
      </c>
      <c r="D57" s="56">
        <v>148300</v>
      </c>
      <c r="E57" s="52"/>
      <c r="F57" s="52"/>
      <c r="G57" s="55">
        <v>142941</v>
      </c>
      <c r="H57" s="50">
        <f t="shared" si="8"/>
        <v>6620880</v>
      </c>
      <c r="I57" s="54">
        <v>78360</v>
      </c>
      <c r="J57" s="336">
        <f t="shared" si="9"/>
        <v>6699240</v>
      </c>
      <c r="K57" s="40">
        <f t="shared" si="14"/>
        <v>-362779</v>
      </c>
      <c r="L57" s="340">
        <f t="shared" si="10"/>
        <v>-5.4152262047635256E-2</v>
      </c>
      <c r="M57" s="64">
        <f>'Weighted Cases Calc.  '!J55</f>
        <v>-267498</v>
      </c>
      <c r="N57" s="340">
        <f t="shared" si="11"/>
        <v>-3.9929603955075499E-2</v>
      </c>
      <c r="O57" s="62">
        <f t="shared" si="7"/>
        <v>6068963</v>
      </c>
      <c r="P57" s="256">
        <v>212143</v>
      </c>
      <c r="Q57" s="325">
        <f t="shared" si="12"/>
        <v>6281106</v>
      </c>
      <c r="R57" s="354">
        <f t="shared" si="13"/>
        <v>-9.4081866002710735E-2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10" customFormat="1" x14ac:dyDescent="0.25">
      <c r="A58" s="61" t="s">
        <v>20</v>
      </c>
      <c r="B58" s="60">
        <v>6</v>
      </c>
      <c r="C58" s="44">
        <v>7327693</v>
      </c>
      <c r="D58" s="56">
        <v>163999</v>
      </c>
      <c r="E58" s="52"/>
      <c r="F58" s="52"/>
      <c r="G58" s="55">
        <v>154311</v>
      </c>
      <c r="H58" s="50">
        <f t="shared" si="8"/>
        <v>7318005</v>
      </c>
      <c r="I58" s="54">
        <v>126214</v>
      </c>
      <c r="J58" s="336">
        <f t="shared" si="9"/>
        <v>7444219</v>
      </c>
      <c r="K58" s="40">
        <f t="shared" si="14"/>
        <v>-403121</v>
      </c>
      <c r="L58" s="340">
        <f t="shared" si="10"/>
        <v>-5.4152222012812896E-2</v>
      </c>
      <c r="M58" s="64">
        <f>'Weighted Cases Calc.  '!J56</f>
        <v>-280177</v>
      </c>
      <c r="N58" s="340">
        <f t="shared" si="11"/>
        <v>-3.7636856196734673E-2</v>
      </c>
      <c r="O58" s="62">
        <f t="shared" si="7"/>
        <v>6760921</v>
      </c>
      <c r="P58" s="256">
        <v>279419</v>
      </c>
      <c r="Q58" s="325">
        <f t="shared" si="12"/>
        <v>7040340</v>
      </c>
      <c r="R58" s="354">
        <f t="shared" si="13"/>
        <v>-9.1789078209547514E-2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10" customFormat="1" x14ac:dyDescent="0.25">
      <c r="A59" s="61" t="s">
        <v>18</v>
      </c>
      <c r="B59" s="60">
        <v>6</v>
      </c>
      <c r="C59" s="44">
        <v>11761853</v>
      </c>
      <c r="D59" s="56">
        <v>263239</v>
      </c>
      <c r="E59" s="52"/>
      <c r="F59" s="52"/>
      <c r="G59" s="55">
        <v>242102</v>
      </c>
      <c r="H59" s="50">
        <f t="shared" si="8"/>
        <v>11740716</v>
      </c>
      <c r="I59" s="54">
        <v>198453</v>
      </c>
      <c r="J59" s="336">
        <f t="shared" si="9"/>
        <v>11939169</v>
      </c>
      <c r="K59" s="40">
        <f t="shared" si="14"/>
        <v>-646533</v>
      </c>
      <c r="L59" s="340">
        <f t="shared" si="10"/>
        <v>-5.4152261350852812E-2</v>
      </c>
      <c r="M59" s="64">
        <f>'Weighted Cases Calc.  '!J57</f>
        <v>-526339</v>
      </c>
      <c r="N59" s="340">
        <f t="shared" si="11"/>
        <v>-4.40850615315019E-2</v>
      </c>
      <c r="O59" s="62">
        <f t="shared" si="7"/>
        <v>10766297</v>
      </c>
      <c r="P59" s="256">
        <v>238183</v>
      </c>
      <c r="Q59" s="325">
        <f t="shared" si="12"/>
        <v>11004480</v>
      </c>
      <c r="R59" s="354">
        <f t="shared" si="13"/>
        <v>-9.8237322882354761E-2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10" customFormat="1" x14ac:dyDescent="0.25">
      <c r="A60" s="61" t="s">
        <v>13</v>
      </c>
      <c r="B60" s="60">
        <v>6</v>
      </c>
      <c r="C60" s="44">
        <v>6804885</v>
      </c>
      <c r="D60" s="56">
        <v>152298</v>
      </c>
      <c r="E60" s="52"/>
      <c r="F60" s="52"/>
      <c r="G60" s="55">
        <v>115801</v>
      </c>
      <c r="H60" s="50">
        <f t="shared" si="8"/>
        <v>6768388</v>
      </c>
      <c r="I60" s="54">
        <v>58291</v>
      </c>
      <c r="J60" s="336">
        <f t="shared" si="9"/>
        <v>6826679</v>
      </c>
      <c r="K60" s="40">
        <f t="shared" si="14"/>
        <v>-369680</v>
      </c>
      <c r="L60" s="340">
        <f t="shared" si="10"/>
        <v>-5.4152245916352593E-2</v>
      </c>
      <c r="M60" s="64">
        <f>'Weighted Cases Calc.  '!J58</f>
        <v>-294959</v>
      </c>
      <c r="N60" s="340">
        <f t="shared" si="11"/>
        <v>-4.320680670645273E-2</v>
      </c>
      <c r="O60" s="62">
        <f t="shared" si="7"/>
        <v>6162040</v>
      </c>
      <c r="P60" s="256">
        <v>286925</v>
      </c>
      <c r="Q60" s="325">
        <f t="shared" si="12"/>
        <v>6448965</v>
      </c>
      <c r="R60" s="354">
        <f t="shared" si="13"/>
        <v>-9.7359052622805309E-2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10" customFormat="1" x14ac:dyDescent="0.25">
      <c r="A61" s="61" t="s">
        <v>11</v>
      </c>
      <c r="B61" s="60">
        <v>6</v>
      </c>
      <c r="C61" s="44">
        <v>8228236</v>
      </c>
      <c r="D61" s="56">
        <v>184154</v>
      </c>
      <c r="E61" s="52"/>
      <c r="F61" s="52"/>
      <c r="G61" s="55">
        <v>176654</v>
      </c>
      <c r="H61" s="50">
        <f t="shared" si="8"/>
        <v>8220736</v>
      </c>
      <c r="I61" s="54">
        <v>101515</v>
      </c>
      <c r="J61" s="336">
        <f t="shared" si="9"/>
        <v>8322251</v>
      </c>
      <c r="K61" s="40">
        <f t="shared" si="14"/>
        <v>-450669</v>
      </c>
      <c r="L61" s="340">
        <f t="shared" si="10"/>
        <v>-5.4152296055478256E-2</v>
      </c>
      <c r="M61" s="64">
        <f>'Weighted Cases Calc.  '!J59</f>
        <v>-322230</v>
      </c>
      <c r="N61" s="340">
        <f t="shared" si="11"/>
        <v>-3.8719091745730815E-2</v>
      </c>
      <c r="O61" s="62">
        <f t="shared" si="7"/>
        <v>7549352</v>
      </c>
      <c r="P61" s="256">
        <v>345007</v>
      </c>
      <c r="Q61" s="325">
        <f t="shared" si="12"/>
        <v>7894359</v>
      </c>
      <c r="R61" s="354">
        <f t="shared" si="13"/>
        <v>-9.2871387801209071E-2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10" customFormat="1" x14ac:dyDescent="0.25">
      <c r="A62" s="61" t="s">
        <v>10</v>
      </c>
      <c r="B62" s="60">
        <v>6</v>
      </c>
      <c r="C62" s="44">
        <v>8901420</v>
      </c>
      <c r="D62" s="56">
        <v>199220</v>
      </c>
      <c r="E62" s="52"/>
      <c r="F62" s="52"/>
      <c r="G62" s="55">
        <v>171148</v>
      </c>
      <c r="H62" s="50">
        <f t="shared" si="8"/>
        <v>8873348</v>
      </c>
      <c r="I62" s="54">
        <v>102743</v>
      </c>
      <c r="J62" s="336">
        <f t="shared" si="9"/>
        <v>8976091</v>
      </c>
      <c r="K62" s="40">
        <f t="shared" si="14"/>
        <v>-486076</v>
      </c>
      <c r="L62" s="340">
        <f t="shared" si="10"/>
        <v>-5.4152303045947286E-2</v>
      </c>
      <c r="M62" s="64">
        <f>'Weighted Cases Calc.  '!J60</f>
        <v>-354996</v>
      </c>
      <c r="N62" s="340">
        <f t="shared" si="11"/>
        <v>-3.9549064286447187E-2</v>
      </c>
      <c r="O62" s="62">
        <f t="shared" si="7"/>
        <v>8135019</v>
      </c>
      <c r="P62" s="256">
        <v>229680</v>
      </c>
      <c r="Q62" s="325">
        <f t="shared" si="12"/>
        <v>8364699</v>
      </c>
      <c r="R62" s="354">
        <f t="shared" si="13"/>
        <v>-9.3701367332394425E-2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10" customFormat="1" x14ac:dyDescent="0.25">
      <c r="A63" s="61" t="s">
        <v>54</v>
      </c>
      <c r="B63" s="60">
        <v>7</v>
      </c>
      <c r="C63" s="44">
        <v>19487703</v>
      </c>
      <c r="D63" s="56">
        <v>436149</v>
      </c>
      <c r="E63" s="52"/>
      <c r="F63" s="52">
        <v>185075</v>
      </c>
      <c r="G63" s="55">
        <v>383829</v>
      </c>
      <c r="H63" s="50">
        <f t="shared" si="8"/>
        <v>19250308</v>
      </c>
      <c r="I63" s="54">
        <v>331044</v>
      </c>
      <c r="J63" s="336">
        <f t="shared" si="9"/>
        <v>19581352</v>
      </c>
      <c r="K63" s="40">
        <f t="shared" si="14"/>
        <v>-1060375</v>
      </c>
      <c r="L63" s="340">
        <f t="shared" si="10"/>
        <v>-5.4152287339505466E-2</v>
      </c>
      <c r="M63" s="64">
        <f>'Weighted Cases Calc.  '!J61</f>
        <v>-558184</v>
      </c>
      <c r="N63" s="340">
        <f t="shared" si="11"/>
        <v>-2.8505896834907007E-2</v>
      </c>
      <c r="O63" s="62">
        <f t="shared" si="7"/>
        <v>17962793</v>
      </c>
      <c r="P63" s="256">
        <v>447095</v>
      </c>
      <c r="Q63" s="325">
        <f t="shared" si="12"/>
        <v>18409888</v>
      </c>
      <c r="R63" s="354">
        <f t="shared" si="13"/>
        <v>-8.2658184174412508E-2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10" customFormat="1" x14ac:dyDescent="0.25">
      <c r="A64" s="61" t="s">
        <v>34</v>
      </c>
      <c r="B64" s="60">
        <v>7</v>
      </c>
      <c r="C64" s="44">
        <v>11850439</v>
      </c>
      <c r="D64" s="56">
        <v>265222</v>
      </c>
      <c r="E64" s="52">
        <v>250797</v>
      </c>
      <c r="F64" s="52"/>
      <c r="G64" s="55">
        <v>241586</v>
      </c>
      <c r="H64" s="50">
        <f t="shared" si="8"/>
        <v>11576006</v>
      </c>
      <c r="I64" s="54">
        <v>125000</v>
      </c>
      <c r="J64" s="336">
        <f t="shared" si="9"/>
        <v>11701006</v>
      </c>
      <c r="K64" s="40">
        <f t="shared" si="14"/>
        <v>-633636</v>
      </c>
      <c r="L64" s="340">
        <f t="shared" si="10"/>
        <v>-5.4152266907648794E-2</v>
      </c>
      <c r="M64" s="64">
        <f>'Weighted Cases Calc.  '!J62</f>
        <v>-358478</v>
      </c>
      <c r="N64" s="340">
        <f t="shared" si="11"/>
        <v>-3.0636511082893215E-2</v>
      </c>
      <c r="O64" s="62">
        <f t="shared" si="7"/>
        <v>10708892</v>
      </c>
      <c r="P64" s="256">
        <v>265965</v>
      </c>
      <c r="Q64" s="325">
        <f t="shared" si="12"/>
        <v>10974857</v>
      </c>
      <c r="R64" s="354">
        <f t="shared" si="13"/>
        <v>-8.4788777990541964E-2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10" customFormat="1" x14ac:dyDescent="0.25">
      <c r="A65" s="61" t="s">
        <v>17</v>
      </c>
      <c r="B65" s="60">
        <v>7</v>
      </c>
      <c r="C65" s="44">
        <v>23152497</v>
      </c>
      <c r="D65" s="56">
        <v>518170</v>
      </c>
      <c r="E65" s="52"/>
      <c r="F65" s="52"/>
      <c r="G65" s="55">
        <v>425497</v>
      </c>
      <c r="H65" s="50">
        <f t="shared" si="8"/>
        <v>23059824</v>
      </c>
      <c r="I65" s="54">
        <v>206999.99000000002</v>
      </c>
      <c r="J65" s="336">
        <f t="shared" si="9"/>
        <v>23266823.989999998</v>
      </c>
      <c r="K65" s="40">
        <f t="shared" si="14"/>
        <v>-1259952</v>
      </c>
      <c r="L65" s="340">
        <f t="shared" si="10"/>
        <v>-5.4152298592258362E-2</v>
      </c>
      <c r="M65" s="64">
        <f>'Weighted Cases Calc.  '!J63</f>
        <v>-967366</v>
      </c>
      <c r="N65" s="340">
        <f t="shared" si="11"/>
        <v>-4.1577054109996729E-2</v>
      </c>
      <c r="O65" s="62">
        <f t="shared" si="7"/>
        <v>21039505.989999998</v>
      </c>
      <c r="P65" s="256">
        <v>596029</v>
      </c>
      <c r="Q65" s="325">
        <f t="shared" si="12"/>
        <v>21635534.989999998</v>
      </c>
      <c r="R65" s="354">
        <f t="shared" si="13"/>
        <v>-9.5729352702255133E-2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0" customFormat="1" x14ac:dyDescent="0.25">
      <c r="A66" s="61" t="s">
        <v>16</v>
      </c>
      <c r="B66" s="60">
        <v>7</v>
      </c>
      <c r="C66" s="44">
        <v>12340907</v>
      </c>
      <c r="D66" s="56">
        <v>276199</v>
      </c>
      <c r="E66" s="52"/>
      <c r="F66" s="52"/>
      <c r="G66" s="55">
        <v>247167</v>
      </c>
      <c r="H66" s="50">
        <f t="shared" si="8"/>
        <v>12311875</v>
      </c>
      <c r="I66" s="54">
        <v>188668</v>
      </c>
      <c r="J66" s="336">
        <f t="shared" si="9"/>
        <v>12500543</v>
      </c>
      <c r="K66" s="40">
        <f t="shared" si="14"/>
        <v>-676933</v>
      </c>
      <c r="L66" s="340">
        <f t="shared" si="10"/>
        <v>-5.4152287624625588E-2</v>
      </c>
      <c r="M66" s="64">
        <f>'Weighted Cases Calc.  '!J64</f>
        <v>-350951</v>
      </c>
      <c r="N66" s="340">
        <f t="shared" si="11"/>
        <v>-2.8074860428063005E-2</v>
      </c>
      <c r="O66" s="62">
        <f t="shared" si="7"/>
        <v>11472659</v>
      </c>
      <c r="P66" s="256">
        <v>350062</v>
      </c>
      <c r="Q66" s="325">
        <f t="shared" si="12"/>
        <v>11822721</v>
      </c>
      <c r="R66" s="354">
        <f t="shared" si="13"/>
        <v>-8.2227148052688603E-2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10" customFormat="1" x14ac:dyDescent="0.25">
      <c r="A67" s="61" t="s">
        <v>5</v>
      </c>
      <c r="B67" s="60">
        <v>7</v>
      </c>
      <c r="C67" s="44">
        <v>11653280</v>
      </c>
      <c r="D67" s="56">
        <v>260809</v>
      </c>
      <c r="E67" s="52"/>
      <c r="F67" s="52"/>
      <c r="G67" s="55">
        <v>234575</v>
      </c>
      <c r="H67" s="50">
        <f t="shared" si="8"/>
        <v>11627046</v>
      </c>
      <c r="I67" s="54">
        <v>135000</v>
      </c>
      <c r="J67" s="336">
        <f t="shared" si="9"/>
        <v>11762046</v>
      </c>
      <c r="K67" s="40">
        <f t="shared" si="14"/>
        <v>-636942</v>
      </c>
      <c r="L67" s="340">
        <f t="shared" si="10"/>
        <v>-5.415231329651321E-2</v>
      </c>
      <c r="M67" s="64">
        <f>'Weighted Cases Calc.  '!J65</f>
        <v>-368049</v>
      </c>
      <c r="N67" s="340">
        <f t="shared" si="11"/>
        <v>-3.1291239636369386E-2</v>
      </c>
      <c r="O67" s="62">
        <f t="shared" si="7"/>
        <v>10757055</v>
      </c>
      <c r="P67" s="256">
        <v>279691</v>
      </c>
      <c r="Q67" s="325">
        <f t="shared" si="12"/>
        <v>11036746</v>
      </c>
      <c r="R67" s="354">
        <f t="shared" si="13"/>
        <v>-8.5443552932882638E-2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0" customFormat="1" x14ac:dyDescent="0.25">
      <c r="A68" s="61" t="s">
        <v>63</v>
      </c>
      <c r="B68" s="60">
        <v>8</v>
      </c>
      <c r="C68" s="44">
        <v>40307454</v>
      </c>
      <c r="D68" s="56">
        <v>902111</v>
      </c>
      <c r="E68" s="52"/>
      <c r="F68" s="52">
        <f>1268706-72762</f>
        <v>1195944</v>
      </c>
      <c r="G68" s="55">
        <v>809511</v>
      </c>
      <c r="H68" s="50">
        <f t="shared" si="8"/>
        <v>39018910</v>
      </c>
      <c r="I68" s="54">
        <v>360688</v>
      </c>
      <c r="J68" s="336">
        <f t="shared" si="9"/>
        <v>39379598</v>
      </c>
      <c r="K68" s="40">
        <f t="shared" si="14"/>
        <v>-2132495</v>
      </c>
      <c r="L68" s="340">
        <f t="shared" si="10"/>
        <v>-5.4152279563646127E-2</v>
      </c>
      <c r="M68" s="64">
        <f>'Weighted Cases Calc.  '!J66</f>
        <v>-1359170</v>
      </c>
      <c r="N68" s="340">
        <f t="shared" si="11"/>
        <v>-3.4514572749066663E-2</v>
      </c>
      <c r="O68" s="62">
        <f t="shared" si="7"/>
        <v>35887933</v>
      </c>
      <c r="P68" s="256">
        <v>852355</v>
      </c>
      <c r="Q68" s="325">
        <f t="shared" si="12"/>
        <v>36740288</v>
      </c>
      <c r="R68" s="354">
        <f t="shared" si="13"/>
        <v>-8.8666852312712763E-2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10" customFormat="1" x14ac:dyDescent="0.25">
      <c r="A69" s="61" t="s">
        <v>41</v>
      </c>
      <c r="B69" s="60">
        <v>8</v>
      </c>
      <c r="C69" s="44">
        <v>29882862</v>
      </c>
      <c r="D69" s="56">
        <v>668801</v>
      </c>
      <c r="E69" s="52"/>
      <c r="F69" s="52"/>
      <c r="G69" s="55">
        <v>574885</v>
      </c>
      <c r="H69" s="50">
        <f t="shared" si="8"/>
        <v>29788946</v>
      </c>
      <c r="I69" s="54">
        <v>380661</v>
      </c>
      <c r="J69" s="336">
        <f t="shared" si="9"/>
        <v>30169607</v>
      </c>
      <c r="K69" s="40">
        <f t="shared" si="14"/>
        <v>-1633753</v>
      </c>
      <c r="L69" s="340">
        <f t="shared" si="10"/>
        <v>-5.4152279809279585E-2</v>
      </c>
      <c r="M69" s="64">
        <f>'Weighted Cases Calc.  '!J67</f>
        <v>-1007653</v>
      </c>
      <c r="N69" s="340">
        <f t="shared" si="11"/>
        <v>-3.3399606431731114E-2</v>
      </c>
      <c r="O69" s="62">
        <f t="shared" si="7"/>
        <v>27528201</v>
      </c>
      <c r="P69" s="256">
        <v>455779</v>
      </c>
      <c r="Q69" s="325">
        <f t="shared" si="12"/>
        <v>27983980</v>
      </c>
      <c r="R69" s="354">
        <f t="shared" si="13"/>
        <v>-8.7551886241010735E-2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10" customFormat="1" x14ac:dyDescent="0.25">
      <c r="A70" s="61" t="s">
        <v>26</v>
      </c>
      <c r="B70" s="60">
        <v>8</v>
      </c>
      <c r="C70" s="44">
        <v>71545715</v>
      </c>
      <c r="D70" s="56">
        <v>1601246</v>
      </c>
      <c r="E70" s="52"/>
      <c r="F70" s="52"/>
      <c r="G70" s="55">
        <v>1394985</v>
      </c>
      <c r="H70" s="50">
        <f t="shared" ref="H70:H72" si="15">C70+G70-D70-E70-F70</f>
        <v>71339454</v>
      </c>
      <c r="I70" s="54">
        <v>831377</v>
      </c>
      <c r="J70" s="336">
        <f t="shared" ref="J70:J72" si="16">H70+I70</f>
        <v>72170831</v>
      </c>
      <c r="K70" s="40">
        <f t="shared" si="14"/>
        <v>-3908215</v>
      </c>
      <c r="L70" s="340">
        <f t="shared" ref="L70:L72" si="17">K70/J70</f>
        <v>-5.4152279332906672E-2</v>
      </c>
      <c r="M70" s="64">
        <f>'Weighted Cases Calc.  '!J68</f>
        <v>-2581574</v>
      </c>
      <c r="N70" s="340">
        <f t="shared" ref="N70:N72" si="18">M70/J70</f>
        <v>-3.5770323886114043E-2</v>
      </c>
      <c r="O70" s="62">
        <f t="shared" si="7"/>
        <v>65681042</v>
      </c>
      <c r="P70" s="256">
        <v>1086987</v>
      </c>
      <c r="Q70" s="325">
        <f t="shared" ref="Q70:Q72" si="19">O70+P70</f>
        <v>66768029</v>
      </c>
      <c r="R70" s="354">
        <f t="shared" si="13"/>
        <v>-8.992260321902068E-2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61" t="s">
        <v>21</v>
      </c>
      <c r="B71" s="60">
        <v>8</v>
      </c>
      <c r="C71" s="44">
        <v>29035203</v>
      </c>
      <c r="D71" s="56">
        <v>649829</v>
      </c>
      <c r="E71" s="52">
        <v>120000</v>
      </c>
      <c r="F71" s="52"/>
      <c r="G71" s="55">
        <v>575340</v>
      </c>
      <c r="H71" s="50">
        <f t="shared" si="15"/>
        <v>28840714</v>
      </c>
      <c r="I71" s="54">
        <v>372406</v>
      </c>
      <c r="J71" s="336">
        <f t="shared" si="16"/>
        <v>29213120</v>
      </c>
      <c r="K71" s="40">
        <f t="shared" si="14"/>
        <v>-1581957</v>
      </c>
      <c r="L71" s="340">
        <f t="shared" si="17"/>
        <v>-5.4152278154473057E-2</v>
      </c>
      <c r="M71" s="64">
        <f>'Weighted Cases Calc.  '!J69</f>
        <v>-973394</v>
      </c>
      <c r="N71" s="340">
        <f t="shared" si="18"/>
        <v>-3.3320439583310511E-2</v>
      </c>
      <c r="O71" s="62">
        <f t="shared" ref="O71:O72" si="20">J71+K71+M71</f>
        <v>26657769</v>
      </c>
      <c r="P71" s="256">
        <v>679256</v>
      </c>
      <c r="Q71" s="325">
        <f t="shared" si="19"/>
        <v>27337025</v>
      </c>
      <c r="R71" s="354">
        <f t="shared" si="13"/>
        <v>-8.7472717737783534E-2</v>
      </c>
    </row>
    <row r="72" spans="1:34" ht="14.25" thickBot="1" x14ac:dyDescent="0.3">
      <c r="A72" s="49" t="s">
        <v>19</v>
      </c>
      <c r="B72" s="48">
        <v>8</v>
      </c>
      <c r="C72" s="44">
        <v>30632144</v>
      </c>
      <c r="D72" s="43">
        <v>685570</v>
      </c>
      <c r="E72" s="39"/>
      <c r="F72" s="39"/>
      <c r="G72" s="42">
        <v>605353</v>
      </c>
      <c r="H72" s="36">
        <f t="shared" si="15"/>
        <v>30551927</v>
      </c>
      <c r="I72" s="331">
        <v>321869</v>
      </c>
      <c r="J72" s="337">
        <f t="shared" si="16"/>
        <v>30873796</v>
      </c>
      <c r="K72" s="40">
        <f t="shared" si="14"/>
        <v>-1671887</v>
      </c>
      <c r="L72" s="340">
        <f t="shared" si="17"/>
        <v>-5.4152297955197992E-2</v>
      </c>
      <c r="M72" s="64">
        <f>'Weighted Cases Calc.  '!J70</f>
        <v>-1136524</v>
      </c>
      <c r="N72" s="340">
        <f t="shared" si="18"/>
        <v>-3.6811929443337645E-2</v>
      </c>
      <c r="O72" s="62">
        <f t="shared" si="20"/>
        <v>28065385</v>
      </c>
      <c r="P72" s="247">
        <v>755636</v>
      </c>
      <c r="Q72" s="325">
        <f t="shared" si="19"/>
        <v>28821021</v>
      </c>
      <c r="R72" s="355">
        <f t="shared" si="13"/>
        <v>-9.0964227398535602E-2</v>
      </c>
    </row>
    <row r="73" spans="1:34" ht="14.25" thickBot="1" x14ac:dyDescent="0.3">
      <c r="A73" s="34"/>
      <c r="B73" s="33"/>
      <c r="C73" s="30"/>
      <c r="D73" s="31"/>
      <c r="E73" s="30"/>
      <c r="F73" s="30"/>
      <c r="G73" s="30"/>
      <c r="H73" s="24"/>
      <c r="I73" s="26"/>
      <c r="J73" s="24"/>
      <c r="K73" s="28"/>
      <c r="L73" s="350"/>
      <c r="M73" s="26"/>
      <c r="N73" s="346"/>
      <c r="O73" s="24"/>
      <c r="P73" s="32"/>
      <c r="Q73" s="32"/>
      <c r="R73" s="341"/>
    </row>
    <row r="74" spans="1:34" s="10" customFormat="1" ht="14.25" thickBot="1" x14ac:dyDescent="0.3">
      <c r="A74" s="387" t="s">
        <v>0</v>
      </c>
      <c r="B74" s="388"/>
      <c r="C74" s="12">
        <f t="shared" ref="C74:F74" si="21">C2</f>
        <v>446812672</v>
      </c>
      <c r="D74" s="332">
        <f t="shared" si="21"/>
        <v>10000000</v>
      </c>
      <c r="E74" s="333">
        <f t="shared" si="21"/>
        <v>800743</v>
      </c>
      <c r="F74" s="333">
        <f t="shared" si="21"/>
        <v>1494425</v>
      </c>
      <c r="G74" s="231">
        <f>SUM(G6:G72)</f>
        <v>8453579</v>
      </c>
      <c r="H74" s="12">
        <f>SUM(H6:H72)</f>
        <v>442971083</v>
      </c>
      <c r="I74" s="231">
        <f>SUM(I6:I72)</f>
        <v>5427719.9900000002</v>
      </c>
      <c r="J74" s="12">
        <f>SUM(J6:J72)</f>
        <v>448398802.99000001</v>
      </c>
      <c r="K74" s="360">
        <f>SUM(K6:K72)</f>
        <v>-23039282</v>
      </c>
      <c r="L74" s="342">
        <f>K74/$J$74</f>
        <v>-5.1381229937212412E-2</v>
      </c>
      <c r="M74" s="360">
        <f>SUM(M6:M72)</f>
        <v>-15359521</v>
      </c>
      <c r="N74" s="342">
        <f>M74/J74</f>
        <v>-3.4254152548089077E-2</v>
      </c>
      <c r="O74" s="12">
        <f>SUM(O6:O72)</f>
        <v>409999999.99000001</v>
      </c>
      <c r="P74" s="323">
        <f>SUM(P6:P72)</f>
        <v>11700000</v>
      </c>
      <c r="Q74" s="323">
        <f>SUM(Q6:Q72)</f>
        <v>421699999.99000001</v>
      </c>
      <c r="R74" s="353">
        <f>O74/J74-1</f>
        <v>-8.5635382485301448E-2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F75" s="229"/>
      <c r="G75" s="229"/>
      <c r="J75" s="9"/>
      <c r="K75" s="9"/>
      <c r="M75" s="7"/>
      <c r="O75" s="9"/>
    </row>
    <row r="76" spans="1:34" x14ac:dyDescent="0.25">
      <c r="C76" s="330"/>
      <c r="G76" s="326" t="s">
        <v>211</v>
      </c>
      <c r="H76" s="9">
        <v>11700000</v>
      </c>
      <c r="I76" s="235"/>
      <c r="J76" s="9">
        <v>11700000</v>
      </c>
    </row>
    <row r="77" spans="1:34" ht="27" x14ac:dyDescent="0.25">
      <c r="C77" s="329"/>
      <c r="D77" s="7"/>
      <c r="G77" s="377" t="s">
        <v>210</v>
      </c>
      <c r="H77" s="327">
        <f>H76+H74</f>
        <v>454671083</v>
      </c>
      <c r="I77" s="377" t="s">
        <v>225</v>
      </c>
      <c r="J77" s="327">
        <f>J74+J76</f>
        <v>460098802.99000001</v>
      </c>
      <c r="K77" s="7"/>
      <c r="L77" s="351"/>
    </row>
    <row r="78" spans="1:34" x14ac:dyDescent="0.25">
      <c r="I78" s="108"/>
    </row>
    <row r="80" spans="1:34" x14ac:dyDescent="0.25">
      <c r="I80" s="9"/>
    </row>
  </sheetData>
  <autoFilter ref="A5:R72" xr:uid="{4EC7684B-053D-43A3-8CD8-BE9A689EFD27}"/>
  <sortState xmlns:xlrd2="http://schemas.microsoft.com/office/spreadsheetml/2017/richdata2" ref="A6:R72">
    <sortCondition ref="B6"/>
  </sortState>
  <mergeCells count="5">
    <mergeCell ref="P1:R1"/>
    <mergeCell ref="I1:N1"/>
    <mergeCell ref="A74:B74"/>
    <mergeCell ref="A2:B2"/>
    <mergeCell ref="D1:H1"/>
  </mergeCells>
  <pageMargins left="0.5" right="0.5" top="0.75" bottom="0.5" header="0.25" footer="0.25"/>
  <pageSetup paperSize="5" scale="78" fitToWidth="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18BD-96D6-4D54-86C3-AA1C43206483}">
  <sheetPr>
    <pageSetUpPr fitToPage="1"/>
  </sheetPr>
  <dimension ref="A1:O74"/>
  <sheetViews>
    <sheetView zoomScale="90" zoomScaleNormal="90" workbookViewId="0">
      <pane xSplit="1" ySplit="3" topLeftCell="B38" activePane="bottomRight" state="frozen"/>
      <selection activeCell="R75" sqref="R5:T75"/>
      <selection pane="topRight" activeCell="R75" sqref="R5:T75"/>
      <selection pane="bottomLeft" activeCell="R75" sqref="R5:T75"/>
      <selection pane="bottomRight" activeCell="D74" sqref="D74"/>
    </sheetView>
  </sheetViews>
  <sheetFormatPr defaultRowHeight="15" x14ac:dyDescent="0.25"/>
  <cols>
    <col min="1" max="1" width="16" style="1" customWidth="1"/>
    <col min="2" max="2" width="7.85546875" style="22" customWidth="1"/>
    <col min="3" max="3" width="11.140625" style="1" customWidth="1"/>
    <col min="4" max="4" width="19.42578125" style="108" bestFit="1" customWidth="1"/>
    <col min="5" max="5" width="12.28515625" style="237" customWidth="1"/>
    <col min="6" max="6" width="19.85546875" style="1" customWidth="1"/>
    <col min="7" max="7" width="18" style="1" bestFit="1" customWidth="1"/>
    <col min="8" max="8" width="13.28515625" style="237" customWidth="1"/>
    <col min="9" max="9" width="17.42578125" style="1" customWidth="1"/>
    <col min="10" max="10" width="16.7109375" style="1" customWidth="1"/>
    <col min="11" max="11" width="12.42578125" style="237" customWidth="1"/>
    <col min="13" max="13" width="9.7109375" bestFit="1" customWidth="1"/>
  </cols>
  <sheetData>
    <row r="1" spans="1:15" ht="16.5" hidden="1" thickBot="1" x14ac:dyDescent="0.35">
      <c r="A1" s="140" t="s">
        <v>97</v>
      </c>
      <c r="B1" s="139"/>
      <c r="C1" s="106"/>
      <c r="D1" s="138">
        <f>D72</f>
        <v>425453540.99000001</v>
      </c>
      <c r="E1" s="365">
        <f>F1/D1</f>
        <v>-7.2203047882781729E-2</v>
      </c>
      <c r="F1" s="135">
        <f>J1*2</f>
        <v>-30719042.392000008</v>
      </c>
      <c r="G1" s="137">
        <f>G72</f>
        <v>17417677</v>
      </c>
      <c r="H1" s="366"/>
      <c r="I1" s="136">
        <f>-J1</f>
        <v>15359521.196000004</v>
      </c>
      <c r="J1" s="135">
        <f>'BUDGET CALC.  '!M2</f>
        <v>-15359521.196000004</v>
      </c>
      <c r="K1" s="366"/>
    </row>
    <row r="2" spans="1:15" ht="6" hidden="1" customHeight="1" thickBot="1" x14ac:dyDescent="0.35">
      <c r="A2" s="140"/>
      <c r="B2" s="139"/>
      <c r="C2" s="219"/>
      <c r="D2" s="138"/>
      <c r="E2" s="366"/>
      <c r="F2" s="135"/>
      <c r="G2" s="137"/>
      <c r="H2" s="366"/>
      <c r="I2" s="136"/>
      <c r="J2" s="135"/>
      <c r="K2" s="366"/>
    </row>
    <row r="3" spans="1:15" s="130" customFormat="1" ht="79.5" thickBot="1" x14ac:dyDescent="0.3">
      <c r="A3" s="133" t="s">
        <v>86</v>
      </c>
      <c r="B3" s="133" t="s">
        <v>96</v>
      </c>
      <c r="C3" s="84" t="s">
        <v>84</v>
      </c>
      <c r="D3" s="131" t="s">
        <v>75</v>
      </c>
      <c r="E3" s="75" t="s">
        <v>95</v>
      </c>
      <c r="F3" s="132" t="s">
        <v>220</v>
      </c>
      <c r="G3" s="131" t="s">
        <v>94</v>
      </c>
      <c r="H3" s="75" t="s">
        <v>93</v>
      </c>
      <c r="I3" s="132" t="s">
        <v>221</v>
      </c>
      <c r="J3" s="132" t="s">
        <v>92</v>
      </c>
      <c r="K3" s="75" t="s">
        <v>91</v>
      </c>
      <c r="M3"/>
      <c r="N3"/>
      <c r="O3"/>
    </row>
    <row r="4" spans="1:15" ht="15.75" x14ac:dyDescent="0.25">
      <c r="A4" s="129" t="s">
        <v>62</v>
      </c>
      <c r="B4" s="128">
        <v>1</v>
      </c>
      <c r="C4" s="70" t="s">
        <v>1</v>
      </c>
      <c r="D4" s="127"/>
      <c r="E4" s="367"/>
      <c r="F4" s="116"/>
      <c r="G4" s="126"/>
      <c r="H4" s="367"/>
      <c r="I4" s="117"/>
      <c r="J4" s="116"/>
      <c r="K4" s="370"/>
    </row>
    <row r="5" spans="1:15" ht="15.75" x14ac:dyDescent="0.25">
      <c r="A5" s="125" t="s">
        <v>36</v>
      </c>
      <c r="B5" s="124">
        <v>1</v>
      </c>
      <c r="C5" s="59" t="s">
        <v>1</v>
      </c>
      <c r="D5" s="123"/>
      <c r="E5" s="367"/>
      <c r="F5" s="116"/>
      <c r="G5" s="122"/>
      <c r="H5" s="367"/>
      <c r="I5" s="117"/>
      <c r="J5" s="116"/>
      <c r="K5" s="370"/>
    </row>
    <row r="6" spans="1:15" ht="15.75" x14ac:dyDescent="0.25">
      <c r="A6" s="125" t="s">
        <v>31</v>
      </c>
      <c r="B6" s="124">
        <v>1</v>
      </c>
      <c r="C6" s="59" t="s">
        <v>1</v>
      </c>
      <c r="D6" s="123"/>
      <c r="E6" s="367"/>
      <c r="F6" s="116"/>
      <c r="G6" s="122"/>
      <c r="H6" s="367"/>
      <c r="I6" s="117"/>
      <c r="J6" s="116"/>
      <c r="K6" s="370"/>
    </row>
    <row r="7" spans="1:15" ht="15.75" x14ac:dyDescent="0.25">
      <c r="A7" s="125" t="s">
        <v>6</v>
      </c>
      <c r="B7" s="124">
        <v>1</v>
      </c>
      <c r="C7" s="59" t="s">
        <v>1</v>
      </c>
      <c r="D7" s="123"/>
      <c r="E7" s="367"/>
      <c r="F7" s="116"/>
      <c r="G7" s="122"/>
      <c r="H7" s="367"/>
      <c r="I7" s="117"/>
      <c r="J7" s="116"/>
      <c r="K7" s="370"/>
    </row>
    <row r="8" spans="1:15" ht="15.75" x14ac:dyDescent="0.25">
      <c r="A8" s="125" t="s">
        <v>67</v>
      </c>
      <c r="B8" s="124">
        <v>2</v>
      </c>
      <c r="C8" s="59" t="s">
        <v>1</v>
      </c>
      <c r="D8" s="123"/>
      <c r="E8" s="367"/>
      <c r="F8" s="116"/>
      <c r="G8" s="122"/>
      <c r="H8" s="367"/>
      <c r="I8" s="117"/>
      <c r="J8" s="116"/>
      <c r="K8" s="370"/>
    </row>
    <row r="9" spans="1:15" ht="15.75" x14ac:dyDescent="0.25">
      <c r="A9" s="125" t="s">
        <v>55</v>
      </c>
      <c r="B9" s="124">
        <v>2</v>
      </c>
      <c r="C9" s="59" t="s">
        <v>1</v>
      </c>
      <c r="D9" s="123"/>
      <c r="E9" s="367"/>
      <c r="F9" s="116"/>
      <c r="G9" s="122"/>
      <c r="H9" s="367"/>
      <c r="I9" s="117"/>
      <c r="J9" s="116"/>
      <c r="K9" s="370"/>
    </row>
    <row r="10" spans="1:15" ht="15.75" x14ac:dyDescent="0.25">
      <c r="A10" s="125" t="s">
        <v>51</v>
      </c>
      <c r="B10" s="124">
        <v>2</v>
      </c>
      <c r="C10" s="59" t="s">
        <v>1</v>
      </c>
      <c r="D10" s="123"/>
      <c r="E10" s="367"/>
      <c r="F10" s="116"/>
      <c r="G10" s="122"/>
      <c r="H10" s="367"/>
      <c r="I10" s="117"/>
      <c r="J10" s="116"/>
      <c r="K10" s="370"/>
    </row>
    <row r="11" spans="1:15" ht="15.75" x14ac:dyDescent="0.25">
      <c r="A11" s="125" t="s">
        <v>49</v>
      </c>
      <c r="B11" s="124">
        <v>2</v>
      </c>
      <c r="C11" s="59" t="s">
        <v>1</v>
      </c>
      <c r="D11" s="123"/>
      <c r="E11" s="367"/>
      <c r="F11" s="116"/>
      <c r="G11" s="122"/>
      <c r="H11" s="367"/>
      <c r="I11" s="117"/>
      <c r="J11" s="116"/>
      <c r="K11" s="370"/>
    </row>
    <row r="12" spans="1:15" ht="15.75" x14ac:dyDescent="0.25">
      <c r="A12" s="125" t="s">
        <v>48</v>
      </c>
      <c r="B12" s="124">
        <v>2</v>
      </c>
      <c r="C12" s="59" t="s">
        <v>1</v>
      </c>
      <c r="D12" s="123"/>
      <c r="E12" s="367"/>
      <c r="F12" s="116"/>
      <c r="G12" s="122"/>
      <c r="H12" s="367"/>
      <c r="I12" s="117"/>
      <c r="J12" s="116"/>
      <c r="K12" s="370"/>
    </row>
    <row r="13" spans="1:15" ht="15.75" x14ac:dyDescent="0.25">
      <c r="A13" s="125" t="s">
        <v>47</v>
      </c>
      <c r="B13" s="124">
        <v>2</v>
      </c>
      <c r="C13" s="59" t="s">
        <v>1</v>
      </c>
      <c r="D13" s="123"/>
      <c r="E13" s="367"/>
      <c r="F13" s="116"/>
      <c r="G13" s="122"/>
      <c r="H13" s="367"/>
      <c r="I13" s="117"/>
      <c r="J13" s="116"/>
      <c r="K13" s="370"/>
    </row>
    <row r="14" spans="1:15" ht="15.75" x14ac:dyDescent="0.25">
      <c r="A14" s="125" t="s">
        <v>46</v>
      </c>
      <c r="B14" s="124">
        <v>2</v>
      </c>
      <c r="C14" s="59" t="s">
        <v>1</v>
      </c>
      <c r="D14" s="123"/>
      <c r="E14" s="367"/>
      <c r="F14" s="116"/>
      <c r="G14" s="122"/>
      <c r="H14" s="367"/>
      <c r="I14" s="117"/>
      <c r="J14" s="116"/>
      <c r="K14" s="370"/>
    </row>
    <row r="15" spans="1:15" ht="15.75" x14ac:dyDescent="0.25">
      <c r="A15" s="125" t="s">
        <v>40</v>
      </c>
      <c r="B15" s="124">
        <v>2</v>
      </c>
      <c r="C15" s="59" t="s">
        <v>1</v>
      </c>
      <c r="D15" s="123"/>
      <c r="E15" s="367"/>
      <c r="F15" s="116"/>
      <c r="G15" s="122"/>
      <c r="H15" s="367"/>
      <c r="I15" s="117"/>
      <c r="J15" s="116"/>
      <c r="K15" s="370"/>
    </row>
    <row r="16" spans="1:15" ht="15.75" x14ac:dyDescent="0.25">
      <c r="A16" s="125" t="s">
        <v>37</v>
      </c>
      <c r="B16" s="124">
        <v>2</v>
      </c>
      <c r="C16" s="59" t="s">
        <v>1</v>
      </c>
      <c r="D16" s="123"/>
      <c r="E16" s="367"/>
      <c r="F16" s="116"/>
      <c r="G16" s="122"/>
      <c r="H16" s="367"/>
      <c r="I16" s="117"/>
      <c r="J16" s="116"/>
      <c r="K16" s="370"/>
    </row>
    <row r="17" spans="1:11" ht="15.75" x14ac:dyDescent="0.25">
      <c r="A17" s="125" t="s">
        <v>7</v>
      </c>
      <c r="B17" s="124">
        <v>2</v>
      </c>
      <c r="C17" s="59" t="s">
        <v>1</v>
      </c>
      <c r="D17" s="123"/>
      <c r="E17" s="367"/>
      <c r="F17" s="116"/>
      <c r="G17" s="122"/>
      <c r="H17" s="367"/>
      <c r="I17" s="117"/>
      <c r="J17" s="116"/>
      <c r="K17" s="370"/>
    </row>
    <row r="18" spans="1:11" ht="15.75" x14ac:dyDescent="0.25">
      <c r="A18" s="125" t="s">
        <v>2</v>
      </c>
      <c r="B18" s="124">
        <v>2</v>
      </c>
      <c r="C18" s="59" t="s">
        <v>1</v>
      </c>
      <c r="D18" s="123"/>
      <c r="E18" s="367"/>
      <c r="F18" s="116"/>
      <c r="G18" s="122"/>
      <c r="H18" s="367"/>
      <c r="I18" s="117"/>
      <c r="J18" s="116"/>
      <c r="K18" s="370"/>
    </row>
    <row r="19" spans="1:11" ht="15.75" x14ac:dyDescent="0.25">
      <c r="A19" s="125" t="s">
        <v>65</v>
      </c>
      <c r="B19" s="124">
        <v>3</v>
      </c>
      <c r="C19" s="59" t="s">
        <v>1</v>
      </c>
      <c r="D19" s="123"/>
      <c r="E19" s="367"/>
      <c r="F19" s="116"/>
      <c r="G19" s="122"/>
      <c r="H19" s="367"/>
      <c r="I19" s="117"/>
      <c r="J19" s="116"/>
      <c r="K19" s="370"/>
    </row>
    <row r="20" spans="1:11" ht="15.75" x14ac:dyDescent="0.25">
      <c r="A20" s="125" t="s">
        <v>56</v>
      </c>
      <c r="B20" s="124">
        <v>3</v>
      </c>
      <c r="C20" s="59" t="s">
        <v>1</v>
      </c>
      <c r="D20" s="123"/>
      <c r="E20" s="367"/>
      <c r="F20" s="116"/>
      <c r="G20" s="122"/>
      <c r="H20" s="367"/>
      <c r="I20" s="117"/>
      <c r="J20" s="116"/>
      <c r="K20" s="370"/>
    </row>
    <row r="21" spans="1:11" ht="15.75" x14ac:dyDescent="0.25">
      <c r="A21" s="125" t="s">
        <v>50</v>
      </c>
      <c r="B21" s="124">
        <v>3</v>
      </c>
      <c r="C21" s="59" t="s">
        <v>1</v>
      </c>
      <c r="D21" s="123"/>
      <c r="E21" s="367"/>
      <c r="F21" s="116"/>
      <c r="G21" s="122"/>
      <c r="H21" s="367"/>
      <c r="I21" s="117"/>
      <c r="J21" s="116"/>
      <c r="K21" s="370"/>
    </row>
    <row r="22" spans="1:11" ht="15.75" x14ac:dyDescent="0.25">
      <c r="A22" s="125" t="s">
        <v>45</v>
      </c>
      <c r="B22" s="124">
        <v>3</v>
      </c>
      <c r="C22" s="59" t="s">
        <v>1</v>
      </c>
      <c r="D22" s="123"/>
      <c r="E22" s="367"/>
      <c r="F22" s="116"/>
      <c r="G22" s="122"/>
      <c r="H22" s="367"/>
      <c r="I22" s="117"/>
      <c r="J22" s="116"/>
      <c r="K22" s="370"/>
    </row>
    <row r="23" spans="1:11" ht="15.75" x14ac:dyDescent="0.25">
      <c r="A23" s="125" t="s">
        <v>44</v>
      </c>
      <c r="B23" s="124">
        <v>3</v>
      </c>
      <c r="C23" s="59" t="s">
        <v>1</v>
      </c>
      <c r="D23" s="123"/>
      <c r="E23" s="367"/>
      <c r="F23" s="116"/>
      <c r="G23" s="122"/>
      <c r="H23" s="367"/>
      <c r="I23" s="117"/>
      <c r="J23" s="116"/>
      <c r="K23" s="370"/>
    </row>
    <row r="24" spans="1:11" ht="15.75" x14ac:dyDescent="0.25">
      <c r="A24" s="125" t="s">
        <v>38</v>
      </c>
      <c r="B24" s="124">
        <v>3</v>
      </c>
      <c r="C24" s="59" t="s">
        <v>1</v>
      </c>
      <c r="D24" s="123"/>
      <c r="E24" s="367"/>
      <c r="F24" s="116"/>
      <c r="G24" s="122"/>
      <c r="H24" s="367"/>
      <c r="I24" s="117"/>
      <c r="J24" s="116"/>
      <c r="K24" s="370"/>
    </row>
    <row r="25" spans="1:11" ht="15.75" x14ac:dyDescent="0.25">
      <c r="A25" s="125" t="s">
        <v>32</v>
      </c>
      <c r="B25" s="124">
        <v>3</v>
      </c>
      <c r="C25" s="59" t="s">
        <v>1</v>
      </c>
      <c r="D25" s="123"/>
      <c r="E25" s="367"/>
      <c r="F25" s="116"/>
      <c r="G25" s="122"/>
      <c r="H25" s="367"/>
      <c r="I25" s="117"/>
      <c r="J25" s="116"/>
      <c r="K25" s="370"/>
    </row>
    <row r="26" spans="1:11" ht="15.75" x14ac:dyDescent="0.25">
      <c r="A26" s="125" t="s">
        <v>30</v>
      </c>
      <c r="B26" s="124">
        <v>3</v>
      </c>
      <c r="C26" s="59" t="s">
        <v>1</v>
      </c>
      <c r="D26" s="123"/>
      <c r="E26" s="367"/>
      <c r="F26" s="116"/>
      <c r="G26" s="122"/>
      <c r="H26" s="367"/>
      <c r="I26" s="117"/>
      <c r="J26" s="116"/>
      <c r="K26" s="370"/>
    </row>
    <row r="27" spans="1:11" ht="15.75" x14ac:dyDescent="0.25">
      <c r="A27" s="125" t="s">
        <v>22</v>
      </c>
      <c r="B27" s="124">
        <v>3</v>
      </c>
      <c r="C27" s="59" t="s">
        <v>1</v>
      </c>
      <c r="D27" s="123"/>
      <c r="E27" s="367"/>
      <c r="F27" s="116"/>
      <c r="G27" s="122"/>
      <c r="H27" s="367"/>
      <c r="I27" s="117"/>
      <c r="J27" s="116"/>
      <c r="K27" s="370"/>
    </row>
    <row r="28" spans="1:11" ht="15.75" x14ac:dyDescent="0.25">
      <c r="A28" s="125" t="s">
        <v>8</v>
      </c>
      <c r="B28" s="124">
        <v>3</v>
      </c>
      <c r="C28" s="59" t="s">
        <v>1</v>
      </c>
      <c r="D28" s="123"/>
      <c r="E28" s="367"/>
      <c r="F28" s="116"/>
      <c r="G28" s="122"/>
      <c r="H28" s="367"/>
      <c r="I28" s="117"/>
      <c r="J28" s="116"/>
      <c r="K28" s="370"/>
    </row>
    <row r="29" spans="1:11" ht="15.75" x14ac:dyDescent="0.25">
      <c r="A29" s="125" t="s">
        <v>4</v>
      </c>
      <c r="B29" s="124">
        <v>3</v>
      </c>
      <c r="C29" s="59" t="s">
        <v>1</v>
      </c>
      <c r="D29" s="123"/>
      <c r="E29" s="367"/>
      <c r="F29" s="116"/>
      <c r="G29" s="122"/>
      <c r="H29" s="367"/>
      <c r="I29" s="117"/>
      <c r="J29" s="116"/>
      <c r="K29" s="370"/>
    </row>
    <row r="30" spans="1:11" ht="15.75" x14ac:dyDescent="0.25">
      <c r="A30" s="125" t="s">
        <v>60</v>
      </c>
      <c r="B30" s="124">
        <v>4</v>
      </c>
      <c r="C30" s="59"/>
      <c r="D30" s="123">
        <f>'CFY 2020-21 Reductions'!P32</f>
        <v>3016536</v>
      </c>
      <c r="E30" s="367">
        <f t="shared" ref="E30:E35" si="0">ROUND((D30/$D$1),12)</f>
        <v>7.0901654570000002E-3</v>
      </c>
      <c r="F30" s="116">
        <f t="shared" ref="F30:F35" si="1">ROUND(($F$1*E30),0)</f>
        <v>-217803</v>
      </c>
      <c r="G30" s="122">
        <v>87092.5</v>
      </c>
      <c r="H30" s="367">
        <f t="shared" ref="H30:H35" si="2">ROUND((G30/$G$1),12)</f>
        <v>5.0002362539999998E-3</v>
      </c>
      <c r="I30" s="117">
        <f t="shared" ref="I30:I35" si="3">ROUND(($I$1*H30),0)</f>
        <v>76801</v>
      </c>
      <c r="J30" s="116">
        <f t="shared" ref="J30:J35" si="4">F30+I30</f>
        <v>-141002</v>
      </c>
      <c r="K30" s="370">
        <f t="shared" ref="K30:K35" si="5">J30/D30</f>
        <v>-4.6743019145138662E-2</v>
      </c>
    </row>
    <row r="31" spans="1:11" ht="15.75" x14ac:dyDescent="0.25">
      <c r="A31" s="125" t="s">
        <v>57</v>
      </c>
      <c r="B31" s="124">
        <v>4</v>
      </c>
      <c r="C31" s="59" t="s">
        <v>1</v>
      </c>
      <c r="D31" s="123"/>
      <c r="E31" s="367"/>
      <c r="F31" s="116"/>
      <c r="G31" s="122"/>
      <c r="H31" s="367"/>
      <c r="I31" s="117"/>
      <c r="J31" s="116"/>
      <c r="K31" s="370"/>
    </row>
    <row r="32" spans="1:11" ht="15.75" x14ac:dyDescent="0.25">
      <c r="A32" s="125" t="s">
        <v>52</v>
      </c>
      <c r="B32" s="124">
        <v>4</v>
      </c>
      <c r="C32" s="59"/>
      <c r="D32" s="123">
        <f>'CFY 2020-21 Reductions'!P34</f>
        <v>1845142</v>
      </c>
      <c r="E32" s="367">
        <f t="shared" si="0"/>
        <v>4.3368824609999997E-3</v>
      </c>
      <c r="F32" s="116">
        <f t="shared" si="1"/>
        <v>-133225</v>
      </c>
      <c r="G32" s="122">
        <v>77121</v>
      </c>
      <c r="H32" s="367">
        <f t="shared" si="2"/>
        <v>4.4277431490000003E-3</v>
      </c>
      <c r="I32" s="117">
        <f t="shared" si="3"/>
        <v>68008</v>
      </c>
      <c r="J32" s="116">
        <f t="shared" si="4"/>
        <v>-65217</v>
      </c>
      <c r="K32" s="370">
        <f t="shared" si="5"/>
        <v>-3.5345247140870457E-2</v>
      </c>
    </row>
    <row r="33" spans="1:11" ht="15.75" x14ac:dyDescent="0.25">
      <c r="A33" s="125" t="s">
        <v>42</v>
      </c>
      <c r="B33" s="124">
        <v>4</v>
      </c>
      <c r="C33" s="59" t="s">
        <v>1</v>
      </c>
      <c r="D33" s="123"/>
      <c r="E33" s="367"/>
      <c r="F33" s="116"/>
      <c r="G33" s="122"/>
      <c r="H33" s="367"/>
      <c r="I33" s="117"/>
      <c r="J33" s="116"/>
      <c r="K33" s="370"/>
    </row>
    <row r="34" spans="1:11" ht="15.75" x14ac:dyDescent="0.25">
      <c r="A34" s="125" t="s">
        <v>39</v>
      </c>
      <c r="B34" s="124">
        <v>4</v>
      </c>
      <c r="C34" s="59"/>
      <c r="D34" s="123">
        <f>'CFY 2020-21 Reductions'!P36</f>
        <v>3051433</v>
      </c>
      <c r="E34" s="367">
        <f t="shared" si="0"/>
        <v>7.172188514E-3</v>
      </c>
      <c r="F34" s="116">
        <f t="shared" si="1"/>
        <v>-220323</v>
      </c>
      <c r="G34" s="122">
        <v>100990</v>
      </c>
      <c r="H34" s="367">
        <f t="shared" si="2"/>
        <v>5.7981325519999996E-3</v>
      </c>
      <c r="I34" s="117">
        <f t="shared" si="3"/>
        <v>89057</v>
      </c>
      <c r="J34" s="116">
        <f t="shared" si="4"/>
        <v>-131266</v>
      </c>
      <c r="K34" s="370">
        <f t="shared" si="5"/>
        <v>-4.3017821462899564E-2</v>
      </c>
    </row>
    <row r="35" spans="1:11" ht="15.75" x14ac:dyDescent="0.25">
      <c r="A35" s="125" t="s">
        <v>24</v>
      </c>
      <c r="B35" s="124">
        <v>4</v>
      </c>
      <c r="C35" s="59"/>
      <c r="D35" s="123">
        <f>'CFY 2020-21 Reductions'!P37</f>
        <v>1584482</v>
      </c>
      <c r="E35" s="367">
        <f t="shared" si="0"/>
        <v>3.7242186220000002E-3</v>
      </c>
      <c r="F35" s="116">
        <f t="shared" si="1"/>
        <v>-114404</v>
      </c>
      <c r="G35" s="122">
        <v>62815</v>
      </c>
      <c r="H35" s="367">
        <f t="shared" si="2"/>
        <v>3.6063936649999998E-3</v>
      </c>
      <c r="I35" s="117">
        <f t="shared" si="3"/>
        <v>55392</v>
      </c>
      <c r="J35" s="116">
        <f t="shared" si="4"/>
        <v>-59012</v>
      </c>
      <c r="K35" s="370">
        <f t="shared" si="5"/>
        <v>-3.7243717505153102E-2</v>
      </c>
    </row>
    <row r="36" spans="1:11" ht="15.75" x14ac:dyDescent="0.25">
      <c r="A36" s="125" t="s">
        <v>15</v>
      </c>
      <c r="B36" s="124">
        <v>4</v>
      </c>
      <c r="C36" s="59" t="s">
        <v>1</v>
      </c>
      <c r="D36" s="123"/>
      <c r="E36" s="367"/>
      <c r="F36" s="116"/>
      <c r="G36" s="122"/>
      <c r="H36" s="367"/>
      <c r="I36" s="117"/>
      <c r="J36" s="116"/>
      <c r="K36" s="370"/>
    </row>
    <row r="37" spans="1:11" ht="15.75" x14ac:dyDescent="0.25">
      <c r="A37" s="125" t="s">
        <v>9</v>
      </c>
      <c r="B37" s="124">
        <v>4</v>
      </c>
      <c r="C37" s="59"/>
      <c r="D37" s="123">
        <f>'CFY 2020-21 Reductions'!P39</f>
        <v>1902267</v>
      </c>
      <c r="E37" s="367">
        <f t="shared" ref="E37:E67" si="6">ROUND((D37/$D$1),12)</f>
        <v>4.4711509410000003E-3</v>
      </c>
      <c r="F37" s="116">
        <f t="shared" ref="F37:F67" si="7">ROUND(($F$1*E37),0)</f>
        <v>-137349</v>
      </c>
      <c r="G37" s="122">
        <v>71926.5</v>
      </c>
      <c r="H37" s="367">
        <f t="shared" ref="H37:H67" si="8">ROUND((G37/$G$1),12)</f>
        <v>4.1295116450000002E-3</v>
      </c>
      <c r="I37" s="117">
        <f t="shared" ref="I37:I67" si="9">ROUND(($I$1*H37),0)</f>
        <v>63427</v>
      </c>
      <c r="J37" s="116">
        <f t="shared" ref="J37:J67" si="10">F37+I37</f>
        <v>-73922</v>
      </c>
      <c r="K37" s="370">
        <f t="shared" ref="K37:K67" si="11">J37/D37</f>
        <v>-3.8859949733659895E-2</v>
      </c>
    </row>
    <row r="38" spans="1:11" ht="15.75" x14ac:dyDescent="0.25">
      <c r="A38" s="125" t="s">
        <v>3</v>
      </c>
      <c r="B38" s="124">
        <v>4</v>
      </c>
      <c r="C38" s="59"/>
      <c r="D38" s="123">
        <f>'CFY 2020-21 Reductions'!P40</f>
        <v>1659220</v>
      </c>
      <c r="E38" s="367">
        <f t="shared" si="6"/>
        <v>3.8998852759999998E-3</v>
      </c>
      <c r="F38" s="116">
        <f t="shared" si="7"/>
        <v>-119801</v>
      </c>
      <c r="G38" s="122">
        <v>54757.5</v>
      </c>
      <c r="H38" s="367">
        <f t="shared" si="8"/>
        <v>3.143788922E-3</v>
      </c>
      <c r="I38" s="117">
        <f t="shared" si="9"/>
        <v>48287</v>
      </c>
      <c r="J38" s="116">
        <f t="shared" si="10"/>
        <v>-71514</v>
      </c>
      <c r="K38" s="370">
        <f t="shared" si="11"/>
        <v>-4.3100975157001481E-2</v>
      </c>
    </row>
    <row r="39" spans="1:11" ht="15.75" x14ac:dyDescent="0.25">
      <c r="A39" s="125" t="s">
        <v>68</v>
      </c>
      <c r="B39" s="124">
        <v>5</v>
      </c>
      <c r="C39" s="59"/>
      <c r="D39" s="123">
        <f>'CFY 2020-21 Reductions'!P41</f>
        <v>5969088</v>
      </c>
      <c r="E39" s="367">
        <f t="shared" si="6"/>
        <v>1.4029940816E-2</v>
      </c>
      <c r="F39" s="116">
        <f t="shared" si="7"/>
        <v>-430986</v>
      </c>
      <c r="G39" s="122">
        <v>196928.5</v>
      </c>
      <c r="H39" s="367">
        <f t="shared" si="8"/>
        <v>1.1306243650999999E-2</v>
      </c>
      <c r="I39" s="117">
        <f t="shared" si="9"/>
        <v>173658</v>
      </c>
      <c r="J39" s="116">
        <f t="shared" si="10"/>
        <v>-257328</v>
      </c>
      <c r="K39" s="370">
        <f t="shared" si="11"/>
        <v>-4.3110103251954066E-2</v>
      </c>
    </row>
    <row r="40" spans="1:11" ht="15.75" x14ac:dyDescent="0.25">
      <c r="A40" s="125" t="s">
        <v>61</v>
      </c>
      <c r="B40" s="124">
        <v>5</v>
      </c>
      <c r="C40" s="59"/>
      <c r="D40" s="123">
        <f>'CFY 2020-21 Reductions'!P42</f>
        <v>3586752</v>
      </c>
      <c r="E40" s="367">
        <f t="shared" si="6"/>
        <v>8.4304199039999996E-3</v>
      </c>
      <c r="F40" s="116">
        <f t="shared" si="7"/>
        <v>-258974</v>
      </c>
      <c r="G40" s="122">
        <v>147088.5</v>
      </c>
      <c r="H40" s="367">
        <f t="shared" si="8"/>
        <v>8.4447828490000001E-3</v>
      </c>
      <c r="I40" s="117">
        <f t="shared" si="9"/>
        <v>129708</v>
      </c>
      <c r="J40" s="116">
        <f t="shared" si="10"/>
        <v>-129266</v>
      </c>
      <c r="K40" s="370">
        <f t="shared" si="11"/>
        <v>-3.603984886604928E-2</v>
      </c>
    </row>
    <row r="41" spans="1:11" ht="15.75" x14ac:dyDescent="0.25">
      <c r="A41" s="125" t="s">
        <v>59</v>
      </c>
      <c r="B41" s="124">
        <v>5</v>
      </c>
      <c r="C41" s="59"/>
      <c r="D41" s="123">
        <f>'CFY 2020-21 Reductions'!P43</f>
        <v>3723844</v>
      </c>
      <c r="E41" s="367">
        <f t="shared" si="6"/>
        <v>8.7526454509999994E-3</v>
      </c>
      <c r="F41" s="116">
        <f t="shared" si="7"/>
        <v>-268873</v>
      </c>
      <c r="G41" s="122">
        <v>130747</v>
      </c>
      <c r="H41" s="367">
        <f t="shared" si="8"/>
        <v>7.5065693319999998E-3</v>
      </c>
      <c r="I41" s="117">
        <f t="shared" si="9"/>
        <v>115297</v>
      </c>
      <c r="J41" s="116">
        <f t="shared" si="10"/>
        <v>-153576</v>
      </c>
      <c r="K41" s="370">
        <f t="shared" si="11"/>
        <v>-4.1241255004237559E-2</v>
      </c>
    </row>
    <row r="42" spans="1:11" ht="15.75" x14ac:dyDescent="0.25">
      <c r="A42" s="125" t="s">
        <v>43</v>
      </c>
      <c r="B42" s="124">
        <v>5</v>
      </c>
      <c r="C42" s="59"/>
      <c r="D42" s="123">
        <f>'CFY 2020-21 Reductions'!P44</f>
        <v>3440662</v>
      </c>
      <c r="E42" s="367">
        <f t="shared" si="6"/>
        <v>8.0870451610000008E-3</v>
      </c>
      <c r="F42" s="116">
        <f t="shared" si="7"/>
        <v>-248426</v>
      </c>
      <c r="G42" s="122">
        <v>150019.5</v>
      </c>
      <c r="H42" s="367">
        <f t="shared" si="8"/>
        <v>8.6130601690000003E-3</v>
      </c>
      <c r="I42" s="117">
        <f t="shared" si="9"/>
        <v>132292</v>
      </c>
      <c r="J42" s="116">
        <f t="shared" si="10"/>
        <v>-116134</v>
      </c>
      <c r="K42" s="370">
        <f t="shared" si="11"/>
        <v>-3.3753388156116469E-2</v>
      </c>
    </row>
    <row r="43" spans="1:11" ht="15.75" x14ac:dyDescent="0.25">
      <c r="A43" s="125" t="s">
        <v>27</v>
      </c>
      <c r="B43" s="124">
        <v>5</v>
      </c>
      <c r="C43" s="59"/>
      <c r="D43" s="123">
        <f>'CFY 2020-21 Reductions'!P45</f>
        <v>3631959</v>
      </c>
      <c r="E43" s="367">
        <f t="shared" si="6"/>
        <v>8.5366759240000003E-3</v>
      </c>
      <c r="F43" s="116">
        <f t="shared" si="7"/>
        <v>-262239</v>
      </c>
      <c r="G43" s="122">
        <v>110967.5</v>
      </c>
      <c r="H43" s="367">
        <f t="shared" si="8"/>
        <v>6.3709701360000004E-3</v>
      </c>
      <c r="I43" s="117">
        <f t="shared" si="9"/>
        <v>97855</v>
      </c>
      <c r="J43" s="116">
        <f t="shared" si="10"/>
        <v>-164384</v>
      </c>
      <c r="K43" s="370">
        <f t="shared" si="11"/>
        <v>-4.5260422818649657E-2</v>
      </c>
    </row>
    <row r="44" spans="1:11" ht="15.75" x14ac:dyDescent="0.25">
      <c r="A44" s="125" t="s">
        <v>25</v>
      </c>
      <c r="B44" s="124">
        <v>5</v>
      </c>
      <c r="C44" s="59"/>
      <c r="D44" s="123">
        <f>'CFY 2020-21 Reductions'!P46</f>
        <v>3566977</v>
      </c>
      <c r="E44" s="367">
        <f t="shared" si="6"/>
        <v>8.3839400929999995E-3</v>
      </c>
      <c r="F44" s="116">
        <f t="shared" si="7"/>
        <v>-257547</v>
      </c>
      <c r="G44" s="122">
        <v>106173</v>
      </c>
      <c r="H44" s="367">
        <f t="shared" si="8"/>
        <v>6.0957038069999999E-3</v>
      </c>
      <c r="I44" s="117">
        <f t="shared" si="9"/>
        <v>93627</v>
      </c>
      <c r="J44" s="116">
        <f t="shared" si="10"/>
        <v>-163920</v>
      </c>
      <c r="K44" s="370">
        <f t="shared" si="11"/>
        <v>-4.595488000062798E-2</v>
      </c>
    </row>
    <row r="45" spans="1:11" ht="15.75" x14ac:dyDescent="0.25">
      <c r="A45" s="125" t="s">
        <v>23</v>
      </c>
      <c r="B45" s="124">
        <v>5</v>
      </c>
      <c r="C45" s="59"/>
      <c r="D45" s="123">
        <f>'CFY 2020-21 Reductions'!P47</f>
        <v>3675742</v>
      </c>
      <c r="E45" s="367">
        <f t="shared" si="6"/>
        <v>8.6395849269999998E-3</v>
      </c>
      <c r="F45" s="116">
        <f t="shared" si="7"/>
        <v>-265400</v>
      </c>
      <c r="G45" s="122">
        <v>166573</v>
      </c>
      <c r="H45" s="367">
        <f t="shared" si="8"/>
        <v>9.5634452289999998E-3</v>
      </c>
      <c r="I45" s="117">
        <f t="shared" si="9"/>
        <v>146890</v>
      </c>
      <c r="J45" s="116">
        <f t="shared" si="10"/>
        <v>-118510</v>
      </c>
      <c r="K45" s="370">
        <f t="shared" si="11"/>
        <v>-3.2241109414099252E-2</v>
      </c>
    </row>
    <row r="46" spans="1:11" ht="15.75" x14ac:dyDescent="0.25">
      <c r="A46" s="125" t="s">
        <v>14</v>
      </c>
      <c r="B46" s="124">
        <v>5</v>
      </c>
      <c r="C46" s="59"/>
      <c r="D46" s="123">
        <f>'CFY 2020-21 Reductions'!P48</f>
        <v>3588624</v>
      </c>
      <c r="E46" s="367">
        <f t="shared" si="6"/>
        <v>8.4348199140000003E-3</v>
      </c>
      <c r="F46" s="116">
        <f t="shared" si="7"/>
        <v>-259110</v>
      </c>
      <c r="G46" s="122">
        <v>137200</v>
      </c>
      <c r="H46" s="367">
        <f t="shared" si="8"/>
        <v>7.8770550169999995E-3</v>
      </c>
      <c r="I46" s="117">
        <f t="shared" si="9"/>
        <v>120988</v>
      </c>
      <c r="J46" s="116">
        <f t="shared" si="10"/>
        <v>-138122</v>
      </c>
      <c r="K46" s="370">
        <f t="shared" si="11"/>
        <v>-3.8488846978674836E-2</v>
      </c>
    </row>
    <row r="47" spans="1:11" ht="15.75" x14ac:dyDescent="0.25">
      <c r="A47" s="125" t="s">
        <v>12</v>
      </c>
      <c r="B47" s="124">
        <v>5</v>
      </c>
      <c r="C47" s="59"/>
      <c r="D47" s="123">
        <f>'CFY 2020-21 Reductions'!P49</f>
        <v>3199438</v>
      </c>
      <c r="E47" s="367">
        <f t="shared" si="6"/>
        <v>7.5200643349999999E-3</v>
      </c>
      <c r="F47" s="116">
        <f t="shared" si="7"/>
        <v>-231009</v>
      </c>
      <c r="G47" s="122">
        <v>124446</v>
      </c>
      <c r="H47" s="367">
        <f t="shared" si="8"/>
        <v>7.1448104130000002E-3</v>
      </c>
      <c r="I47" s="117">
        <f t="shared" si="9"/>
        <v>109741</v>
      </c>
      <c r="J47" s="116">
        <f t="shared" si="10"/>
        <v>-121268</v>
      </c>
      <c r="K47" s="370">
        <f t="shared" si="11"/>
        <v>-3.7902906697988833E-2</v>
      </c>
    </row>
    <row r="48" spans="1:11" ht="15.75" x14ac:dyDescent="0.25">
      <c r="A48" s="125" t="s">
        <v>66</v>
      </c>
      <c r="B48" s="124">
        <v>6</v>
      </c>
      <c r="C48" s="59"/>
      <c r="D48" s="123">
        <f>'CFY 2020-21 Reductions'!P50</f>
        <v>3697036</v>
      </c>
      <c r="E48" s="367">
        <f t="shared" si="6"/>
        <v>8.6896350449999996E-3</v>
      </c>
      <c r="F48" s="116">
        <f t="shared" si="7"/>
        <v>-266937</v>
      </c>
      <c r="G48" s="122">
        <v>234983</v>
      </c>
      <c r="H48" s="367">
        <f t="shared" si="8"/>
        <v>1.3491064279000001E-2</v>
      </c>
      <c r="I48" s="117">
        <f t="shared" si="9"/>
        <v>207216</v>
      </c>
      <c r="J48" s="116">
        <f t="shared" si="10"/>
        <v>-59721</v>
      </c>
      <c r="K48" s="370">
        <f t="shared" si="11"/>
        <v>-1.615375127534598E-2</v>
      </c>
    </row>
    <row r="49" spans="1:11" ht="15.75" x14ac:dyDescent="0.25">
      <c r="A49" s="125" t="s">
        <v>64</v>
      </c>
      <c r="B49" s="124">
        <v>6</v>
      </c>
      <c r="C49" s="59"/>
      <c r="D49" s="123">
        <f>'CFY 2020-21 Reductions'!P51</f>
        <v>11575607</v>
      </c>
      <c r="E49" s="367">
        <f t="shared" si="6"/>
        <v>2.7207687526000002E-2</v>
      </c>
      <c r="F49" s="116">
        <f t="shared" si="7"/>
        <v>-835794</v>
      </c>
      <c r="G49" s="122">
        <v>421947</v>
      </c>
      <c r="H49" s="367">
        <f t="shared" si="8"/>
        <v>2.4225216715000001E-2</v>
      </c>
      <c r="I49" s="117">
        <f t="shared" si="9"/>
        <v>372088</v>
      </c>
      <c r="J49" s="116">
        <f t="shared" si="10"/>
        <v>-463706</v>
      </c>
      <c r="K49" s="370">
        <f t="shared" si="11"/>
        <v>-4.0058892807953828E-2</v>
      </c>
    </row>
    <row r="50" spans="1:11" ht="15.75" x14ac:dyDescent="0.25">
      <c r="A50" s="125" t="s">
        <v>58</v>
      </c>
      <c r="B50" s="124">
        <v>6</v>
      </c>
      <c r="C50" s="59"/>
      <c r="D50" s="123">
        <f>'CFY 2020-21 Reductions'!P52</f>
        <v>6604814</v>
      </c>
      <c r="E50" s="367">
        <f t="shared" si="6"/>
        <v>1.5524172120999999E-2</v>
      </c>
      <c r="F50" s="116">
        <f t="shared" si="7"/>
        <v>-476888</v>
      </c>
      <c r="G50" s="122">
        <v>213907.5</v>
      </c>
      <c r="H50" s="367">
        <f t="shared" si="8"/>
        <v>1.2281057916E-2</v>
      </c>
      <c r="I50" s="117">
        <f t="shared" si="9"/>
        <v>188631</v>
      </c>
      <c r="J50" s="116">
        <f t="shared" si="10"/>
        <v>-288257</v>
      </c>
      <c r="K50" s="370">
        <f t="shared" si="11"/>
        <v>-4.3643469747974735E-2</v>
      </c>
    </row>
    <row r="51" spans="1:11" ht="15.75" x14ac:dyDescent="0.25">
      <c r="A51" s="125" t="s">
        <v>53</v>
      </c>
      <c r="B51" s="124">
        <v>6</v>
      </c>
      <c r="C51" s="59"/>
      <c r="D51" s="123">
        <f>'CFY 2020-21 Reductions'!P53</f>
        <v>7003363</v>
      </c>
      <c r="E51" s="367">
        <f t="shared" si="6"/>
        <v>1.6460934803E-2</v>
      </c>
      <c r="F51" s="116">
        <f t="shared" si="7"/>
        <v>-505664</v>
      </c>
      <c r="G51" s="122">
        <v>319096</v>
      </c>
      <c r="H51" s="367">
        <f t="shared" si="8"/>
        <v>1.8320238685999999E-2</v>
      </c>
      <c r="I51" s="117">
        <f t="shared" si="9"/>
        <v>281390</v>
      </c>
      <c r="J51" s="116">
        <f t="shared" si="10"/>
        <v>-224274</v>
      </c>
      <c r="K51" s="370">
        <f t="shared" si="11"/>
        <v>-3.2023757728965353E-2</v>
      </c>
    </row>
    <row r="52" spans="1:11" ht="15.75" x14ac:dyDescent="0.25">
      <c r="A52" s="125" t="s">
        <v>35</v>
      </c>
      <c r="B52" s="124">
        <v>6</v>
      </c>
      <c r="C52" s="59"/>
      <c r="D52" s="123">
        <f>'CFY 2020-21 Reductions'!P54</f>
        <v>6256001</v>
      </c>
      <c r="E52" s="367">
        <f t="shared" si="6"/>
        <v>1.470431057E-2</v>
      </c>
      <c r="F52" s="116">
        <f t="shared" si="7"/>
        <v>-451702</v>
      </c>
      <c r="G52" s="122">
        <v>223107.5</v>
      </c>
      <c r="H52" s="367">
        <f t="shared" si="8"/>
        <v>1.2809256941E-2</v>
      </c>
      <c r="I52" s="117">
        <f t="shared" si="9"/>
        <v>196744</v>
      </c>
      <c r="J52" s="116">
        <f t="shared" si="10"/>
        <v>-254958</v>
      </c>
      <c r="K52" s="370">
        <f t="shared" si="11"/>
        <v>-4.0754149495820097E-2</v>
      </c>
    </row>
    <row r="53" spans="1:11" ht="15.75" x14ac:dyDescent="0.25">
      <c r="A53" s="125" t="s">
        <v>33</v>
      </c>
      <c r="B53" s="124">
        <v>6</v>
      </c>
      <c r="C53" s="59"/>
      <c r="D53" s="123">
        <f>'CFY 2020-21 Reductions'!P55</f>
        <v>6019139</v>
      </c>
      <c r="E53" s="367">
        <f t="shared" si="6"/>
        <v>1.4147582333E-2</v>
      </c>
      <c r="F53" s="116">
        <f t="shared" si="7"/>
        <v>-434600</v>
      </c>
      <c r="G53" s="122">
        <v>233591.5</v>
      </c>
      <c r="H53" s="367">
        <f t="shared" si="8"/>
        <v>1.3411174176999999E-2</v>
      </c>
      <c r="I53" s="117">
        <f t="shared" si="9"/>
        <v>205989</v>
      </c>
      <c r="J53" s="116">
        <f t="shared" si="10"/>
        <v>-228611</v>
      </c>
      <c r="K53" s="370">
        <f t="shared" si="11"/>
        <v>-3.7980681290131366E-2</v>
      </c>
    </row>
    <row r="54" spans="1:11" ht="15.75" x14ac:dyDescent="0.25">
      <c r="A54" s="125" t="s">
        <v>29</v>
      </c>
      <c r="B54" s="124">
        <v>6</v>
      </c>
      <c r="C54" s="59"/>
      <c r="D54" s="123">
        <f>'CFY 2020-21 Reductions'!P56</f>
        <v>6029043</v>
      </c>
      <c r="E54" s="367">
        <f t="shared" si="6"/>
        <v>1.417086102E-2</v>
      </c>
      <c r="F54" s="116">
        <f t="shared" si="7"/>
        <v>-435315</v>
      </c>
      <c r="G54" s="122">
        <v>235082</v>
      </c>
      <c r="H54" s="367">
        <f t="shared" si="8"/>
        <v>1.349674816E-2</v>
      </c>
      <c r="I54" s="117">
        <f t="shared" si="9"/>
        <v>207304</v>
      </c>
      <c r="J54" s="116">
        <f t="shared" si="10"/>
        <v>-228011</v>
      </c>
      <c r="K54" s="370">
        <f t="shared" si="11"/>
        <v>-3.7818771569550921E-2</v>
      </c>
    </row>
    <row r="55" spans="1:11" ht="15.75" x14ac:dyDescent="0.25">
      <c r="A55" s="125" t="s">
        <v>28</v>
      </c>
      <c r="B55" s="124">
        <v>6</v>
      </c>
      <c r="C55" s="59"/>
      <c r="D55" s="123">
        <f>'CFY 2020-21 Reductions'!P57</f>
        <v>6699240</v>
      </c>
      <c r="E55" s="367">
        <f t="shared" si="6"/>
        <v>1.5746114097999999E-2</v>
      </c>
      <c r="F55" s="116">
        <f t="shared" si="7"/>
        <v>-483706</v>
      </c>
      <c r="G55" s="122">
        <v>245179.5</v>
      </c>
      <c r="H55" s="367">
        <f t="shared" si="8"/>
        <v>1.4076475296E-2</v>
      </c>
      <c r="I55" s="117">
        <f t="shared" si="9"/>
        <v>216208</v>
      </c>
      <c r="J55" s="116">
        <f t="shared" si="10"/>
        <v>-267498</v>
      </c>
      <c r="K55" s="370">
        <f t="shared" si="11"/>
        <v>-3.9929603955075499E-2</v>
      </c>
    </row>
    <row r="56" spans="1:11" ht="15.75" x14ac:dyDescent="0.25">
      <c r="A56" s="125" t="s">
        <v>20</v>
      </c>
      <c r="B56" s="124">
        <v>6</v>
      </c>
      <c r="C56" s="59"/>
      <c r="D56" s="123">
        <f>'CFY 2020-21 Reductions'!P58</f>
        <v>7444219</v>
      </c>
      <c r="E56" s="367">
        <f t="shared" si="6"/>
        <v>1.7497137249999999E-2</v>
      </c>
      <c r="F56" s="116">
        <f t="shared" si="7"/>
        <v>-537495</v>
      </c>
      <c r="G56" s="122">
        <v>291798.5</v>
      </c>
      <c r="H56" s="367">
        <f t="shared" si="8"/>
        <v>1.6753009026E-2</v>
      </c>
      <c r="I56" s="117">
        <f t="shared" si="9"/>
        <v>257318</v>
      </c>
      <c r="J56" s="116">
        <f t="shared" si="10"/>
        <v>-280177</v>
      </c>
      <c r="K56" s="370">
        <f t="shared" si="11"/>
        <v>-3.7636856196734673E-2</v>
      </c>
    </row>
    <row r="57" spans="1:11" ht="15.75" x14ac:dyDescent="0.25">
      <c r="A57" s="125" t="s">
        <v>18</v>
      </c>
      <c r="B57" s="124">
        <v>6</v>
      </c>
      <c r="C57" s="59"/>
      <c r="D57" s="123">
        <f>'CFY 2020-21 Reductions'!P59</f>
        <v>11939169</v>
      </c>
      <c r="E57" s="367">
        <f t="shared" si="6"/>
        <v>2.8062215612000001E-2</v>
      </c>
      <c r="F57" s="116">
        <f t="shared" si="7"/>
        <v>-862044</v>
      </c>
      <c r="G57" s="122">
        <v>380689</v>
      </c>
      <c r="H57" s="367">
        <f t="shared" si="8"/>
        <v>2.1856473742000001E-2</v>
      </c>
      <c r="I57" s="117">
        <f t="shared" si="9"/>
        <v>335705</v>
      </c>
      <c r="J57" s="116">
        <f t="shared" si="10"/>
        <v>-526339</v>
      </c>
      <c r="K57" s="370">
        <f t="shared" si="11"/>
        <v>-4.40850615315019E-2</v>
      </c>
    </row>
    <row r="58" spans="1:11" ht="15.75" x14ac:dyDescent="0.25">
      <c r="A58" s="125" t="s">
        <v>13</v>
      </c>
      <c r="B58" s="124">
        <v>6</v>
      </c>
      <c r="C58" s="59"/>
      <c r="D58" s="123">
        <f>'CFY 2020-21 Reductions'!P60</f>
        <v>6826679</v>
      </c>
      <c r="E58" s="367">
        <f t="shared" si="6"/>
        <v>1.6045650916999998E-2</v>
      </c>
      <c r="F58" s="116">
        <f t="shared" si="7"/>
        <v>-492907</v>
      </c>
      <c r="G58" s="122">
        <v>224473</v>
      </c>
      <c r="H58" s="367">
        <f t="shared" si="8"/>
        <v>1.2887654307E-2</v>
      </c>
      <c r="I58" s="117">
        <f t="shared" si="9"/>
        <v>197948</v>
      </c>
      <c r="J58" s="116">
        <f t="shared" si="10"/>
        <v>-294959</v>
      </c>
      <c r="K58" s="370">
        <f t="shared" si="11"/>
        <v>-4.320680670645273E-2</v>
      </c>
    </row>
    <row r="59" spans="1:11" ht="15.75" x14ac:dyDescent="0.25">
      <c r="A59" s="125" t="s">
        <v>11</v>
      </c>
      <c r="B59" s="124">
        <v>6</v>
      </c>
      <c r="C59" s="59"/>
      <c r="D59" s="123">
        <f>'CFY 2020-21 Reductions'!P61</f>
        <v>8322251</v>
      </c>
      <c r="E59" s="367">
        <f t="shared" si="6"/>
        <v>1.9560892549000002E-2</v>
      </c>
      <c r="F59" s="116">
        <f t="shared" si="7"/>
        <v>-600892</v>
      </c>
      <c r="G59" s="122">
        <v>316002.5</v>
      </c>
      <c r="H59" s="367">
        <f t="shared" si="8"/>
        <v>1.8142631764000001E-2</v>
      </c>
      <c r="I59" s="117">
        <f t="shared" si="9"/>
        <v>278662</v>
      </c>
      <c r="J59" s="116">
        <f t="shared" si="10"/>
        <v>-322230</v>
      </c>
      <c r="K59" s="370">
        <f t="shared" si="11"/>
        <v>-3.8719091745730815E-2</v>
      </c>
    </row>
    <row r="60" spans="1:11" ht="15.75" x14ac:dyDescent="0.25">
      <c r="A60" s="125" t="s">
        <v>10</v>
      </c>
      <c r="B60" s="124">
        <v>6</v>
      </c>
      <c r="C60" s="59"/>
      <c r="D60" s="123">
        <f>'CFY 2020-21 Reductions'!P62</f>
        <v>8976091</v>
      </c>
      <c r="E60" s="367">
        <f t="shared" si="6"/>
        <v>2.1097699596E-2</v>
      </c>
      <c r="F60" s="116">
        <f t="shared" si="7"/>
        <v>-648101</v>
      </c>
      <c r="G60" s="122">
        <v>332381</v>
      </c>
      <c r="H60" s="367">
        <f t="shared" si="8"/>
        <v>1.9082969559999999E-2</v>
      </c>
      <c r="I60" s="117">
        <f t="shared" si="9"/>
        <v>293105</v>
      </c>
      <c r="J60" s="116">
        <f t="shared" si="10"/>
        <v>-354996</v>
      </c>
      <c r="K60" s="370">
        <f t="shared" si="11"/>
        <v>-3.9549064286447187E-2</v>
      </c>
    </row>
    <row r="61" spans="1:11" ht="15.75" x14ac:dyDescent="0.25">
      <c r="A61" s="125" t="s">
        <v>54</v>
      </c>
      <c r="B61" s="124">
        <v>7</v>
      </c>
      <c r="C61" s="59"/>
      <c r="D61" s="123">
        <f>'CFY 2020-21 Reductions'!P63</f>
        <v>19581352</v>
      </c>
      <c r="E61" s="367">
        <f t="shared" si="6"/>
        <v>4.6024653960000002E-2</v>
      </c>
      <c r="F61" s="116">
        <f t="shared" si="7"/>
        <v>-1413833</v>
      </c>
      <c r="G61" s="122">
        <v>970304.5</v>
      </c>
      <c r="H61" s="367">
        <f t="shared" si="8"/>
        <v>5.5708031558999997E-2</v>
      </c>
      <c r="I61" s="117">
        <f t="shared" si="9"/>
        <v>855649</v>
      </c>
      <c r="J61" s="116">
        <f t="shared" si="10"/>
        <v>-558184</v>
      </c>
      <c r="K61" s="370">
        <f t="shared" si="11"/>
        <v>-2.8505896834907007E-2</v>
      </c>
    </row>
    <row r="62" spans="1:11" ht="15.75" x14ac:dyDescent="0.25">
      <c r="A62" s="125" t="s">
        <v>34</v>
      </c>
      <c r="B62" s="124">
        <v>7</v>
      </c>
      <c r="C62" s="59"/>
      <c r="D62" s="123">
        <f>'CFY 2020-21 Reductions'!P64</f>
        <v>11701006</v>
      </c>
      <c r="E62" s="367">
        <f t="shared" si="6"/>
        <v>2.7502429461E-2</v>
      </c>
      <c r="F62" s="116">
        <f t="shared" si="7"/>
        <v>-844848</v>
      </c>
      <c r="G62" s="122">
        <v>551542.5</v>
      </c>
      <c r="H62" s="367">
        <f t="shared" si="8"/>
        <v>3.1665675050000001E-2</v>
      </c>
      <c r="I62" s="117">
        <f t="shared" si="9"/>
        <v>486370</v>
      </c>
      <c r="J62" s="116">
        <f t="shared" si="10"/>
        <v>-358478</v>
      </c>
      <c r="K62" s="370">
        <f t="shared" si="11"/>
        <v>-3.0636511082893215E-2</v>
      </c>
    </row>
    <row r="63" spans="1:11" ht="15.75" x14ac:dyDescent="0.25">
      <c r="A63" s="125" t="s">
        <v>17</v>
      </c>
      <c r="B63" s="124">
        <v>7</v>
      </c>
      <c r="C63" s="59"/>
      <c r="D63" s="123">
        <f>'CFY 2020-21 Reductions'!P65</f>
        <v>23266823.989999998</v>
      </c>
      <c r="E63" s="367">
        <f t="shared" si="6"/>
        <v>5.4687108576000003E-2</v>
      </c>
      <c r="F63" s="116">
        <f t="shared" si="7"/>
        <v>-1679936</v>
      </c>
      <c r="G63" s="122">
        <v>808053.5</v>
      </c>
      <c r="H63" s="367">
        <f t="shared" si="8"/>
        <v>4.6392725045999998E-2</v>
      </c>
      <c r="I63" s="117">
        <f t="shared" si="9"/>
        <v>712570</v>
      </c>
      <c r="J63" s="116">
        <f t="shared" si="10"/>
        <v>-967366</v>
      </c>
      <c r="K63" s="370">
        <f t="shared" si="11"/>
        <v>-4.1577054109996729E-2</v>
      </c>
    </row>
    <row r="64" spans="1:11" ht="15.75" x14ac:dyDescent="0.25">
      <c r="A64" s="125" t="s">
        <v>16</v>
      </c>
      <c r="B64" s="124">
        <v>7</v>
      </c>
      <c r="C64" s="59"/>
      <c r="D64" s="123">
        <f>'CFY 2020-21 Reductions'!P66</f>
        <v>12500543</v>
      </c>
      <c r="E64" s="367">
        <f t="shared" si="6"/>
        <v>2.9381687529999999E-2</v>
      </c>
      <c r="F64" s="116">
        <f t="shared" si="7"/>
        <v>-902577</v>
      </c>
      <c r="G64" s="122">
        <v>625543</v>
      </c>
      <c r="H64" s="367">
        <f t="shared" si="8"/>
        <v>3.5914261126999997E-2</v>
      </c>
      <c r="I64" s="117">
        <f t="shared" si="9"/>
        <v>551626</v>
      </c>
      <c r="J64" s="116">
        <f t="shared" si="10"/>
        <v>-350951</v>
      </c>
      <c r="K64" s="370">
        <f t="shared" si="11"/>
        <v>-2.8074860428063005E-2</v>
      </c>
    </row>
    <row r="65" spans="1:11" ht="15.75" x14ac:dyDescent="0.25">
      <c r="A65" s="125" t="s">
        <v>5</v>
      </c>
      <c r="B65" s="124">
        <v>7</v>
      </c>
      <c r="C65" s="59"/>
      <c r="D65" s="123">
        <f>'CFY 2020-21 Reductions'!P67</f>
        <v>11762046</v>
      </c>
      <c r="E65" s="367">
        <f t="shared" si="6"/>
        <v>2.7645899884999998E-2</v>
      </c>
      <c r="F65" s="116">
        <f t="shared" si="7"/>
        <v>-849256</v>
      </c>
      <c r="G65" s="122">
        <v>545688</v>
      </c>
      <c r="H65" s="367">
        <f t="shared" si="8"/>
        <v>3.1329551007000002E-2</v>
      </c>
      <c r="I65" s="117">
        <f t="shared" si="9"/>
        <v>481207</v>
      </c>
      <c r="J65" s="116">
        <f t="shared" si="10"/>
        <v>-368049</v>
      </c>
      <c r="K65" s="370">
        <f t="shared" si="11"/>
        <v>-3.1291239636369386E-2</v>
      </c>
    </row>
    <row r="66" spans="1:11" ht="15.75" x14ac:dyDescent="0.25">
      <c r="A66" s="125" t="s">
        <v>63</v>
      </c>
      <c r="B66" s="124">
        <v>8</v>
      </c>
      <c r="C66" s="59"/>
      <c r="D66" s="123">
        <f>'CFY 2020-21 Reductions'!P68</f>
        <v>39379598</v>
      </c>
      <c r="E66" s="367">
        <f t="shared" si="6"/>
        <v>9.2559102712999997E-2</v>
      </c>
      <c r="F66" s="116">
        <f t="shared" si="7"/>
        <v>-2843327</v>
      </c>
      <c r="G66" s="122">
        <v>1683032</v>
      </c>
      <c r="H66" s="367">
        <f t="shared" si="8"/>
        <v>9.6627810930000002E-2</v>
      </c>
      <c r="I66" s="117">
        <f t="shared" si="9"/>
        <v>1484157</v>
      </c>
      <c r="J66" s="116">
        <f t="shared" si="10"/>
        <v>-1359170</v>
      </c>
      <c r="K66" s="370">
        <f t="shared" si="11"/>
        <v>-3.4514572749066663E-2</v>
      </c>
    </row>
    <row r="67" spans="1:11" ht="15.75" x14ac:dyDescent="0.25">
      <c r="A67" s="125" t="s">
        <v>41</v>
      </c>
      <c r="B67" s="124">
        <v>8</v>
      </c>
      <c r="C67" s="59"/>
      <c r="D67" s="123">
        <f>'CFY 2020-21 Reductions'!P69</f>
        <v>30169607</v>
      </c>
      <c r="E67" s="367">
        <f t="shared" si="6"/>
        <v>7.0911636860999994E-2</v>
      </c>
      <c r="F67" s="116">
        <f t="shared" si="7"/>
        <v>-2178338</v>
      </c>
      <c r="G67" s="122">
        <v>1327555</v>
      </c>
      <c r="H67" s="367">
        <f t="shared" si="8"/>
        <v>7.6218832166999997E-2</v>
      </c>
      <c r="I67" s="117">
        <f t="shared" si="9"/>
        <v>1170685</v>
      </c>
      <c r="J67" s="116">
        <f t="shared" si="10"/>
        <v>-1007653</v>
      </c>
      <c r="K67" s="370">
        <f t="shared" si="11"/>
        <v>-3.3399606431731114E-2</v>
      </c>
    </row>
    <row r="68" spans="1:11" ht="15.75" x14ac:dyDescent="0.25">
      <c r="A68" s="125" t="s">
        <v>26</v>
      </c>
      <c r="B68" s="124">
        <v>8</v>
      </c>
      <c r="C68" s="59"/>
      <c r="D68" s="123">
        <f>'CFY 2020-21 Reductions'!P70</f>
        <v>72170831</v>
      </c>
      <c r="E68" s="367">
        <f t="shared" ref="E68:E70" si="12">ROUND((D68/$D$1),12)</f>
        <v>0.16963269557499999</v>
      </c>
      <c r="F68" s="116">
        <f t="shared" ref="F68:F70" si="13">ROUND(($F$1*E68),0)</f>
        <v>-5210954</v>
      </c>
      <c r="G68" s="122">
        <v>2981713.5</v>
      </c>
      <c r="H68" s="367">
        <f t="shared" ref="H68:H70" si="14">ROUND((G68/$G$1),12)</f>
        <v>0.171188930648</v>
      </c>
      <c r="I68" s="117">
        <f t="shared" ref="I68:I70" si="15">ROUND(($I$1*H68),0)</f>
        <v>2629380</v>
      </c>
      <c r="J68" s="116">
        <f t="shared" ref="J68:J70" si="16">F68+I68</f>
        <v>-2581574</v>
      </c>
      <c r="K68" s="370">
        <f t="shared" ref="K68:K70" si="17">J68/D68</f>
        <v>-3.5770323886114043E-2</v>
      </c>
    </row>
    <row r="69" spans="1:11" ht="15.75" x14ac:dyDescent="0.25">
      <c r="A69" s="125" t="s">
        <v>21</v>
      </c>
      <c r="B69" s="124">
        <v>8</v>
      </c>
      <c r="C69" s="59"/>
      <c r="D69" s="123">
        <f>'CFY 2020-21 Reductions'!P71</f>
        <v>29213120</v>
      </c>
      <c r="E69" s="367">
        <f t="shared" si="12"/>
        <v>6.8663478348000004E-2</v>
      </c>
      <c r="F69" s="116">
        <f t="shared" si="13"/>
        <v>-2109276</v>
      </c>
      <c r="G69" s="122">
        <v>1288088.5</v>
      </c>
      <c r="H69" s="367">
        <f t="shared" si="14"/>
        <v>7.3952944470999996E-2</v>
      </c>
      <c r="I69" s="117">
        <f t="shared" si="15"/>
        <v>1135882</v>
      </c>
      <c r="J69" s="116">
        <f t="shared" si="16"/>
        <v>-973394</v>
      </c>
      <c r="K69" s="370">
        <f t="shared" si="17"/>
        <v>-3.3320439583310511E-2</v>
      </c>
    </row>
    <row r="70" spans="1:11" ht="16.5" thickBot="1" x14ac:dyDescent="0.3">
      <c r="A70" s="121" t="s">
        <v>19</v>
      </c>
      <c r="B70" s="120">
        <v>8</v>
      </c>
      <c r="C70" s="47"/>
      <c r="D70" s="372">
        <f>'CFY 2020-21 Reductions'!P72</f>
        <v>30873796</v>
      </c>
      <c r="E70" s="373">
        <f t="shared" si="12"/>
        <v>7.2566785854000004E-2</v>
      </c>
      <c r="F70" s="374">
        <f t="shared" si="13"/>
        <v>-2229182</v>
      </c>
      <c r="G70" s="119">
        <v>1239073</v>
      </c>
      <c r="H70" s="373">
        <f t="shared" si="14"/>
        <v>7.1138820635999994E-2</v>
      </c>
      <c r="I70" s="375">
        <f t="shared" si="15"/>
        <v>1092658</v>
      </c>
      <c r="J70" s="374">
        <f t="shared" si="16"/>
        <v>-1136524</v>
      </c>
      <c r="K70" s="376">
        <f t="shared" si="17"/>
        <v>-3.6811929443337645E-2</v>
      </c>
    </row>
    <row r="71" spans="1:11" ht="15.75" thickBot="1" x14ac:dyDescent="0.3">
      <c r="A71"/>
      <c r="B71"/>
      <c r="C71"/>
      <c r="D71"/>
      <c r="E71" s="368"/>
      <c r="F71"/>
      <c r="G71"/>
      <c r="H71" s="368"/>
      <c r="I71"/>
      <c r="J71"/>
      <c r="K71" s="368"/>
    </row>
    <row r="72" spans="1:11" s="140" customFormat="1" ht="16.5" thickBot="1" x14ac:dyDescent="0.35">
      <c r="D72" s="361">
        <f t="shared" ref="D72:J72" si="18">SUM(D4:D70)</f>
        <v>425453540.99000001</v>
      </c>
      <c r="E72" s="369">
        <f t="shared" si="18"/>
        <v>0.99999999999899991</v>
      </c>
      <c r="F72" s="362">
        <f t="shared" si="18"/>
        <v>-30719041</v>
      </c>
      <c r="G72" s="363">
        <f t="shared" si="18"/>
        <v>17417677</v>
      </c>
      <c r="H72" s="369">
        <f t="shared" si="18"/>
        <v>0.99999999999999989</v>
      </c>
      <c r="I72" s="364">
        <f t="shared" si="18"/>
        <v>15359520</v>
      </c>
      <c r="J72" s="362">
        <f t="shared" si="18"/>
        <v>-15359521</v>
      </c>
      <c r="K72" s="371">
        <f>J72/D72</f>
        <v>-3.6101523480706006E-2</v>
      </c>
    </row>
    <row r="73" spans="1:11" x14ac:dyDescent="0.25">
      <c r="A73"/>
      <c r="B73"/>
      <c r="C73"/>
      <c r="I73" s="7"/>
    </row>
    <row r="74" spans="1:11" x14ac:dyDescent="0.25">
      <c r="A74"/>
      <c r="B74"/>
      <c r="C74"/>
    </row>
  </sheetData>
  <sortState xmlns:xlrd2="http://schemas.microsoft.com/office/spreadsheetml/2017/richdata2" ref="A4:K70">
    <sortCondition ref="B4"/>
  </sortState>
  <pageMargins left="0.5" right="0.5" top="0.75" bottom="0.75" header="0.3" footer="0.3"/>
  <pageSetup paperSize="5" scale="74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6F07-C8A2-4ADD-90DD-0F3C2A04F2C1}">
  <sheetPr>
    <pageSetUpPr fitToPage="1"/>
  </sheetPr>
  <dimension ref="A1:I324"/>
  <sheetViews>
    <sheetView zoomScaleNormal="100" workbookViewId="0">
      <pane xSplit="1" ySplit="1" topLeftCell="B209" activePane="bottomRight" state="frozen"/>
      <selection pane="topRight" activeCell="B1" sqref="B1"/>
      <selection pane="bottomLeft" activeCell="A3" sqref="A3"/>
      <selection pane="bottomRight" activeCell="I311" sqref="I311"/>
    </sheetView>
  </sheetViews>
  <sheetFormatPr defaultRowHeight="13.5" x14ac:dyDescent="0.25"/>
  <cols>
    <col min="1" max="1" width="10.7109375" style="238" bestFit="1" customWidth="1"/>
    <col min="2" max="2" width="13.42578125" style="243" bestFit="1" customWidth="1"/>
    <col min="3" max="3" width="6.7109375" style="242" customWidth="1"/>
    <col min="4" max="4" width="8.42578125" style="241" bestFit="1" customWidth="1"/>
    <col min="5" max="5" width="24" style="238" bestFit="1" customWidth="1"/>
    <col min="6" max="6" width="20.85546875" style="238" bestFit="1" customWidth="1"/>
    <col min="7" max="7" width="15.7109375" style="240" customWidth="1"/>
    <col min="8" max="9" width="15.7109375" style="239" customWidth="1"/>
    <col min="10" max="16384" width="9.140625" style="238"/>
  </cols>
  <sheetData>
    <row r="1" spans="1:9" ht="27.75" thickBot="1" x14ac:dyDescent="0.3">
      <c r="A1" s="322" t="s">
        <v>86</v>
      </c>
      <c r="B1" s="321" t="s">
        <v>205</v>
      </c>
      <c r="C1" s="320" t="s">
        <v>204</v>
      </c>
      <c r="D1" s="319" t="s">
        <v>203</v>
      </c>
      <c r="E1" s="319" t="s">
        <v>202</v>
      </c>
      <c r="F1" s="319" t="s">
        <v>201</v>
      </c>
      <c r="G1" s="318" t="s">
        <v>200</v>
      </c>
      <c r="H1" s="317" t="s">
        <v>134</v>
      </c>
      <c r="I1" s="316" t="s">
        <v>133</v>
      </c>
    </row>
    <row r="2" spans="1:9" x14ac:dyDescent="0.25">
      <c r="A2" s="272" t="s">
        <v>68</v>
      </c>
      <c r="B2" s="282">
        <v>6041506</v>
      </c>
      <c r="C2" s="284"/>
      <c r="D2" s="270"/>
      <c r="E2" s="269"/>
      <c r="F2" s="269"/>
      <c r="G2" s="283"/>
      <c r="H2" s="313"/>
      <c r="I2" s="265"/>
    </row>
    <row r="3" spans="1:9" x14ac:dyDescent="0.25">
      <c r="A3" s="264" t="s">
        <v>68</v>
      </c>
      <c r="B3" s="280"/>
      <c r="C3" s="262">
        <v>1</v>
      </c>
      <c r="D3" s="261" t="s">
        <v>137</v>
      </c>
      <c r="E3" s="260" t="s">
        <v>140</v>
      </c>
      <c r="F3" s="260" t="s">
        <v>135</v>
      </c>
      <c r="G3" s="279"/>
      <c r="H3" s="312">
        <v>65000</v>
      </c>
      <c r="I3" s="276"/>
    </row>
    <row r="4" spans="1:9" x14ac:dyDescent="0.25">
      <c r="A4" s="264" t="s">
        <v>68</v>
      </c>
      <c r="B4" s="280"/>
      <c r="C4" s="262">
        <v>2</v>
      </c>
      <c r="D4" s="261" t="s">
        <v>137</v>
      </c>
      <c r="E4" s="260" t="s">
        <v>139</v>
      </c>
      <c r="F4" s="260" t="s">
        <v>135</v>
      </c>
      <c r="G4" s="279"/>
      <c r="H4" s="312">
        <v>30000</v>
      </c>
      <c r="I4" s="276"/>
    </row>
    <row r="5" spans="1:9" x14ac:dyDescent="0.25">
      <c r="A5" s="264" t="s">
        <v>68</v>
      </c>
      <c r="B5" s="280"/>
      <c r="C5" s="262">
        <v>3</v>
      </c>
      <c r="D5" s="261" t="s">
        <v>137</v>
      </c>
      <c r="E5" s="260" t="s">
        <v>158</v>
      </c>
      <c r="F5" s="260" t="s">
        <v>135</v>
      </c>
      <c r="G5" s="279"/>
      <c r="H5" s="312">
        <v>1200</v>
      </c>
      <c r="I5" s="276"/>
    </row>
    <row r="6" spans="1:9" x14ac:dyDescent="0.25">
      <c r="A6" s="264" t="s">
        <v>68</v>
      </c>
      <c r="B6" s="280"/>
      <c r="C6" s="262">
        <v>4</v>
      </c>
      <c r="D6" s="261" t="s">
        <v>155</v>
      </c>
      <c r="E6" s="260" t="s">
        <v>199</v>
      </c>
      <c r="F6" s="260" t="s">
        <v>135</v>
      </c>
      <c r="G6" s="279"/>
      <c r="H6" s="312">
        <v>31000</v>
      </c>
      <c r="I6" s="276"/>
    </row>
    <row r="7" spans="1:9" x14ac:dyDescent="0.25">
      <c r="A7" s="264" t="s">
        <v>68</v>
      </c>
      <c r="B7" s="280"/>
      <c r="C7" s="262"/>
      <c r="D7" s="261"/>
      <c r="E7" s="260"/>
      <c r="F7" s="259" t="s">
        <v>134</v>
      </c>
      <c r="G7" s="258">
        <f>SUM(G3:G6)</f>
        <v>0</v>
      </c>
      <c r="H7" s="315">
        <f>SUM(H3:H6)</f>
        <v>127200</v>
      </c>
      <c r="I7" s="256"/>
    </row>
    <row r="8" spans="1:9" ht="14.25" thickBot="1" x14ac:dyDescent="0.3">
      <c r="A8" s="255" t="s">
        <v>68</v>
      </c>
      <c r="B8" s="248"/>
      <c r="C8" s="253"/>
      <c r="D8" s="252"/>
      <c r="E8" s="251"/>
      <c r="F8" s="250" t="s">
        <v>133</v>
      </c>
      <c r="G8" s="275"/>
      <c r="H8" s="305"/>
      <c r="I8" s="247">
        <f>B2+H7</f>
        <v>6168706</v>
      </c>
    </row>
    <row r="9" spans="1:9" x14ac:dyDescent="0.25">
      <c r="A9" s="272" t="s">
        <v>67</v>
      </c>
      <c r="B9" s="282">
        <v>690798</v>
      </c>
      <c r="C9" s="284"/>
      <c r="D9" s="270"/>
      <c r="E9" s="269"/>
      <c r="F9" s="268"/>
      <c r="G9" s="283"/>
      <c r="H9" s="313"/>
      <c r="I9" s="281"/>
    </row>
    <row r="10" spans="1:9" x14ac:dyDescent="0.25">
      <c r="A10" s="264" t="s">
        <v>67</v>
      </c>
      <c r="B10" s="280"/>
      <c r="C10" s="262">
        <v>1</v>
      </c>
      <c r="D10" s="261" t="s">
        <v>137</v>
      </c>
      <c r="E10" s="260" t="s">
        <v>140</v>
      </c>
      <c r="F10" s="314" t="s">
        <v>135</v>
      </c>
      <c r="G10" s="279"/>
      <c r="H10" s="312">
        <v>40041</v>
      </c>
      <c r="I10" s="256"/>
    </row>
    <row r="11" spans="1:9" x14ac:dyDescent="0.25">
      <c r="A11" s="264" t="s">
        <v>67</v>
      </c>
      <c r="B11" s="280"/>
      <c r="C11" s="262">
        <v>2</v>
      </c>
      <c r="D11" s="261" t="s">
        <v>137</v>
      </c>
      <c r="E11" s="260" t="s">
        <v>139</v>
      </c>
      <c r="F11" s="314" t="s">
        <v>135</v>
      </c>
      <c r="G11" s="279"/>
      <c r="H11" s="312">
        <v>38808</v>
      </c>
      <c r="I11" s="256"/>
    </row>
    <row r="12" spans="1:9" x14ac:dyDescent="0.25">
      <c r="A12" s="264" t="s">
        <v>67</v>
      </c>
      <c r="B12" s="280"/>
      <c r="C12" s="262">
        <v>3</v>
      </c>
      <c r="D12" s="261" t="s">
        <v>137</v>
      </c>
      <c r="E12" s="260" t="s">
        <v>198</v>
      </c>
      <c r="F12" s="314" t="s">
        <v>171</v>
      </c>
      <c r="G12" s="279">
        <v>1</v>
      </c>
      <c r="H12" s="312">
        <v>30900</v>
      </c>
      <c r="I12" s="256"/>
    </row>
    <row r="13" spans="1:9" x14ac:dyDescent="0.25">
      <c r="A13" s="264" t="s">
        <v>67</v>
      </c>
      <c r="B13" s="280"/>
      <c r="C13" s="262">
        <v>4</v>
      </c>
      <c r="D13" s="261" t="s">
        <v>137</v>
      </c>
      <c r="E13" s="260" t="s">
        <v>150</v>
      </c>
      <c r="F13" s="314" t="s">
        <v>153</v>
      </c>
      <c r="G13" s="279"/>
      <c r="H13" s="312">
        <v>26620</v>
      </c>
      <c r="I13" s="256"/>
    </row>
    <row r="14" spans="1:9" x14ac:dyDescent="0.25">
      <c r="A14" s="264" t="s">
        <v>67</v>
      </c>
      <c r="B14" s="280"/>
      <c r="C14" s="262"/>
      <c r="D14" s="261"/>
      <c r="E14" s="260"/>
      <c r="F14" s="259" t="s">
        <v>134</v>
      </c>
      <c r="G14" s="258">
        <f>SUM(G10:G13)</f>
        <v>1</v>
      </c>
      <c r="H14" s="306">
        <f>SUM(H10:H13)</f>
        <v>136369</v>
      </c>
      <c r="I14" s="256"/>
    </row>
    <row r="15" spans="1:9" ht="14.25" thickBot="1" x14ac:dyDescent="0.3">
      <c r="A15" s="255" t="s">
        <v>67</v>
      </c>
      <c r="B15" s="248"/>
      <c r="C15" s="253"/>
      <c r="D15" s="252"/>
      <c r="E15" s="251"/>
      <c r="F15" s="250" t="s">
        <v>133</v>
      </c>
      <c r="G15" s="249"/>
      <c r="H15" s="305"/>
      <c r="I15" s="247">
        <f>B9+H14</f>
        <v>827167</v>
      </c>
    </row>
    <row r="16" spans="1:9" x14ac:dyDescent="0.25">
      <c r="A16" s="272" t="s">
        <v>66</v>
      </c>
      <c r="B16" s="282">
        <v>3821505</v>
      </c>
      <c r="C16" s="284"/>
      <c r="D16" s="270"/>
      <c r="E16" s="269"/>
      <c r="F16" s="268"/>
      <c r="G16" s="283"/>
      <c r="H16" s="313"/>
      <c r="I16" s="281"/>
    </row>
    <row r="17" spans="1:9" x14ac:dyDescent="0.25">
      <c r="A17" s="264" t="s">
        <v>66</v>
      </c>
      <c r="B17" s="280"/>
      <c r="C17" s="262"/>
      <c r="D17" s="261"/>
      <c r="E17" s="260"/>
      <c r="F17" s="259" t="s">
        <v>134</v>
      </c>
      <c r="G17" s="258">
        <v>0</v>
      </c>
      <c r="H17" s="306">
        <v>0</v>
      </c>
      <c r="I17" s="256"/>
    </row>
    <row r="18" spans="1:9" ht="14.25" thickBot="1" x14ac:dyDescent="0.3">
      <c r="A18" s="255" t="s">
        <v>66</v>
      </c>
      <c r="B18" s="248"/>
      <c r="C18" s="253"/>
      <c r="D18" s="252"/>
      <c r="E18" s="251"/>
      <c r="F18" s="250" t="s">
        <v>133</v>
      </c>
      <c r="G18" s="249"/>
      <c r="H18" s="305"/>
      <c r="I18" s="247">
        <f>B16+H17</f>
        <v>3821505</v>
      </c>
    </row>
    <row r="19" spans="1:9" x14ac:dyDescent="0.25">
      <c r="A19" s="272" t="s">
        <v>65</v>
      </c>
      <c r="B19" s="282">
        <v>714062</v>
      </c>
      <c r="C19" s="284"/>
      <c r="D19" s="270"/>
      <c r="E19" s="269"/>
      <c r="F19" s="268"/>
      <c r="G19" s="283"/>
      <c r="H19" s="313"/>
      <c r="I19" s="281"/>
    </row>
    <row r="20" spans="1:9" x14ac:dyDescent="0.25">
      <c r="A20" s="264" t="s">
        <v>65</v>
      </c>
      <c r="B20" s="280"/>
      <c r="C20" s="262">
        <v>1</v>
      </c>
      <c r="D20" s="261" t="s">
        <v>137</v>
      </c>
      <c r="E20" s="260" t="s">
        <v>141</v>
      </c>
      <c r="F20" s="260" t="s">
        <v>141</v>
      </c>
      <c r="G20" s="279"/>
      <c r="H20" s="312">
        <v>71736</v>
      </c>
      <c r="I20" s="276"/>
    </row>
    <row r="21" spans="1:9" x14ac:dyDescent="0.25">
      <c r="A21" s="264" t="s">
        <v>65</v>
      </c>
      <c r="B21" s="280"/>
      <c r="C21" s="262">
        <v>2</v>
      </c>
      <c r="D21" s="261" t="s">
        <v>137</v>
      </c>
      <c r="E21" s="260" t="s">
        <v>197</v>
      </c>
      <c r="F21" s="260" t="s">
        <v>153</v>
      </c>
      <c r="G21" s="279"/>
      <c r="H21" s="312">
        <v>4698</v>
      </c>
      <c r="I21" s="276"/>
    </row>
    <row r="22" spans="1:9" x14ac:dyDescent="0.25">
      <c r="A22" s="264" t="s">
        <v>65</v>
      </c>
      <c r="B22" s="280"/>
      <c r="C22" s="262"/>
      <c r="D22" s="261"/>
      <c r="E22" s="260"/>
      <c r="F22" s="259" t="s">
        <v>134</v>
      </c>
      <c r="G22" s="258">
        <f>SUM(G20:G21)</f>
        <v>0</v>
      </c>
      <c r="H22" s="306">
        <f>SUM(H20:H21)</f>
        <v>76434</v>
      </c>
      <c r="I22" s="256"/>
    </row>
    <row r="23" spans="1:9" ht="14.25" thickBot="1" x14ac:dyDescent="0.3">
      <c r="A23" s="255" t="s">
        <v>65</v>
      </c>
      <c r="B23" s="248"/>
      <c r="C23" s="253"/>
      <c r="D23" s="252"/>
      <c r="E23" s="251"/>
      <c r="F23" s="250" t="s">
        <v>133</v>
      </c>
      <c r="G23" s="249"/>
      <c r="H23" s="305"/>
      <c r="I23" s="247">
        <f>B19+H22</f>
        <v>790496</v>
      </c>
    </row>
    <row r="24" spans="1:9" x14ac:dyDescent="0.25">
      <c r="A24" s="272" t="s">
        <v>64</v>
      </c>
      <c r="B24" s="282">
        <v>11900129</v>
      </c>
      <c r="C24" s="284"/>
      <c r="D24" s="270"/>
      <c r="E24" s="269"/>
      <c r="F24" s="268"/>
      <c r="G24" s="283"/>
      <c r="H24" s="313"/>
      <c r="I24" s="281"/>
    </row>
    <row r="25" spans="1:9" x14ac:dyDescent="0.25">
      <c r="A25" s="264" t="s">
        <v>64</v>
      </c>
      <c r="B25" s="280"/>
      <c r="C25" s="262"/>
      <c r="D25" s="261"/>
      <c r="E25" s="260"/>
      <c r="F25" s="259" t="s">
        <v>134</v>
      </c>
      <c r="G25" s="258">
        <v>0</v>
      </c>
      <c r="H25" s="306">
        <v>0</v>
      </c>
      <c r="I25" s="256"/>
    </row>
    <row r="26" spans="1:9" ht="14.25" thickBot="1" x14ac:dyDescent="0.3">
      <c r="A26" s="255" t="s">
        <v>64</v>
      </c>
      <c r="B26" s="248"/>
      <c r="C26" s="253"/>
      <c r="D26" s="252"/>
      <c r="E26" s="251"/>
      <c r="F26" s="250" t="s">
        <v>133</v>
      </c>
      <c r="G26" s="249"/>
      <c r="H26" s="305"/>
      <c r="I26" s="247">
        <f>B24+H25</f>
        <v>11900129</v>
      </c>
    </row>
    <row r="27" spans="1:9" x14ac:dyDescent="0.25">
      <c r="A27" s="272" t="s">
        <v>63</v>
      </c>
      <c r="B27" s="282">
        <v>39801023</v>
      </c>
      <c r="C27" s="284"/>
      <c r="D27" s="270"/>
      <c r="E27" s="269"/>
      <c r="F27" s="268"/>
      <c r="G27" s="283"/>
      <c r="H27" s="313"/>
      <c r="I27" s="281"/>
    </row>
    <row r="28" spans="1:9" x14ac:dyDescent="0.25">
      <c r="A28" s="264" t="s">
        <v>63</v>
      </c>
      <c r="B28" s="280"/>
      <c r="C28" s="262">
        <v>1</v>
      </c>
      <c r="D28" s="261" t="s">
        <v>137</v>
      </c>
      <c r="E28" s="260" t="s">
        <v>196</v>
      </c>
      <c r="F28" s="260" t="s">
        <v>157</v>
      </c>
      <c r="G28" s="279">
        <v>6</v>
      </c>
      <c r="H28" s="312">
        <v>230915</v>
      </c>
      <c r="I28" s="276"/>
    </row>
    <row r="29" spans="1:9" x14ac:dyDescent="0.25">
      <c r="A29" s="264" t="s">
        <v>63</v>
      </c>
      <c r="B29" s="280"/>
      <c r="C29" s="262">
        <v>2</v>
      </c>
      <c r="D29" s="261" t="s">
        <v>137</v>
      </c>
      <c r="E29" s="260" t="s">
        <v>195</v>
      </c>
      <c r="F29" s="260" t="s">
        <v>157</v>
      </c>
      <c r="G29" s="279">
        <v>3</v>
      </c>
      <c r="H29" s="312">
        <v>109143</v>
      </c>
      <c r="I29" s="276"/>
    </row>
    <row r="30" spans="1:9" x14ac:dyDescent="0.25">
      <c r="A30" s="264" t="s">
        <v>63</v>
      </c>
      <c r="B30" s="280"/>
      <c r="C30" s="262">
        <v>3</v>
      </c>
      <c r="D30" s="261" t="s">
        <v>137</v>
      </c>
      <c r="E30" s="260" t="s">
        <v>194</v>
      </c>
      <c r="F30" s="260" t="s">
        <v>157</v>
      </c>
      <c r="G30" s="279">
        <v>2</v>
      </c>
      <c r="H30" s="312">
        <v>76972</v>
      </c>
      <c r="I30" s="276"/>
    </row>
    <row r="31" spans="1:9" x14ac:dyDescent="0.25">
      <c r="A31" s="264" t="s">
        <v>63</v>
      </c>
      <c r="B31" s="280"/>
      <c r="C31" s="262">
        <v>4</v>
      </c>
      <c r="D31" s="261" t="s">
        <v>137</v>
      </c>
      <c r="E31" s="260" t="s">
        <v>163</v>
      </c>
      <c r="F31" s="260" t="s">
        <v>162</v>
      </c>
      <c r="G31" s="279">
        <v>1</v>
      </c>
      <c r="H31" s="312">
        <v>45099</v>
      </c>
      <c r="I31" s="276"/>
    </row>
    <row r="32" spans="1:9" x14ac:dyDescent="0.25">
      <c r="A32" s="264" t="s">
        <v>63</v>
      </c>
      <c r="B32" s="280"/>
      <c r="C32" s="262">
        <v>5</v>
      </c>
      <c r="D32" s="261" t="s">
        <v>137</v>
      </c>
      <c r="E32" s="260" t="s">
        <v>193</v>
      </c>
      <c r="F32" s="260" t="s">
        <v>157</v>
      </c>
      <c r="G32" s="279">
        <v>1</v>
      </c>
      <c r="H32" s="312">
        <v>62774</v>
      </c>
      <c r="I32" s="276"/>
    </row>
    <row r="33" spans="1:9" x14ac:dyDescent="0.25">
      <c r="A33" s="264" t="s">
        <v>63</v>
      </c>
      <c r="B33" s="280"/>
      <c r="C33" s="262">
        <v>6</v>
      </c>
      <c r="D33" s="261" t="s">
        <v>137</v>
      </c>
      <c r="E33" s="260" t="s">
        <v>192</v>
      </c>
      <c r="F33" s="260" t="s">
        <v>157</v>
      </c>
      <c r="G33" s="279">
        <v>3</v>
      </c>
      <c r="H33" s="312">
        <v>109143</v>
      </c>
      <c r="I33" s="276"/>
    </row>
    <row r="34" spans="1:9" x14ac:dyDescent="0.25">
      <c r="A34" s="264" t="s">
        <v>63</v>
      </c>
      <c r="B34" s="280"/>
      <c r="C34" s="262">
        <v>7</v>
      </c>
      <c r="D34" s="261" t="s">
        <v>137</v>
      </c>
      <c r="E34" s="260" t="s">
        <v>191</v>
      </c>
      <c r="F34" s="260" t="s">
        <v>157</v>
      </c>
      <c r="G34" s="279">
        <v>1</v>
      </c>
      <c r="H34" s="312">
        <v>47878</v>
      </c>
      <c r="I34" s="276"/>
    </row>
    <row r="35" spans="1:9" x14ac:dyDescent="0.25">
      <c r="A35" s="264" t="s">
        <v>63</v>
      </c>
      <c r="B35" s="280"/>
      <c r="C35" s="262">
        <v>8</v>
      </c>
      <c r="D35" s="261" t="s">
        <v>137</v>
      </c>
      <c r="E35" s="260" t="s">
        <v>140</v>
      </c>
      <c r="F35" s="260" t="s">
        <v>135</v>
      </c>
      <c r="G35" s="279"/>
      <c r="H35" s="312">
        <v>33351</v>
      </c>
      <c r="I35" s="276"/>
    </row>
    <row r="36" spans="1:9" x14ac:dyDescent="0.25">
      <c r="A36" s="264" t="s">
        <v>63</v>
      </c>
      <c r="B36" s="280"/>
      <c r="C36" s="262"/>
      <c r="D36" s="261"/>
      <c r="E36" s="260"/>
      <c r="F36" s="259" t="s">
        <v>134</v>
      </c>
      <c r="G36" s="258">
        <f>SUM(G28:G35)</f>
        <v>17</v>
      </c>
      <c r="H36" s="306">
        <f>SUM(H28:H35)</f>
        <v>715275</v>
      </c>
      <c r="I36" s="256"/>
    </row>
    <row r="37" spans="1:9" ht="14.25" thickBot="1" x14ac:dyDescent="0.3">
      <c r="A37" s="255" t="s">
        <v>63</v>
      </c>
      <c r="B37" s="248"/>
      <c r="C37" s="253"/>
      <c r="D37" s="252"/>
      <c r="E37" s="251"/>
      <c r="F37" s="250" t="s">
        <v>133</v>
      </c>
      <c r="G37" s="249"/>
      <c r="H37" s="305"/>
      <c r="I37" s="247">
        <f>B27+H36</f>
        <v>40516298</v>
      </c>
    </row>
    <row r="38" spans="1:9" x14ac:dyDescent="0.25">
      <c r="A38" s="272" t="s">
        <v>62</v>
      </c>
      <c r="B38" s="282">
        <v>437097</v>
      </c>
      <c r="C38" s="284"/>
      <c r="D38" s="270"/>
      <c r="E38" s="269"/>
      <c r="F38" s="268"/>
      <c r="G38" s="283"/>
      <c r="H38" s="313"/>
      <c r="I38" s="281"/>
    </row>
    <row r="39" spans="1:9" x14ac:dyDescent="0.25">
      <c r="A39" s="264" t="s">
        <v>62</v>
      </c>
      <c r="B39" s="280"/>
      <c r="C39" s="262">
        <v>1</v>
      </c>
      <c r="D39" s="261" t="s">
        <v>155</v>
      </c>
      <c r="E39" s="260" t="s">
        <v>190</v>
      </c>
      <c r="F39" s="260" t="s">
        <v>135</v>
      </c>
      <c r="G39" s="279"/>
      <c r="H39" s="312">
        <v>27405</v>
      </c>
      <c r="I39" s="276"/>
    </row>
    <row r="40" spans="1:9" x14ac:dyDescent="0.25">
      <c r="A40" s="264" t="s">
        <v>62</v>
      </c>
      <c r="B40" s="280"/>
      <c r="C40" s="262">
        <v>2</v>
      </c>
      <c r="D40" s="261" t="s">
        <v>137</v>
      </c>
      <c r="E40" s="260" t="s">
        <v>139</v>
      </c>
      <c r="F40" s="260" t="s">
        <v>135</v>
      </c>
      <c r="G40" s="279"/>
      <c r="H40" s="312">
        <v>2133</v>
      </c>
      <c r="I40" s="276"/>
    </row>
    <row r="41" spans="1:9" x14ac:dyDescent="0.25">
      <c r="A41" s="264" t="s">
        <v>62</v>
      </c>
      <c r="B41" s="280"/>
      <c r="C41" s="262">
        <v>3</v>
      </c>
      <c r="D41" s="261" t="s">
        <v>137</v>
      </c>
      <c r="E41" s="260" t="s">
        <v>140</v>
      </c>
      <c r="F41" s="260" t="s">
        <v>135</v>
      </c>
      <c r="G41" s="279"/>
      <c r="H41" s="312">
        <v>4111</v>
      </c>
      <c r="I41" s="276"/>
    </row>
    <row r="42" spans="1:9" x14ac:dyDescent="0.25">
      <c r="A42" s="264" t="s">
        <v>62</v>
      </c>
      <c r="B42" s="280"/>
      <c r="C42" s="262"/>
      <c r="D42" s="261"/>
      <c r="E42" s="260"/>
      <c r="F42" s="259" t="s">
        <v>134</v>
      </c>
      <c r="G42" s="258">
        <f>SUM(G39:G41)</f>
        <v>0</v>
      </c>
      <c r="H42" s="306">
        <f>SUM(H39:H41)</f>
        <v>33649</v>
      </c>
      <c r="I42" s="256"/>
    </row>
    <row r="43" spans="1:9" ht="14.25" thickBot="1" x14ac:dyDescent="0.3">
      <c r="A43" s="255" t="s">
        <v>62</v>
      </c>
      <c r="B43" s="248"/>
      <c r="C43" s="253"/>
      <c r="D43" s="252"/>
      <c r="E43" s="251"/>
      <c r="F43" s="250" t="s">
        <v>133</v>
      </c>
      <c r="G43" s="249"/>
      <c r="H43" s="305"/>
      <c r="I43" s="247">
        <f>B38+H42</f>
        <v>470746</v>
      </c>
    </row>
    <row r="44" spans="1:9" x14ac:dyDescent="0.25">
      <c r="A44" s="272" t="s">
        <v>61</v>
      </c>
      <c r="B44" s="282">
        <v>3698515</v>
      </c>
      <c r="C44" s="284"/>
      <c r="D44" s="270"/>
      <c r="E44" s="269"/>
      <c r="F44" s="269"/>
      <c r="G44" s="283"/>
      <c r="H44" s="313"/>
      <c r="I44" s="265"/>
    </row>
    <row r="45" spans="1:9" x14ac:dyDescent="0.25">
      <c r="A45" s="264" t="s">
        <v>61</v>
      </c>
      <c r="B45" s="280"/>
      <c r="C45" s="262">
        <v>1</v>
      </c>
      <c r="D45" s="261" t="s">
        <v>137</v>
      </c>
      <c r="E45" s="260" t="s">
        <v>139</v>
      </c>
      <c r="F45" s="260" t="s">
        <v>135</v>
      </c>
      <c r="G45" s="279"/>
      <c r="H45" s="312">
        <v>38933</v>
      </c>
      <c r="I45" s="276"/>
    </row>
    <row r="46" spans="1:9" x14ac:dyDescent="0.25">
      <c r="A46" s="264" t="s">
        <v>61</v>
      </c>
      <c r="B46" s="280"/>
      <c r="C46" s="262">
        <v>2</v>
      </c>
      <c r="D46" s="261" t="s">
        <v>137</v>
      </c>
      <c r="E46" s="260" t="s">
        <v>140</v>
      </c>
      <c r="F46" s="260" t="s">
        <v>135</v>
      </c>
      <c r="G46" s="279"/>
      <c r="H46" s="312">
        <v>34936</v>
      </c>
      <c r="I46" s="276"/>
    </row>
    <row r="47" spans="1:9" x14ac:dyDescent="0.25">
      <c r="A47" s="264" t="s">
        <v>61</v>
      </c>
      <c r="B47" s="280"/>
      <c r="C47" s="262">
        <v>3</v>
      </c>
      <c r="D47" s="261" t="s">
        <v>137</v>
      </c>
      <c r="E47" s="260" t="s">
        <v>189</v>
      </c>
      <c r="F47" s="260" t="s">
        <v>135</v>
      </c>
      <c r="G47" s="279">
        <v>1</v>
      </c>
      <c r="H47" s="312">
        <v>115084</v>
      </c>
      <c r="I47" s="276"/>
    </row>
    <row r="48" spans="1:9" x14ac:dyDescent="0.25">
      <c r="A48" s="264" t="s">
        <v>61</v>
      </c>
      <c r="B48" s="280"/>
      <c r="C48" s="262"/>
      <c r="D48" s="261"/>
      <c r="E48" s="260"/>
      <c r="F48" s="259" t="s">
        <v>134</v>
      </c>
      <c r="G48" s="258">
        <f>SUM(G45:G47)</f>
        <v>1</v>
      </c>
      <c r="H48" s="306">
        <f>SUM(H45:H47)</f>
        <v>188953</v>
      </c>
      <c r="I48" s="256"/>
    </row>
    <row r="49" spans="1:9" ht="14.25" thickBot="1" x14ac:dyDescent="0.3">
      <c r="A49" s="255" t="s">
        <v>61</v>
      </c>
      <c r="B49" s="248"/>
      <c r="C49" s="253"/>
      <c r="D49" s="252"/>
      <c r="E49" s="251"/>
      <c r="F49" s="250" t="s">
        <v>133</v>
      </c>
      <c r="G49" s="249"/>
      <c r="H49" s="305"/>
      <c r="I49" s="247">
        <f>B44+H48</f>
        <v>3887468</v>
      </c>
    </row>
    <row r="50" spans="1:9" x14ac:dyDescent="0.25">
      <c r="A50" s="272" t="s">
        <v>60</v>
      </c>
      <c r="B50" s="282">
        <v>3050132</v>
      </c>
      <c r="C50" s="284"/>
      <c r="D50" s="270"/>
      <c r="E50" s="269"/>
      <c r="F50" s="269"/>
      <c r="G50" s="283"/>
      <c r="H50" s="313"/>
      <c r="I50" s="265"/>
    </row>
    <row r="51" spans="1:9" x14ac:dyDescent="0.25">
      <c r="A51" s="264" t="s">
        <v>60</v>
      </c>
      <c r="B51" s="280"/>
      <c r="C51" s="262">
        <v>1</v>
      </c>
      <c r="D51" s="261" t="s">
        <v>137</v>
      </c>
      <c r="E51" s="260" t="s">
        <v>140</v>
      </c>
      <c r="F51" s="260" t="s">
        <v>135</v>
      </c>
      <c r="G51" s="279"/>
      <c r="H51" s="312">
        <v>38965</v>
      </c>
      <c r="I51" s="276"/>
    </row>
    <row r="52" spans="1:9" x14ac:dyDescent="0.25">
      <c r="A52" s="264" t="s">
        <v>60</v>
      </c>
      <c r="B52" s="280"/>
      <c r="C52" s="262">
        <v>2</v>
      </c>
      <c r="D52" s="261" t="s">
        <v>137</v>
      </c>
      <c r="E52" s="260" t="s">
        <v>188</v>
      </c>
      <c r="F52" s="260" t="s">
        <v>135</v>
      </c>
      <c r="G52" s="279"/>
      <c r="H52" s="312">
        <v>74234</v>
      </c>
      <c r="I52" s="276"/>
    </row>
    <row r="53" spans="1:9" x14ac:dyDescent="0.25">
      <c r="A53" s="264" t="s">
        <v>60</v>
      </c>
      <c r="B53" s="280"/>
      <c r="C53" s="262">
        <v>3</v>
      </c>
      <c r="D53" s="261" t="s">
        <v>137</v>
      </c>
      <c r="E53" s="260" t="s">
        <v>187</v>
      </c>
      <c r="F53" s="260" t="s">
        <v>144</v>
      </c>
      <c r="G53" s="279"/>
      <c r="H53" s="312">
        <v>12295</v>
      </c>
      <c r="I53" s="276"/>
    </row>
    <row r="54" spans="1:9" x14ac:dyDescent="0.25">
      <c r="A54" s="264" t="s">
        <v>60</v>
      </c>
      <c r="B54" s="280"/>
      <c r="C54" s="262"/>
      <c r="D54" s="261"/>
      <c r="E54" s="260"/>
      <c r="F54" s="259" t="s">
        <v>134</v>
      </c>
      <c r="G54" s="258">
        <f>SUM(G51:G53)</f>
        <v>0</v>
      </c>
      <c r="H54" s="306">
        <f>SUM(H51:H53)</f>
        <v>125494</v>
      </c>
      <c r="I54" s="256"/>
    </row>
    <row r="55" spans="1:9" ht="14.25" thickBot="1" x14ac:dyDescent="0.3">
      <c r="A55" s="255" t="s">
        <v>60</v>
      </c>
      <c r="B55" s="248"/>
      <c r="C55" s="253"/>
      <c r="D55" s="252"/>
      <c r="E55" s="251"/>
      <c r="F55" s="250" t="s">
        <v>133</v>
      </c>
      <c r="G55" s="249"/>
      <c r="H55" s="305"/>
      <c r="I55" s="247">
        <f>B50+H54</f>
        <v>3175626</v>
      </c>
    </row>
    <row r="56" spans="1:9" x14ac:dyDescent="0.25">
      <c r="A56" s="272" t="s">
        <v>59</v>
      </c>
      <c r="B56" s="282">
        <v>3738882</v>
      </c>
      <c r="C56" s="284"/>
      <c r="D56" s="270"/>
      <c r="E56" s="269"/>
      <c r="F56" s="269"/>
      <c r="G56" s="283"/>
      <c r="H56" s="313"/>
      <c r="I56" s="265"/>
    </row>
    <row r="57" spans="1:9" x14ac:dyDescent="0.25">
      <c r="A57" s="264" t="s">
        <v>59</v>
      </c>
      <c r="B57" s="280"/>
      <c r="C57" s="262">
        <v>1</v>
      </c>
      <c r="D57" s="261" t="s">
        <v>137</v>
      </c>
      <c r="E57" s="260" t="s">
        <v>186</v>
      </c>
      <c r="F57" s="260" t="s">
        <v>166</v>
      </c>
      <c r="G57" s="279">
        <v>1.72</v>
      </c>
      <c r="H57" s="312">
        <v>86000</v>
      </c>
      <c r="I57" s="276"/>
    </row>
    <row r="58" spans="1:9" x14ac:dyDescent="0.25">
      <c r="A58" s="264" t="s">
        <v>59</v>
      </c>
      <c r="B58" s="280"/>
      <c r="C58" s="262">
        <v>2</v>
      </c>
      <c r="D58" s="261" t="s">
        <v>137</v>
      </c>
      <c r="E58" s="260" t="s">
        <v>185</v>
      </c>
      <c r="F58" s="260" t="s">
        <v>166</v>
      </c>
      <c r="G58" s="279">
        <v>0.8</v>
      </c>
      <c r="H58" s="312">
        <v>54400</v>
      </c>
      <c r="I58" s="276"/>
    </row>
    <row r="59" spans="1:9" x14ac:dyDescent="0.25">
      <c r="A59" s="264" t="s">
        <v>59</v>
      </c>
      <c r="B59" s="280"/>
      <c r="C59" s="262"/>
      <c r="D59" s="261"/>
      <c r="E59" s="260"/>
      <c r="F59" s="259" t="s">
        <v>134</v>
      </c>
      <c r="G59" s="258">
        <f>SUM(G57:G58)</f>
        <v>2.52</v>
      </c>
      <c r="H59" s="306">
        <f>SUM(H57:H58)</f>
        <v>140400</v>
      </c>
      <c r="I59" s="256"/>
    </row>
    <row r="60" spans="1:9" ht="14.25" thickBot="1" x14ac:dyDescent="0.3">
      <c r="A60" s="255" t="s">
        <v>59</v>
      </c>
      <c r="B60" s="248"/>
      <c r="C60" s="253"/>
      <c r="D60" s="252"/>
      <c r="E60" s="251"/>
      <c r="F60" s="250" t="s">
        <v>133</v>
      </c>
      <c r="G60" s="249"/>
      <c r="H60" s="305"/>
      <c r="I60" s="247">
        <f>B56+H59</f>
        <v>3879282</v>
      </c>
    </row>
    <row r="61" spans="1:9" x14ac:dyDescent="0.25">
      <c r="A61" s="272" t="s">
        <v>58</v>
      </c>
      <c r="B61" s="282">
        <v>6734123</v>
      </c>
      <c r="C61" s="284"/>
      <c r="D61" s="270"/>
      <c r="E61" s="269"/>
      <c r="F61" s="269"/>
      <c r="G61" s="283"/>
      <c r="H61" s="313"/>
      <c r="I61" s="265"/>
    </row>
    <row r="62" spans="1:9" x14ac:dyDescent="0.25">
      <c r="A62" s="264" t="s">
        <v>58</v>
      </c>
      <c r="B62" s="280"/>
      <c r="C62" s="262">
        <v>1</v>
      </c>
      <c r="D62" s="261" t="s">
        <v>137</v>
      </c>
      <c r="E62" s="260" t="s">
        <v>168</v>
      </c>
      <c r="F62" s="260" t="s">
        <v>166</v>
      </c>
      <c r="G62" s="279">
        <v>2.29</v>
      </c>
      <c r="H62" s="312">
        <v>145400</v>
      </c>
      <c r="I62" s="276"/>
    </row>
    <row r="63" spans="1:9" x14ac:dyDescent="0.25">
      <c r="A63" s="264" t="s">
        <v>58</v>
      </c>
      <c r="B63" s="280"/>
      <c r="C63" s="262"/>
      <c r="D63" s="261"/>
      <c r="E63" s="260"/>
      <c r="F63" s="259" t="s">
        <v>134</v>
      </c>
      <c r="G63" s="258">
        <f>SUM(G62)</f>
        <v>2.29</v>
      </c>
      <c r="H63" s="306">
        <f>SUM(H62)</f>
        <v>145400</v>
      </c>
      <c r="I63" s="256"/>
    </row>
    <row r="64" spans="1:9" ht="14.25" thickBot="1" x14ac:dyDescent="0.3">
      <c r="A64" s="255" t="s">
        <v>58</v>
      </c>
      <c r="B64" s="248"/>
      <c r="C64" s="253"/>
      <c r="D64" s="252"/>
      <c r="E64" s="251"/>
      <c r="F64" s="250" t="s">
        <v>133</v>
      </c>
      <c r="G64" s="249"/>
      <c r="H64" s="305"/>
      <c r="I64" s="247">
        <f>B61+H63</f>
        <v>6879523</v>
      </c>
    </row>
    <row r="65" spans="1:9" x14ac:dyDescent="0.25">
      <c r="A65" s="272" t="s">
        <v>57</v>
      </c>
      <c r="B65" s="282">
        <v>1494415</v>
      </c>
      <c r="C65" s="284"/>
      <c r="D65" s="270"/>
      <c r="E65" s="269"/>
      <c r="F65" s="268"/>
      <c r="G65" s="283"/>
      <c r="H65" s="313"/>
      <c r="I65" s="281"/>
    </row>
    <row r="66" spans="1:9" x14ac:dyDescent="0.25">
      <c r="A66" s="264" t="s">
        <v>57</v>
      </c>
      <c r="B66" s="280"/>
      <c r="C66" s="262"/>
      <c r="D66" s="261"/>
      <c r="E66" s="260"/>
      <c r="F66" s="259" t="s">
        <v>134</v>
      </c>
      <c r="G66" s="258">
        <v>0</v>
      </c>
      <c r="H66" s="306">
        <v>0</v>
      </c>
      <c r="I66" s="256"/>
    </row>
    <row r="67" spans="1:9" ht="14.25" thickBot="1" x14ac:dyDescent="0.3">
      <c r="A67" s="255" t="s">
        <v>57</v>
      </c>
      <c r="B67" s="248"/>
      <c r="C67" s="253"/>
      <c r="D67" s="252"/>
      <c r="E67" s="251"/>
      <c r="F67" s="250" t="s">
        <v>133</v>
      </c>
      <c r="G67" s="249"/>
      <c r="H67" s="305"/>
      <c r="I67" s="247">
        <f>B65+H66</f>
        <v>1494415</v>
      </c>
    </row>
    <row r="68" spans="1:9" x14ac:dyDescent="0.25">
      <c r="A68" s="272" t="s">
        <v>56</v>
      </c>
      <c r="B68" s="282">
        <v>790049</v>
      </c>
      <c r="C68" s="284"/>
      <c r="D68" s="270"/>
      <c r="E68" s="269"/>
      <c r="F68" s="269"/>
      <c r="G68" s="283"/>
      <c r="H68" s="313"/>
      <c r="I68" s="265"/>
    </row>
    <row r="69" spans="1:9" x14ac:dyDescent="0.25">
      <c r="A69" s="264" t="s">
        <v>56</v>
      </c>
      <c r="B69" s="280"/>
      <c r="C69" s="262">
        <v>1</v>
      </c>
      <c r="D69" s="261" t="s">
        <v>137</v>
      </c>
      <c r="E69" s="260" t="s">
        <v>140</v>
      </c>
      <c r="F69" s="260" t="s">
        <v>135</v>
      </c>
      <c r="G69" s="279"/>
      <c r="H69" s="312">
        <v>36000</v>
      </c>
      <c r="I69" s="276"/>
    </row>
    <row r="70" spans="1:9" x14ac:dyDescent="0.25">
      <c r="A70" s="264" t="s">
        <v>56</v>
      </c>
      <c r="B70" s="280"/>
      <c r="C70" s="262">
        <v>2</v>
      </c>
      <c r="D70" s="261" t="s">
        <v>137</v>
      </c>
      <c r="E70" s="260" t="s">
        <v>184</v>
      </c>
      <c r="F70" s="260" t="s">
        <v>171</v>
      </c>
      <c r="G70" s="279"/>
      <c r="H70" s="312">
        <v>15300</v>
      </c>
      <c r="I70" s="276"/>
    </row>
    <row r="71" spans="1:9" x14ac:dyDescent="0.25">
      <c r="A71" s="264" t="s">
        <v>56</v>
      </c>
      <c r="B71" s="280"/>
      <c r="C71" s="262"/>
      <c r="D71" s="261"/>
      <c r="E71" s="260"/>
      <c r="F71" s="259" t="s">
        <v>134</v>
      </c>
      <c r="G71" s="258">
        <f>SUM(G69:G70)</f>
        <v>0</v>
      </c>
      <c r="H71" s="306">
        <f>SUM(H69:H70)</f>
        <v>51300</v>
      </c>
      <c r="I71" s="256"/>
    </row>
    <row r="72" spans="1:9" ht="14.25" thickBot="1" x14ac:dyDescent="0.3">
      <c r="A72" s="255" t="s">
        <v>56</v>
      </c>
      <c r="B72" s="248"/>
      <c r="C72" s="253"/>
      <c r="D72" s="252"/>
      <c r="E72" s="251"/>
      <c r="F72" s="250" t="s">
        <v>133</v>
      </c>
      <c r="G72" s="249"/>
      <c r="H72" s="305"/>
      <c r="I72" s="247">
        <f>B68+H71</f>
        <v>841349</v>
      </c>
    </row>
    <row r="73" spans="1:9" x14ac:dyDescent="0.25">
      <c r="A73" s="272" t="s">
        <v>55</v>
      </c>
      <c r="B73" s="282">
        <v>475872</v>
      </c>
      <c r="C73" s="284"/>
      <c r="D73" s="270"/>
      <c r="E73" s="269"/>
      <c r="F73" s="268"/>
      <c r="G73" s="283"/>
      <c r="H73" s="282"/>
      <c r="I73" s="281"/>
    </row>
    <row r="74" spans="1:9" x14ac:dyDescent="0.25">
      <c r="A74" s="264" t="s">
        <v>55</v>
      </c>
      <c r="B74" s="280"/>
      <c r="C74" s="262">
        <v>1</v>
      </c>
      <c r="D74" s="261" t="s">
        <v>137</v>
      </c>
      <c r="E74" s="260" t="s">
        <v>183</v>
      </c>
      <c r="F74" s="311" t="s">
        <v>141</v>
      </c>
      <c r="G74" s="279">
        <v>1.75</v>
      </c>
      <c r="H74" s="280">
        <v>70675</v>
      </c>
      <c r="I74" s="256"/>
    </row>
    <row r="75" spans="1:9" x14ac:dyDescent="0.25">
      <c r="A75" s="264" t="s">
        <v>55</v>
      </c>
      <c r="B75" s="280"/>
      <c r="C75" s="262">
        <v>2</v>
      </c>
      <c r="D75" s="261" t="s">
        <v>137</v>
      </c>
      <c r="E75" s="260" t="s">
        <v>182</v>
      </c>
      <c r="F75" s="311" t="s">
        <v>135</v>
      </c>
      <c r="G75" s="279"/>
      <c r="H75" s="280">
        <v>6078</v>
      </c>
      <c r="I75" s="256"/>
    </row>
    <row r="76" spans="1:9" x14ac:dyDescent="0.25">
      <c r="A76" s="264" t="s">
        <v>55</v>
      </c>
      <c r="B76" s="280"/>
      <c r="C76" s="262">
        <v>3</v>
      </c>
      <c r="D76" s="261" t="s">
        <v>155</v>
      </c>
      <c r="E76" s="260" t="s">
        <v>146</v>
      </c>
      <c r="F76" s="311" t="s">
        <v>135</v>
      </c>
      <c r="G76" s="279"/>
      <c r="H76" s="280">
        <v>8225</v>
      </c>
      <c r="I76" s="256"/>
    </row>
    <row r="77" spans="1:9" x14ac:dyDescent="0.25">
      <c r="A77" s="264" t="s">
        <v>55</v>
      </c>
      <c r="B77" s="280"/>
      <c r="C77" s="262">
        <v>4</v>
      </c>
      <c r="D77" s="261" t="s">
        <v>155</v>
      </c>
      <c r="E77" s="260" t="s">
        <v>181</v>
      </c>
      <c r="F77" s="311" t="s">
        <v>171</v>
      </c>
      <c r="G77" s="279"/>
      <c r="H77" s="280">
        <v>4400</v>
      </c>
      <c r="I77" s="256"/>
    </row>
    <row r="78" spans="1:9" x14ac:dyDescent="0.25">
      <c r="A78" s="264" t="s">
        <v>55</v>
      </c>
      <c r="B78" s="280"/>
      <c r="C78" s="262"/>
      <c r="D78" s="261"/>
      <c r="E78" s="260"/>
      <c r="F78" s="259" t="s">
        <v>134</v>
      </c>
      <c r="G78" s="258">
        <f>SUM(G74:G77)</f>
        <v>1.75</v>
      </c>
      <c r="H78" s="257">
        <f>SUM(H74:H77)</f>
        <v>89378</v>
      </c>
      <c r="I78" s="256"/>
    </row>
    <row r="79" spans="1:9" ht="14.25" thickBot="1" x14ac:dyDescent="0.3">
      <c r="A79" s="255" t="s">
        <v>55</v>
      </c>
      <c r="B79" s="248"/>
      <c r="C79" s="253"/>
      <c r="D79" s="252"/>
      <c r="E79" s="251"/>
      <c r="F79" s="250" t="s">
        <v>133</v>
      </c>
      <c r="G79" s="249"/>
      <c r="H79" s="248"/>
      <c r="I79" s="247">
        <f>B73+H78</f>
        <v>565250</v>
      </c>
    </row>
    <row r="80" spans="1:9" x14ac:dyDescent="0.25">
      <c r="A80" s="272" t="s">
        <v>54</v>
      </c>
      <c r="B80" s="282">
        <v>19697051</v>
      </c>
      <c r="C80" s="284"/>
      <c r="D80" s="270"/>
      <c r="E80" s="269"/>
      <c r="F80" s="268"/>
      <c r="G80" s="283"/>
      <c r="H80" s="282"/>
      <c r="I80" s="281"/>
    </row>
    <row r="81" spans="1:9" x14ac:dyDescent="0.25">
      <c r="A81" s="264" t="s">
        <v>54</v>
      </c>
      <c r="B81" s="263"/>
      <c r="C81" s="261">
        <v>1</v>
      </c>
      <c r="D81" s="261" t="s">
        <v>137</v>
      </c>
      <c r="E81" s="260" t="s">
        <v>180</v>
      </c>
      <c r="F81" s="260" t="s">
        <v>157</v>
      </c>
      <c r="G81" s="279"/>
      <c r="H81" s="278">
        <v>331044</v>
      </c>
      <c r="I81" s="276"/>
    </row>
    <row r="82" spans="1:9" x14ac:dyDescent="0.25">
      <c r="A82" s="299" t="s">
        <v>54</v>
      </c>
      <c r="B82" s="294"/>
      <c r="C82" s="298"/>
      <c r="D82" s="297"/>
      <c r="E82" s="296"/>
      <c r="F82" s="259" t="s">
        <v>134</v>
      </c>
      <c r="G82" s="310">
        <f>SUM(G81:G81)</f>
        <v>0</v>
      </c>
      <c r="H82" s="309">
        <f>SUM(H81:H81)</f>
        <v>331044</v>
      </c>
      <c r="I82" s="293"/>
    </row>
    <row r="83" spans="1:9" ht="14.25" thickBot="1" x14ac:dyDescent="0.3">
      <c r="A83" s="255" t="s">
        <v>54</v>
      </c>
      <c r="B83" s="248"/>
      <c r="C83" s="253"/>
      <c r="D83" s="252"/>
      <c r="E83" s="251"/>
      <c r="F83" s="250" t="s">
        <v>133</v>
      </c>
      <c r="G83" s="275"/>
      <c r="H83" s="308"/>
      <c r="I83" s="247">
        <f>B80+H82</f>
        <v>20028095</v>
      </c>
    </row>
    <row r="84" spans="1:9" x14ac:dyDescent="0.25">
      <c r="A84" s="272" t="s">
        <v>53</v>
      </c>
      <c r="B84" s="271">
        <v>7199743</v>
      </c>
      <c r="C84" s="270"/>
      <c r="D84" s="270"/>
      <c r="E84" s="269"/>
      <c r="F84" s="269"/>
      <c r="G84" s="283"/>
      <c r="H84" s="307"/>
      <c r="I84" s="265"/>
    </row>
    <row r="85" spans="1:9" x14ac:dyDescent="0.25">
      <c r="A85" s="264" t="s">
        <v>53</v>
      </c>
      <c r="B85" s="263"/>
      <c r="C85" s="261">
        <v>1</v>
      </c>
      <c r="D85" s="261" t="s">
        <v>155</v>
      </c>
      <c r="E85" s="260" t="s">
        <v>179</v>
      </c>
      <c r="F85" s="260" t="s">
        <v>166</v>
      </c>
      <c r="G85" s="279"/>
      <c r="H85" s="278">
        <v>93098</v>
      </c>
      <c r="I85" s="276"/>
    </row>
    <row r="86" spans="1:9" x14ac:dyDescent="0.25">
      <c r="A86" s="264" t="s">
        <v>53</v>
      </c>
      <c r="B86" s="263"/>
      <c r="C86" s="261">
        <v>2</v>
      </c>
      <c r="D86" s="261" t="s">
        <v>137</v>
      </c>
      <c r="E86" s="260" t="s">
        <v>178</v>
      </c>
      <c r="F86" s="260" t="s">
        <v>135</v>
      </c>
      <c r="G86" s="279"/>
      <c r="H86" s="278">
        <v>91312</v>
      </c>
      <c r="I86" s="276"/>
    </row>
    <row r="87" spans="1:9" x14ac:dyDescent="0.25">
      <c r="A87" s="264" t="s">
        <v>53</v>
      </c>
      <c r="B87" s="280"/>
      <c r="C87" s="262"/>
      <c r="D87" s="261"/>
      <c r="E87" s="260"/>
      <c r="F87" s="259" t="s">
        <v>134</v>
      </c>
      <c r="G87" s="258">
        <f>SUM(G85:G86)</f>
        <v>0</v>
      </c>
      <c r="H87" s="257">
        <f>SUM(H85:H86)</f>
        <v>184410</v>
      </c>
      <c r="I87" s="256"/>
    </row>
    <row r="88" spans="1:9" ht="14.25" thickBot="1" x14ac:dyDescent="0.3">
      <c r="A88" s="255" t="s">
        <v>53</v>
      </c>
      <c r="B88" s="248"/>
      <c r="C88" s="253"/>
      <c r="D88" s="252"/>
      <c r="E88" s="251"/>
      <c r="F88" s="250" t="s">
        <v>133</v>
      </c>
      <c r="G88" s="249"/>
      <c r="H88" s="248"/>
      <c r="I88" s="247">
        <f>B84+H87</f>
        <v>7384153</v>
      </c>
    </row>
    <row r="89" spans="1:9" x14ac:dyDescent="0.25">
      <c r="A89" s="272" t="s">
        <v>52</v>
      </c>
      <c r="B89" s="282">
        <v>1884851</v>
      </c>
      <c r="C89" s="284"/>
      <c r="D89" s="270"/>
      <c r="E89" s="269"/>
      <c r="F89" s="268"/>
      <c r="G89" s="283"/>
      <c r="H89" s="282"/>
      <c r="I89" s="281"/>
    </row>
    <row r="90" spans="1:9" x14ac:dyDescent="0.25">
      <c r="A90" s="264" t="s">
        <v>52</v>
      </c>
      <c r="B90" s="280"/>
      <c r="C90" s="262"/>
      <c r="D90" s="261"/>
      <c r="E90" s="260"/>
      <c r="F90" s="259" t="s">
        <v>134</v>
      </c>
      <c r="G90" s="258">
        <v>0</v>
      </c>
      <c r="H90" s="257">
        <v>0</v>
      </c>
      <c r="I90" s="256"/>
    </row>
    <row r="91" spans="1:9" ht="14.25" thickBot="1" x14ac:dyDescent="0.3">
      <c r="A91" s="255" t="s">
        <v>52</v>
      </c>
      <c r="B91" s="248"/>
      <c r="C91" s="253"/>
      <c r="D91" s="252"/>
      <c r="E91" s="251"/>
      <c r="F91" s="250" t="s">
        <v>133</v>
      </c>
      <c r="G91" s="249"/>
      <c r="H91" s="248"/>
      <c r="I91" s="247">
        <f>B89+H90</f>
        <v>1884851</v>
      </c>
    </row>
    <row r="92" spans="1:9" x14ac:dyDescent="0.25">
      <c r="A92" s="272" t="s">
        <v>51</v>
      </c>
      <c r="B92" s="271">
        <v>637126</v>
      </c>
      <c r="C92" s="270"/>
      <c r="D92" s="270"/>
      <c r="E92" s="269"/>
      <c r="F92" s="269"/>
      <c r="G92" s="283"/>
      <c r="H92" s="307"/>
      <c r="I92" s="281"/>
    </row>
    <row r="93" spans="1:9" x14ac:dyDescent="0.25">
      <c r="A93" s="264" t="s">
        <v>51</v>
      </c>
      <c r="B93" s="260"/>
      <c r="C93" s="261">
        <v>1</v>
      </c>
      <c r="D93" s="261" t="s">
        <v>137</v>
      </c>
      <c r="E93" s="260" t="s">
        <v>177</v>
      </c>
      <c r="F93" s="260" t="s">
        <v>135</v>
      </c>
      <c r="G93" s="279"/>
      <c r="H93" s="278">
        <v>24968</v>
      </c>
      <c r="I93" s="256"/>
    </row>
    <row r="94" spans="1:9" x14ac:dyDescent="0.25">
      <c r="A94" s="264" t="s">
        <v>51</v>
      </c>
      <c r="B94" s="263"/>
      <c r="C94" s="261">
        <v>2</v>
      </c>
      <c r="D94" s="261" t="s">
        <v>137</v>
      </c>
      <c r="E94" s="260" t="s">
        <v>140</v>
      </c>
      <c r="F94" s="260" t="s">
        <v>135</v>
      </c>
      <c r="G94" s="279"/>
      <c r="H94" s="278">
        <v>6333</v>
      </c>
      <c r="I94" s="276"/>
    </row>
    <row r="95" spans="1:9" x14ac:dyDescent="0.25">
      <c r="A95" s="264" t="s">
        <v>51</v>
      </c>
      <c r="B95" s="263"/>
      <c r="C95" s="261">
        <v>3</v>
      </c>
      <c r="D95" s="261" t="s">
        <v>137</v>
      </c>
      <c r="E95" s="260" t="s">
        <v>139</v>
      </c>
      <c r="F95" s="260" t="s">
        <v>135</v>
      </c>
      <c r="G95" s="279"/>
      <c r="H95" s="278">
        <v>2031</v>
      </c>
      <c r="I95" s="276"/>
    </row>
    <row r="96" spans="1:9" x14ac:dyDescent="0.25">
      <c r="A96" s="264" t="s">
        <v>51</v>
      </c>
      <c r="B96" s="263"/>
      <c r="C96" s="261">
        <v>4</v>
      </c>
      <c r="D96" s="261" t="s">
        <v>137</v>
      </c>
      <c r="E96" s="260" t="s">
        <v>148</v>
      </c>
      <c r="F96" s="260" t="s">
        <v>135</v>
      </c>
      <c r="G96" s="279"/>
      <c r="H96" s="278">
        <v>15503</v>
      </c>
      <c r="I96" s="276"/>
    </row>
    <row r="97" spans="1:9" x14ac:dyDescent="0.25">
      <c r="A97" s="264" t="s">
        <v>51</v>
      </c>
      <c r="B97" s="280"/>
      <c r="C97" s="262"/>
      <c r="D97" s="261"/>
      <c r="E97" s="260"/>
      <c r="F97" s="259" t="s">
        <v>134</v>
      </c>
      <c r="G97" s="258">
        <f>SUM(G93:G96)</f>
        <v>0</v>
      </c>
      <c r="H97" s="257">
        <f>SUM(H93:H96)</f>
        <v>48835</v>
      </c>
      <c r="I97" s="256"/>
    </row>
    <row r="98" spans="1:9" ht="14.25" thickBot="1" x14ac:dyDescent="0.3">
      <c r="A98" s="255" t="s">
        <v>51</v>
      </c>
      <c r="B98" s="248"/>
      <c r="C98" s="253"/>
      <c r="D98" s="252"/>
      <c r="E98" s="251"/>
      <c r="F98" s="250" t="s">
        <v>133</v>
      </c>
      <c r="G98" s="249"/>
      <c r="H98" s="248"/>
      <c r="I98" s="247">
        <f>B92+H97</f>
        <v>685961</v>
      </c>
    </row>
    <row r="99" spans="1:9" x14ac:dyDescent="0.25">
      <c r="A99" s="272" t="s">
        <v>50</v>
      </c>
      <c r="B99" s="282">
        <v>1300318</v>
      </c>
      <c r="C99" s="284"/>
      <c r="D99" s="270"/>
      <c r="E99" s="269"/>
      <c r="F99" s="268"/>
      <c r="G99" s="283"/>
      <c r="H99" s="282"/>
      <c r="I99" s="281"/>
    </row>
    <row r="100" spans="1:9" x14ac:dyDescent="0.25">
      <c r="A100" s="264" t="s">
        <v>50</v>
      </c>
      <c r="B100" s="280"/>
      <c r="C100" s="262"/>
      <c r="D100" s="261"/>
      <c r="E100" s="260"/>
      <c r="F100" s="259" t="s">
        <v>134</v>
      </c>
      <c r="G100" s="258">
        <v>0</v>
      </c>
      <c r="H100" s="257">
        <v>0</v>
      </c>
      <c r="I100" s="256"/>
    </row>
    <row r="101" spans="1:9" ht="14.25" thickBot="1" x14ac:dyDescent="0.3">
      <c r="A101" s="255" t="s">
        <v>50</v>
      </c>
      <c r="B101" s="248"/>
      <c r="C101" s="253"/>
      <c r="D101" s="252"/>
      <c r="E101" s="251"/>
      <c r="F101" s="250" t="s">
        <v>133</v>
      </c>
      <c r="G101" s="249"/>
      <c r="H101" s="248"/>
      <c r="I101" s="247">
        <f>B99+H100</f>
        <v>1300318</v>
      </c>
    </row>
    <row r="102" spans="1:9" x14ac:dyDescent="0.25">
      <c r="A102" s="272" t="s">
        <v>49</v>
      </c>
      <c r="B102" s="282">
        <v>521426</v>
      </c>
      <c r="C102" s="284"/>
      <c r="D102" s="270"/>
      <c r="E102" s="269"/>
      <c r="F102" s="268"/>
      <c r="G102" s="283"/>
      <c r="H102" s="282"/>
      <c r="I102" s="281"/>
    </row>
    <row r="103" spans="1:9" x14ac:dyDescent="0.25">
      <c r="A103" s="264" t="s">
        <v>49</v>
      </c>
      <c r="B103" s="263"/>
      <c r="C103" s="261">
        <v>1</v>
      </c>
      <c r="D103" s="261" t="s">
        <v>137</v>
      </c>
      <c r="E103" s="260" t="s">
        <v>176</v>
      </c>
      <c r="F103" s="260" t="s">
        <v>135</v>
      </c>
      <c r="G103" s="279"/>
      <c r="H103" s="278">
        <v>38986</v>
      </c>
      <c r="I103" s="276"/>
    </row>
    <row r="104" spans="1:9" x14ac:dyDescent="0.25">
      <c r="A104" s="264" t="s">
        <v>49</v>
      </c>
      <c r="B104" s="280"/>
      <c r="C104" s="262"/>
      <c r="D104" s="261"/>
      <c r="E104" s="260"/>
      <c r="F104" s="259" t="s">
        <v>134</v>
      </c>
      <c r="G104" s="258">
        <f>SUM(G103)</f>
        <v>0</v>
      </c>
      <c r="H104" s="257">
        <f>SUM(H103)</f>
        <v>38986</v>
      </c>
      <c r="I104" s="256"/>
    </row>
    <row r="105" spans="1:9" ht="14.25" thickBot="1" x14ac:dyDescent="0.3">
      <c r="A105" s="255" t="s">
        <v>49</v>
      </c>
      <c r="B105" s="248"/>
      <c r="C105" s="253"/>
      <c r="D105" s="252"/>
      <c r="E105" s="251"/>
      <c r="F105" s="250" t="s">
        <v>133</v>
      </c>
      <c r="G105" s="249"/>
      <c r="H105" s="248"/>
      <c r="I105" s="247">
        <f>B102+H104</f>
        <v>560412</v>
      </c>
    </row>
    <row r="106" spans="1:9" x14ac:dyDescent="0.25">
      <c r="A106" s="272" t="s">
        <v>48</v>
      </c>
      <c r="B106" s="271">
        <v>522673</v>
      </c>
      <c r="C106" s="270"/>
      <c r="D106" s="270"/>
      <c r="E106" s="269"/>
      <c r="F106" s="269"/>
      <c r="G106" s="283"/>
      <c r="H106" s="307"/>
      <c r="I106" s="265"/>
    </row>
    <row r="107" spans="1:9" x14ac:dyDescent="0.25">
      <c r="A107" s="264" t="s">
        <v>48</v>
      </c>
      <c r="B107" s="263"/>
      <c r="C107" s="261">
        <v>1</v>
      </c>
      <c r="D107" s="261" t="s">
        <v>137</v>
      </c>
      <c r="E107" s="260" t="s">
        <v>175</v>
      </c>
      <c r="F107" s="260" t="s">
        <v>135</v>
      </c>
      <c r="G107" s="279"/>
      <c r="H107" s="278">
        <v>14399</v>
      </c>
      <c r="I107" s="276"/>
    </row>
    <row r="108" spans="1:9" x14ac:dyDescent="0.25">
      <c r="A108" s="264" t="s">
        <v>48</v>
      </c>
      <c r="B108" s="263"/>
      <c r="C108" s="261">
        <v>2</v>
      </c>
      <c r="D108" s="261" t="s">
        <v>137</v>
      </c>
      <c r="E108" s="260" t="s">
        <v>148</v>
      </c>
      <c r="F108" s="260" t="s">
        <v>135</v>
      </c>
      <c r="G108" s="279"/>
      <c r="H108" s="278">
        <v>6352</v>
      </c>
      <c r="I108" s="276"/>
    </row>
    <row r="109" spans="1:9" x14ac:dyDescent="0.25">
      <c r="A109" s="264" t="s">
        <v>48</v>
      </c>
      <c r="B109" s="280"/>
      <c r="C109" s="262"/>
      <c r="D109" s="261"/>
      <c r="E109" s="260"/>
      <c r="F109" s="259" t="s">
        <v>134</v>
      </c>
      <c r="G109" s="258">
        <f>SUM(G107:G108)</f>
        <v>0</v>
      </c>
      <c r="H109" s="306">
        <f>SUM(H107:H108)</f>
        <v>20751</v>
      </c>
      <c r="I109" s="256"/>
    </row>
    <row r="110" spans="1:9" ht="14.25" thickBot="1" x14ac:dyDescent="0.3">
      <c r="A110" s="255" t="s">
        <v>48</v>
      </c>
      <c r="B110" s="248"/>
      <c r="C110" s="253"/>
      <c r="D110" s="252"/>
      <c r="E110" s="251"/>
      <c r="F110" s="250" t="s">
        <v>133</v>
      </c>
      <c r="G110" s="249"/>
      <c r="H110" s="305"/>
      <c r="I110" s="247">
        <f>B106+H109</f>
        <v>543424</v>
      </c>
    </row>
    <row r="111" spans="1:9" x14ac:dyDescent="0.25">
      <c r="A111" s="272" t="s">
        <v>47</v>
      </c>
      <c r="B111" s="282">
        <v>491582</v>
      </c>
      <c r="C111" s="284"/>
      <c r="D111" s="270"/>
      <c r="E111" s="269"/>
      <c r="F111" s="268"/>
      <c r="G111" s="283"/>
      <c r="H111" s="282"/>
      <c r="I111" s="281"/>
    </row>
    <row r="112" spans="1:9" x14ac:dyDescent="0.25">
      <c r="A112" s="264" t="s">
        <v>47</v>
      </c>
      <c r="B112" s="280"/>
      <c r="C112" s="262"/>
      <c r="D112" s="261"/>
      <c r="E112" s="260"/>
      <c r="F112" s="259" t="s">
        <v>134</v>
      </c>
      <c r="G112" s="258">
        <v>0</v>
      </c>
      <c r="H112" s="257">
        <v>0</v>
      </c>
      <c r="I112" s="256"/>
    </row>
    <row r="113" spans="1:9" ht="14.25" thickBot="1" x14ac:dyDescent="0.3">
      <c r="A113" s="255" t="s">
        <v>47</v>
      </c>
      <c r="B113" s="248"/>
      <c r="C113" s="253"/>
      <c r="D113" s="252"/>
      <c r="E113" s="251"/>
      <c r="F113" s="250" t="s">
        <v>133</v>
      </c>
      <c r="G113" s="249"/>
      <c r="H113" s="248"/>
      <c r="I113" s="247">
        <f>B111+H112</f>
        <v>491582</v>
      </c>
    </row>
    <row r="114" spans="1:9" x14ac:dyDescent="0.25">
      <c r="A114" s="272" t="s">
        <v>46</v>
      </c>
      <c r="B114" s="282">
        <v>513362</v>
      </c>
      <c r="C114" s="284"/>
      <c r="D114" s="270"/>
      <c r="E114" s="269"/>
      <c r="F114" s="268"/>
      <c r="G114" s="283"/>
      <c r="H114" s="282"/>
      <c r="I114" s="281"/>
    </row>
    <row r="115" spans="1:9" x14ac:dyDescent="0.25">
      <c r="A115" s="264" t="s">
        <v>46</v>
      </c>
      <c r="B115" s="263"/>
      <c r="C115" s="261">
        <v>1</v>
      </c>
      <c r="D115" s="261" t="s">
        <v>137</v>
      </c>
      <c r="E115" s="260" t="s">
        <v>141</v>
      </c>
      <c r="F115" s="260" t="s">
        <v>141</v>
      </c>
      <c r="G115" s="279"/>
      <c r="H115" s="278">
        <v>34075</v>
      </c>
      <c r="I115" s="276"/>
    </row>
    <row r="116" spans="1:9" x14ac:dyDescent="0.25">
      <c r="A116" s="264" t="s">
        <v>46</v>
      </c>
      <c r="B116" s="263"/>
      <c r="C116" s="261">
        <v>2</v>
      </c>
      <c r="D116" s="261" t="s">
        <v>137</v>
      </c>
      <c r="E116" s="260" t="s">
        <v>140</v>
      </c>
      <c r="F116" s="260" t="s">
        <v>135</v>
      </c>
      <c r="G116" s="279"/>
      <c r="H116" s="278">
        <v>8961</v>
      </c>
      <c r="I116" s="276"/>
    </row>
    <row r="117" spans="1:9" x14ac:dyDescent="0.25">
      <c r="A117" s="264" t="s">
        <v>46</v>
      </c>
      <c r="B117" s="280"/>
      <c r="C117" s="262"/>
      <c r="D117" s="261"/>
      <c r="E117" s="260"/>
      <c r="F117" s="259" t="s">
        <v>134</v>
      </c>
      <c r="G117" s="258">
        <f>SUM(G115:G116)</f>
        <v>0</v>
      </c>
      <c r="H117" s="257">
        <f>SUM(H115:H116)</f>
        <v>43036</v>
      </c>
      <c r="I117" s="256"/>
    </row>
    <row r="118" spans="1:9" ht="14.25" thickBot="1" x14ac:dyDescent="0.3">
      <c r="A118" s="255" t="s">
        <v>46</v>
      </c>
      <c r="B118" s="248"/>
      <c r="C118" s="253"/>
      <c r="D118" s="252"/>
      <c r="E118" s="251"/>
      <c r="F118" s="250" t="s">
        <v>133</v>
      </c>
      <c r="G118" s="249"/>
      <c r="H118" s="248"/>
      <c r="I118" s="247">
        <f>B114+H117</f>
        <v>556398</v>
      </c>
    </row>
    <row r="119" spans="1:9" x14ac:dyDescent="0.25">
      <c r="A119" s="272" t="s">
        <v>45</v>
      </c>
      <c r="B119" s="282">
        <v>891286</v>
      </c>
      <c r="C119" s="284"/>
      <c r="D119" s="270"/>
      <c r="E119" s="269"/>
      <c r="F119" s="268"/>
      <c r="G119" s="283"/>
      <c r="H119" s="282"/>
      <c r="I119" s="281"/>
    </row>
    <row r="120" spans="1:9" x14ac:dyDescent="0.25">
      <c r="A120" s="264" t="s">
        <v>45</v>
      </c>
      <c r="B120" s="280"/>
      <c r="C120" s="262"/>
      <c r="D120" s="261"/>
      <c r="E120" s="260"/>
      <c r="F120" s="259" t="s">
        <v>134</v>
      </c>
      <c r="G120" s="258">
        <v>0</v>
      </c>
      <c r="H120" s="257">
        <v>0</v>
      </c>
      <c r="I120" s="256"/>
    </row>
    <row r="121" spans="1:9" ht="14.25" thickBot="1" x14ac:dyDescent="0.3">
      <c r="A121" s="255" t="s">
        <v>45</v>
      </c>
      <c r="B121" s="248"/>
      <c r="C121" s="253"/>
      <c r="D121" s="252"/>
      <c r="E121" s="251"/>
      <c r="F121" s="250" t="s">
        <v>133</v>
      </c>
      <c r="G121" s="249"/>
      <c r="H121" s="248"/>
      <c r="I121" s="247">
        <f>B119+H120</f>
        <v>891286</v>
      </c>
    </row>
    <row r="122" spans="1:9" x14ac:dyDescent="0.25">
      <c r="A122" s="272" t="s">
        <v>44</v>
      </c>
      <c r="B122" s="271">
        <v>1247852</v>
      </c>
      <c r="C122" s="284"/>
      <c r="D122" s="270"/>
      <c r="E122" s="269"/>
      <c r="F122" s="268"/>
      <c r="G122" s="283"/>
      <c r="H122" s="282"/>
      <c r="I122" s="281"/>
    </row>
    <row r="123" spans="1:9" x14ac:dyDescent="0.25">
      <c r="A123" s="264" t="s">
        <v>44</v>
      </c>
      <c r="B123" s="263"/>
      <c r="C123" s="261">
        <v>1</v>
      </c>
      <c r="D123" s="261" t="s">
        <v>137</v>
      </c>
      <c r="E123" s="260" t="s">
        <v>140</v>
      </c>
      <c r="F123" s="260" t="s">
        <v>135</v>
      </c>
      <c r="G123" s="279"/>
      <c r="H123" s="278">
        <v>26270</v>
      </c>
      <c r="I123" s="276"/>
    </row>
    <row r="124" spans="1:9" x14ac:dyDescent="0.25">
      <c r="A124" s="264" t="s">
        <v>44</v>
      </c>
      <c r="B124" s="263"/>
      <c r="C124" s="261">
        <v>2</v>
      </c>
      <c r="D124" s="261" t="s">
        <v>137</v>
      </c>
      <c r="E124" s="260" t="s">
        <v>139</v>
      </c>
      <c r="F124" s="260" t="s">
        <v>135</v>
      </c>
      <c r="G124" s="279"/>
      <c r="H124" s="278">
        <v>14600</v>
      </c>
      <c r="I124" s="276"/>
    </row>
    <row r="125" spans="1:9" x14ac:dyDescent="0.25">
      <c r="A125" s="264" t="s">
        <v>44</v>
      </c>
      <c r="B125" s="280"/>
      <c r="C125" s="262"/>
      <c r="D125" s="261"/>
      <c r="E125" s="260"/>
      <c r="F125" s="259" t="s">
        <v>134</v>
      </c>
      <c r="G125" s="258">
        <f>SUM(G123:G124)</f>
        <v>0</v>
      </c>
      <c r="H125" s="257">
        <f>SUM(H123:H124)</f>
        <v>40870</v>
      </c>
      <c r="I125" s="256"/>
    </row>
    <row r="126" spans="1:9" ht="14.25" thickBot="1" x14ac:dyDescent="0.3">
      <c r="A126" s="255" t="s">
        <v>44</v>
      </c>
      <c r="B126" s="248"/>
      <c r="C126" s="253"/>
      <c r="D126" s="252"/>
      <c r="E126" s="251"/>
      <c r="F126" s="250" t="s">
        <v>133</v>
      </c>
      <c r="G126" s="249"/>
      <c r="H126" s="248"/>
      <c r="I126" s="247">
        <f>B122+H125</f>
        <v>1288722</v>
      </c>
    </row>
    <row r="127" spans="1:9" x14ac:dyDescent="0.25">
      <c r="A127" s="272" t="s">
        <v>43</v>
      </c>
      <c r="B127" s="271">
        <v>3558984</v>
      </c>
      <c r="C127" s="270"/>
      <c r="D127" s="270"/>
      <c r="E127" s="269"/>
      <c r="F127" s="268"/>
      <c r="G127" s="267"/>
      <c r="H127" s="266"/>
      <c r="I127" s="265"/>
    </row>
    <row r="128" spans="1:9" x14ac:dyDescent="0.25">
      <c r="A128" s="264" t="s">
        <v>43</v>
      </c>
      <c r="B128" s="263"/>
      <c r="C128" s="261">
        <v>1</v>
      </c>
      <c r="D128" s="261" t="s">
        <v>137</v>
      </c>
      <c r="E128" s="260" t="s">
        <v>174</v>
      </c>
      <c r="F128" s="260" t="s">
        <v>135</v>
      </c>
      <c r="G128" s="279"/>
      <c r="H128" s="278">
        <v>372895</v>
      </c>
      <c r="I128" s="276"/>
    </row>
    <row r="129" spans="1:9" x14ac:dyDescent="0.25">
      <c r="A129" s="264" t="s">
        <v>43</v>
      </c>
      <c r="B129" s="263"/>
      <c r="C129" s="261">
        <v>2</v>
      </c>
      <c r="D129" s="261" t="s">
        <v>137</v>
      </c>
      <c r="E129" s="260" t="s">
        <v>173</v>
      </c>
      <c r="F129" s="260" t="s">
        <v>171</v>
      </c>
      <c r="G129" s="279">
        <v>2</v>
      </c>
      <c r="H129" s="278">
        <v>100000</v>
      </c>
      <c r="I129" s="276"/>
    </row>
    <row r="130" spans="1:9" x14ac:dyDescent="0.25">
      <c r="A130" s="264" t="s">
        <v>43</v>
      </c>
      <c r="B130" s="280"/>
      <c r="C130" s="262"/>
      <c r="D130" s="261"/>
      <c r="E130" s="260"/>
      <c r="F130" s="259" t="s">
        <v>134</v>
      </c>
      <c r="G130" s="258">
        <f>SUM(G128:G129)</f>
        <v>2</v>
      </c>
      <c r="H130" s="257">
        <f>SUM(H128:H129)</f>
        <v>472895</v>
      </c>
      <c r="I130" s="256"/>
    </row>
    <row r="131" spans="1:9" ht="14.25" thickBot="1" x14ac:dyDescent="0.3">
      <c r="A131" s="255" t="s">
        <v>43</v>
      </c>
      <c r="B131" s="248"/>
      <c r="C131" s="253"/>
      <c r="D131" s="252"/>
      <c r="E131" s="251"/>
      <c r="F131" s="250" t="s">
        <v>133</v>
      </c>
      <c r="G131" s="249"/>
      <c r="H131" s="248"/>
      <c r="I131" s="247">
        <f>B127+H130</f>
        <v>4031879</v>
      </c>
    </row>
    <row r="132" spans="1:9" x14ac:dyDescent="0.25">
      <c r="A132" s="292" t="s">
        <v>42</v>
      </c>
      <c r="B132" s="304">
        <v>1933042</v>
      </c>
      <c r="C132" s="290"/>
      <c r="D132" s="290"/>
      <c r="E132" s="289"/>
      <c r="F132" s="303"/>
      <c r="G132" s="302"/>
      <c r="H132" s="301"/>
      <c r="I132" s="300"/>
    </row>
    <row r="133" spans="1:9" x14ac:dyDescent="0.25">
      <c r="A133" s="264" t="s">
        <v>42</v>
      </c>
      <c r="B133" s="263"/>
      <c r="C133" s="261">
        <v>1</v>
      </c>
      <c r="D133" s="261" t="s">
        <v>137</v>
      </c>
      <c r="E133" s="260" t="s">
        <v>140</v>
      </c>
      <c r="F133" s="260" t="s">
        <v>135</v>
      </c>
      <c r="G133" s="279"/>
      <c r="H133" s="278">
        <v>20489</v>
      </c>
      <c r="I133" s="276"/>
    </row>
    <row r="134" spans="1:9" x14ac:dyDescent="0.25">
      <c r="A134" s="264" t="s">
        <v>42</v>
      </c>
      <c r="B134" s="263"/>
      <c r="C134" s="261">
        <v>2</v>
      </c>
      <c r="D134" s="261" t="s">
        <v>137</v>
      </c>
      <c r="E134" s="260" t="s">
        <v>172</v>
      </c>
      <c r="F134" s="260" t="s">
        <v>171</v>
      </c>
      <c r="G134" s="279">
        <v>1.28</v>
      </c>
      <c r="H134" s="278">
        <v>79790</v>
      </c>
      <c r="I134" s="276"/>
    </row>
    <row r="135" spans="1:9" x14ac:dyDescent="0.25">
      <c r="A135" s="264" t="s">
        <v>42</v>
      </c>
      <c r="B135" s="263"/>
      <c r="C135" s="261">
        <v>3</v>
      </c>
      <c r="D135" s="261" t="s">
        <v>137</v>
      </c>
      <c r="E135" s="260" t="s">
        <v>167</v>
      </c>
      <c r="F135" s="260" t="s">
        <v>157</v>
      </c>
      <c r="G135" s="279"/>
      <c r="H135" s="278">
        <v>41902</v>
      </c>
      <c r="I135" s="276"/>
    </row>
    <row r="136" spans="1:9" x14ac:dyDescent="0.25">
      <c r="A136" s="264" t="s">
        <v>42</v>
      </c>
      <c r="B136" s="263"/>
      <c r="C136" s="261">
        <v>4</v>
      </c>
      <c r="D136" s="261" t="s">
        <v>137</v>
      </c>
      <c r="E136" s="260" t="s">
        <v>150</v>
      </c>
      <c r="F136" s="260" t="s">
        <v>157</v>
      </c>
      <c r="G136" s="279"/>
      <c r="H136" s="278">
        <v>15007</v>
      </c>
      <c r="I136" s="276"/>
    </row>
    <row r="137" spans="1:9" x14ac:dyDescent="0.25">
      <c r="A137" s="264" t="s">
        <v>42</v>
      </c>
      <c r="B137" s="263"/>
      <c r="C137" s="261">
        <v>5</v>
      </c>
      <c r="D137" s="261" t="s">
        <v>137</v>
      </c>
      <c r="E137" s="260" t="s">
        <v>147</v>
      </c>
      <c r="F137" s="260" t="s">
        <v>135</v>
      </c>
      <c r="G137" s="279"/>
      <c r="H137" s="278">
        <v>9387</v>
      </c>
      <c r="I137" s="276"/>
    </row>
    <row r="138" spans="1:9" x14ac:dyDescent="0.25">
      <c r="A138" s="264" t="s">
        <v>42</v>
      </c>
      <c r="B138" s="263"/>
      <c r="C138" s="261"/>
      <c r="D138" s="261"/>
      <c r="E138" s="260"/>
      <c r="F138" s="259" t="s">
        <v>134</v>
      </c>
      <c r="G138" s="258">
        <f>SUM(G133:G137)</f>
        <v>1.28</v>
      </c>
      <c r="H138" s="277">
        <f>SUM(H133:H137)</f>
        <v>166575</v>
      </c>
      <c r="I138" s="276"/>
    </row>
    <row r="139" spans="1:9" ht="14.25" thickBot="1" x14ac:dyDescent="0.3">
      <c r="A139" s="299" t="s">
        <v>42</v>
      </c>
      <c r="B139" s="294"/>
      <c r="C139" s="298"/>
      <c r="D139" s="297"/>
      <c r="E139" s="296"/>
      <c r="F139" s="250" t="s">
        <v>133</v>
      </c>
      <c r="G139" s="295"/>
      <c r="H139" s="294"/>
      <c r="I139" s="293">
        <f>B132+H138</f>
        <v>2099617</v>
      </c>
    </row>
    <row r="140" spans="1:9" x14ac:dyDescent="0.25">
      <c r="A140" s="272" t="s">
        <v>41</v>
      </c>
      <c r="B140" s="282">
        <v>30277675</v>
      </c>
      <c r="C140" s="284"/>
      <c r="D140" s="270"/>
      <c r="E140" s="269"/>
      <c r="F140" s="268"/>
      <c r="G140" s="283"/>
      <c r="H140" s="282"/>
      <c r="I140" s="281"/>
    </row>
    <row r="141" spans="1:9" x14ac:dyDescent="0.25">
      <c r="A141" s="264" t="s">
        <v>41</v>
      </c>
      <c r="B141" s="263"/>
      <c r="C141" s="261">
        <v>1</v>
      </c>
      <c r="D141" s="261" t="s">
        <v>137</v>
      </c>
      <c r="E141" s="260" t="s">
        <v>140</v>
      </c>
      <c r="F141" s="260" t="s">
        <v>135</v>
      </c>
      <c r="G141" s="279"/>
      <c r="H141" s="278">
        <v>310709</v>
      </c>
      <c r="I141" s="276"/>
    </row>
    <row r="142" spans="1:9" x14ac:dyDescent="0.25">
      <c r="A142" s="264" t="s">
        <v>41</v>
      </c>
      <c r="B142" s="263"/>
      <c r="C142" s="261">
        <v>2</v>
      </c>
      <c r="D142" s="261" t="s">
        <v>137</v>
      </c>
      <c r="E142" s="260" t="s">
        <v>139</v>
      </c>
      <c r="F142" s="260" t="s">
        <v>135</v>
      </c>
      <c r="G142" s="279"/>
      <c r="H142" s="278">
        <v>368730</v>
      </c>
      <c r="I142" s="276"/>
    </row>
    <row r="143" spans="1:9" x14ac:dyDescent="0.25">
      <c r="A143" s="264" t="s">
        <v>41</v>
      </c>
      <c r="B143" s="263"/>
      <c r="C143" s="261">
        <v>3</v>
      </c>
      <c r="D143" s="261" t="s">
        <v>137</v>
      </c>
      <c r="E143" s="260" t="s">
        <v>147</v>
      </c>
      <c r="F143" s="260" t="s">
        <v>135</v>
      </c>
      <c r="G143" s="279"/>
      <c r="H143" s="278">
        <v>130617</v>
      </c>
      <c r="I143" s="276"/>
    </row>
    <row r="144" spans="1:9" x14ac:dyDescent="0.25">
      <c r="A144" s="264" t="s">
        <v>41</v>
      </c>
      <c r="B144" s="263"/>
      <c r="C144" s="261">
        <v>4</v>
      </c>
      <c r="D144" s="261" t="s">
        <v>137</v>
      </c>
      <c r="E144" s="260" t="s">
        <v>170</v>
      </c>
      <c r="F144" s="260" t="s">
        <v>157</v>
      </c>
      <c r="G144" s="279"/>
      <c r="H144" s="278">
        <v>40349</v>
      </c>
      <c r="I144" s="276"/>
    </row>
    <row r="145" spans="1:9" x14ac:dyDescent="0.25">
      <c r="A145" s="264" t="s">
        <v>41</v>
      </c>
      <c r="B145" s="280"/>
      <c r="C145" s="262"/>
      <c r="D145" s="261"/>
      <c r="E145" s="260"/>
      <c r="F145" s="259" t="s">
        <v>134</v>
      </c>
      <c r="G145" s="258">
        <f>SUM(G141:G144)</f>
        <v>0</v>
      </c>
      <c r="H145" s="257">
        <f>SUM(H141:H144)</f>
        <v>850405</v>
      </c>
      <c r="I145" s="256"/>
    </row>
    <row r="146" spans="1:9" ht="14.25" thickBot="1" x14ac:dyDescent="0.3">
      <c r="A146" s="255" t="s">
        <v>41</v>
      </c>
      <c r="B146" s="248"/>
      <c r="C146" s="253"/>
      <c r="D146" s="252"/>
      <c r="E146" s="251"/>
      <c r="F146" s="250" t="s">
        <v>133</v>
      </c>
      <c r="G146" s="249"/>
      <c r="H146" s="248"/>
      <c r="I146" s="247">
        <f>B140+H145</f>
        <v>31128080</v>
      </c>
    </row>
    <row r="147" spans="1:9" x14ac:dyDescent="0.25">
      <c r="A147" s="272" t="s">
        <v>40</v>
      </c>
      <c r="B147" s="271">
        <v>573996</v>
      </c>
      <c r="C147" s="270"/>
      <c r="D147" s="270"/>
      <c r="E147" s="269"/>
      <c r="F147" s="268"/>
      <c r="G147" s="267"/>
      <c r="H147" s="266"/>
      <c r="I147" s="265"/>
    </row>
    <row r="148" spans="1:9" x14ac:dyDescent="0.25">
      <c r="A148" s="264" t="s">
        <v>40</v>
      </c>
      <c r="B148" s="263"/>
      <c r="C148" s="261">
        <v>1</v>
      </c>
      <c r="D148" s="261" t="s">
        <v>137</v>
      </c>
      <c r="E148" s="260" t="s">
        <v>140</v>
      </c>
      <c r="F148" s="260" t="s">
        <v>135</v>
      </c>
      <c r="G148" s="279"/>
      <c r="H148" s="278">
        <v>6307</v>
      </c>
      <c r="I148" s="276"/>
    </row>
    <row r="149" spans="1:9" x14ac:dyDescent="0.25">
      <c r="A149" s="264" t="s">
        <v>40</v>
      </c>
      <c r="B149" s="280"/>
      <c r="C149" s="262"/>
      <c r="D149" s="261"/>
      <c r="E149" s="260"/>
      <c r="F149" s="259" t="s">
        <v>134</v>
      </c>
      <c r="G149" s="258">
        <f>SUM(G148)</f>
        <v>0</v>
      </c>
      <c r="H149" s="257">
        <f>SUM(H148)</f>
        <v>6307</v>
      </c>
      <c r="I149" s="256"/>
    </row>
    <row r="150" spans="1:9" ht="14.25" thickBot="1" x14ac:dyDescent="0.3">
      <c r="A150" s="255" t="s">
        <v>40</v>
      </c>
      <c r="B150" s="248"/>
      <c r="C150" s="253"/>
      <c r="D150" s="252"/>
      <c r="E150" s="251"/>
      <c r="F150" s="250" t="s">
        <v>133</v>
      </c>
      <c r="G150" s="249"/>
      <c r="H150" s="248"/>
      <c r="I150" s="247">
        <f>B147+H149</f>
        <v>580303</v>
      </c>
    </row>
    <row r="151" spans="1:9" x14ac:dyDescent="0.25">
      <c r="A151" s="272" t="s">
        <v>39</v>
      </c>
      <c r="B151" s="282">
        <v>3178001</v>
      </c>
      <c r="C151" s="284"/>
      <c r="D151" s="270"/>
      <c r="E151" s="269"/>
      <c r="F151" s="268"/>
      <c r="G151" s="283"/>
      <c r="H151" s="282"/>
      <c r="I151" s="281"/>
    </row>
    <row r="152" spans="1:9" x14ac:dyDescent="0.25">
      <c r="A152" s="264" t="s">
        <v>39</v>
      </c>
      <c r="B152" s="280"/>
      <c r="C152" s="262"/>
      <c r="D152" s="261"/>
      <c r="E152" s="260"/>
      <c r="F152" s="259" t="s">
        <v>134</v>
      </c>
      <c r="G152" s="258">
        <v>0</v>
      </c>
      <c r="H152" s="257">
        <v>0</v>
      </c>
      <c r="I152" s="256"/>
    </row>
    <row r="153" spans="1:9" ht="14.25" thickBot="1" x14ac:dyDescent="0.3">
      <c r="A153" s="255" t="s">
        <v>39</v>
      </c>
      <c r="B153" s="248"/>
      <c r="C153" s="253"/>
      <c r="D153" s="252"/>
      <c r="E153" s="251"/>
      <c r="F153" s="250" t="s">
        <v>133</v>
      </c>
      <c r="G153" s="249"/>
      <c r="H153" s="248"/>
      <c r="I153" s="247">
        <f>B151+H152</f>
        <v>3178001</v>
      </c>
    </row>
    <row r="154" spans="1:9" x14ac:dyDescent="0.25">
      <c r="A154" s="272" t="s">
        <v>38</v>
      </c>
      <c r="B154" s="271">
        <v>1076999</v>
      </c>
      <c r="C154" s="270"/>
      <c r="D154" s="270"/>
      <c r="E154" s="269"/>
      <c r="F154" s="268"/>
      <c r="G154" s="267"/>
      <c r="H154" s="266"/>
      <c r="I154" s="265"/>
    </row>
    <row r="155" spans="1:9" x14ac:dyDescent="0.25">
      <c r="A155" s="264" t="s">
        <v>38</v>
      </c>
      <c r="B155" s="263"/>
      <c r="C155" s="261">
        <v>1</v>
      </c>
      <c r="D155" s="261" t="s">
        <v>137</v>
      </c>
      <c r="E155" s="260" t="s">
        <v>140</v>
      </c>
      <c r="F155" s="260" t="s">
        <v>135</v>
      </c>
      <c r="G155" s="279"/>
      <c r="H155" s="278">
        <v>11440</v>
      </c>
      <c r="I155" s="276"/>
    </row>
    <row r="156" spans="1:9" x14ac:dyDescent="0.25">
      <c r="A156" s="264" t="s">
        <v>38</v>
      </c>
      <c r="B156" s="280"/>
      <c r="C156" s="262"/>
      <c r="D156" s="261"/>
      <c r="E156" s="260"/>
      <c r="F156" s="259" t="s">
        <v>134</v>
      </c>
      <c r="G156" s="258">
        <f>SUM(G155)</f>
        <v>0</v>
      </c>
      <c r="H156" s="257">
        <f>SUM(H155)</f>
        <v>11440</v>
      </c>
      <c r="I156" s="256"/>
    </row>
    <row r="157" spans="1:9" ht="14.25" thickBot="1" x14ac:dyDescent="0.3">
      <c r="A157" s="255" t="s">
        <v>38</v>
      </c>
      <c r="B157" s="248"/>
      <c r="C157" s="253"/>
      <c r="D157" s="252"/>
      <c r="E157" s="251"/>
      <c r="F157" s="250" t="s">
        <v>133</v>
      </c>
      <c r="G157" s="249"/>
      <c r="H157" s="248"/>
      <c r="I157" s="247">
        <f>B154+H156</f>
        <v>1088439</v>
      </c>
    </row>
    <row r="158" spans="1:9" x14ac:dyDescent="0.25">
      <c r="A158" s="292" t="s">
        <v>37</v>
      </c>
      <c r="B158" s="304">
        <v>507087</v>
      </c>
      <c r="C158" s="290"/>
      <c r="D158" s="290"/>
      <c r="E158" s="289"/>
      <c r="F158" s="303"/>
      <c r="G158" s="302"/>
      <c r="H158" s="301"/>
      <c r="I158" s="300"/>
    </row>
    <row r="159" spans="1:9" x14ac:dyDescent="0.25">
      <c r="A159" s="264" t="s">
        <v>37</v>
      </c>
      <c r="B159" s="263"/>
      <c r="C159" s="261">
        <v>1</v>
      </c>
      <c r="D159" s="261" t="s">
        <v>137</v>
      </c>
      <c r="E159" s="260" t="s">
        <v>140</v>
      </c>
      <c r="F159" s="260" t="s">
        <v>135</v>
      </c>
      <c r="G159" s="279"/>
      <c r="H159" s="278">
        <v>5058</v>
      </c>
      <c r="I159" s="276"/>
    </row>
    <row r="160" spans="1:9" x14ac:dyDescent="0.25">
      <c r="A160" s="264" t="s">
        <v>37</v>
      </c>
      <c r="B160" s="280"/>
      <c r="C160" s="262"/>
      <c r="D160" s="261"/>
      <c r="E160" s="260"/>
      <c r="F160" s="259" t="s">
        <v>134</v>
      </c>
      <c r="G160" s="258">
        <f>SUM(G159)</f>
        <v>0</v>
      </c>
      <c r="H160" s="257">
        <f>SUM(H159)</f>
        <v>5058</v>
      </c>
      <c r="I160" s="256"/>
    </row>
    <row r="161" spans="1:9" ht="14.25" thickBot="1" x14ac:dyDescent="0.3">
      <c r="A161" s="264" t="s">
        <v>37</v>
      </c>
      <c r="B161" s="248"/>
      <c r="C161" s="253"/>
      <c r="D161" s="252"/>
      <c r="E161" s="251"/>
      <c r="F161" s="250" t="s">
        <v>133</v>
      </c>
      <c r="G161" s="249"/>
      <c r="H161" s="248"/>
      <c r="I161" s="247">
        <f>B158+H160</f>
        <v>512145</v>
      </c>
    </row>
    <row r="162" spans="1:9" x14ac:dyDescent="0.25">
      <c r="A162" s="272" t="s">
        <v>36</v>
      </c>
      <c r="B162" s="282">
        <v>302280</v>
      </c>
      <c r="C162" s="284"/>
      <c r="D162" s="270"/>
      <c r="E162" s="269"/>
      <c r="F162" s="268"/>
      <c r="G162" s="283"/>
      <c r="H162" s="282"/>
      <c r="I162" s="281"/>
    </row>
    <row r="163" spans="1:9" x14ac:dyDescent="0.25">
      <c r="A163" s="264" t="s">
        <v>36</v>
      </c>
      <c r="B163" s="280"/>
      <c r="C163" s="262"/>
      <c r="D163" s="261"/>
      <c r="E163" s="260"/>
      <c r="F163" s="259" t="s">
        <v>134</v>
      </c>
      <c r="G163" s="258">
        <v>0</v>
      </c>
      <c r="H163" s="257">
        <v>0</v>
      </c>
      <c r="I163" s="256"/>
    </row>
    <row r="164" spans="1:9" ht="14.25" thickBot="1" x14ac:dyDescent="0.3">
      <c r="A164" s="255" t="s">
        <v>36</v>
      </c>
      <c r="B164" s="248"/>
      <c r="C164" s="253"/>
      <c r="D164" s="252"/>
      <c r="E164" s="251"/>
      <c r="F164" s="250" t="s">
        <v>133</v>
      </c>
      <c r="G164" s="249"/>
      <c r="H164" s="248"/>
      <c r="I164" s="247">
        <f>B162+H163</f>
        <v>302280</v>
      </c>
    </row>
    <row r="165" spans="1:9" x14ac:dyDescent="0.25">
      <c r="A165" s="272" t="s">
        <v>35</v>
      </c>
      <c r="B165" s="271">
        <v>6389295</v>
      </c>
      <c r="C165" s="270"/>
      <c r="D165" s="270"/>
      <c r="E165" s="269"/>
      <c r="F165" s="268"/>
      <c r="G165" s="267"/>
      <c r="H165" s="266"/>
      <c r="I165" s="265"/>
    </row>
    <row r="166" spans="1:9" x14ac:dyDescent="0.25">
      <c r="A166" s="264" t="s">
        <v>35</v>
      </c>
      <c r="B166" s="263"/>
      <c r="C166" s="261">
        <v>1</v>
      </c>
      <c r="D166" s="261" t="s">
        <v>137</v>
      </c>
      <c r="E166" s="260" t="s">
        <v>140</v>
      </c>
      <c r="F166" s="260" t="s">
        <v>135</v>
      </c>
      <c r="G166" s="279"/>
      <c r="H166" s="278">
        <v>73241</v>
      </c>
      <c r="I166" s="276"/>
    </row>
    <row r="167" spans="1:9" x14ac:dyDescent="0.25">
      <c r="A167" s="264" t="s">
        <v>35</v>
      </c>
      <c r="B167" s="263"/>
      <c r="C167" s="261">
        <v>2</v>
      </c>
      <c r="D167" s="261" t="s">
        <v>137</v>
      </c>
      <c r="E167" s="260" t="s">
        <v>169</v>
      </c>
      <c r="F167" s="260" t="s">
        <v>135</v>
      </c>
      <c r="G167" s="279"/>
      <c r="H167" s="278">
        <v>164639</v>
      </c>
      <c r="I167" s="276"/>
    </row>
    <row r="168" spans="1:9" x14ac:dyDescent="0.25">
      <c r="A168" s="264" t="s">
        <v>35</v>
      </c>
      <c r="B168" s="263"/>
      <c r="C168" s="261">
        <v>3</v>
      </c>
      <c r="D168" s="261" t="s">
        <v>137</v>
      </c>
      <c r="E168" s="260" t="s">
        <v>138</v>
      </c>
      <c r="F168" s="260" t="s">
        <v>152</v>
      </c>
      <c r="G168" s="279">
        <v>3</v>
      </c>
      <c r="H168" s="278">
        <v>115365</v>
      </c>
      <c r="I168" s="276"/>
    </row>
    <row r="169" spans="1:9" x14ac:dyDescent="0.25">
      <c r="A169" s="264" t="s">
        <v>35</v>
      </c>
      <c r="B169" s="263"/>
      <c r="C169" s="261">
        <v>4</v>
      </c>
      <c r="D169" s="261" t="s">
        <v>137</v>
      </c>
      <c r="E169" s="260" t="s">
        <v>168</v>
      </c>
      <c r="F169" s="260" t="s">
        <v>152</v>
      </c>
      <c r="G169" s="279">
        <v>2</v>
      </c>
      <c r="H169" s="278">
        <v>76910</v>
      </c>
      <c r="I169" s="276"/>
    </row>
    <row r="170" spans="1:9" x14ac:dyDescent="0.25">
      <c r="A170" s="264" t="s">
        <v>35</v>
      </c>
      <c r="B170" s="280"/>
      <c r="C170" s="262"/>
      <c r="D170" s="261"/>
      <c r="E170" s="260"/>
      <c r="F170" s="259" t="s">
        <v>134</v>
      </c>
      <c r="G170" s="258">
        <f>SUM(G166:G169)</f>
        <v>5</v>
      </c>
      <c r="H170" s="257">
        <f>SUM(H166:H169)</f>
        <v>430155</v>
      </c>
      <c r="I170" s="256"/>
    </row>
    <row r="171" spans="1:9" ht="14.25" thickBot="1" x14ac:dyDescent="0.3">
      <c r="A171" s="255" t="s">
        <v>35</v>
      </c>
      <c r="B171" s="248"/>
      <c r="C171" s="253"/>
      <c r="D171" s="252"/>
      <c r="E171" s="251"/>
      <c r="F171" s="250" t="s">
        <v>133</v>
      </c>
      <c r="G171" s="249"/>
      <c r="H171" s="248"/>
      <c r="I171" s="247">
        <f>B165+H170</f>
        <v>6819450</v>
      </c>
    </row>
    <row r="172" spans="1:9" x14ac:dyDescent="0.25">
      <c r="A172" s="272" t="s">
        <v>34</v>
      </c>
      <c r="B172" s="271">
        <v>11828688</v>
      </c>
      <c r="C172" s="270"/>
      <c r="D172" s="270"/>
      <c r="E172" s="269"/>
      <c r="F172" s="268"/>
      <c r="G172" s="267"/>
      <c r="H172" s="266"/>
      <c r="I172" s="265"/>
    </row>
    <row r="173" spans="1:9" x14ac:dyDescent="0.25">
      <c r="A173" s="264" t="s">
        <v>34</v>
      </c>
      <c r="B173" s="263"/>
      <c r="C173" s="261">
        <v>1</v>
      </c>
      <c r="D173" s="261" t="s">
        <v>137</v>
      </c>
      <c r="E173" s="260" t="s">
        <v>140</v>
      </c>
      <c r="F173" s="260" t="s">
        <v>135</v>
      </c>
      <c r="G173" s="279"/>
      <c r="H173" s="278">
        <v>335887</v>
      </c>
      <c r="I173" s="276"/>
    </row>
    <row r="174" spans="1:9" x14ac:dyDescent="0.25">
      <c r="A174" s="264" t="s">
        <v>34</v>
      </c>
      <c r="B174" s="263"/>
      <c r="C174" s="261">
        <v>2</v>
      </c>
      <c r="D174" s="261" t="s">
        <v>137</v>
      </c>
      <c r="E174" s="260" t="s">
        <v>167</v>
      </c>
      <c r="F174" s="260" t="s">
        <v>166</v>
      </c>
      <c r="G174" s="279">
        <v>0.5</v>
      </c>
      <c r="H174" s="278">
        <v>50000</v>
      </c>
      <c r="I174" s="276"/>
    </row>
    <row r="175" spans="1:9" x14ac:dyDescent="0.25">
      <c r="A175" s="264" t="s">
        <v>34</v>
      </c>
      <c r="B175" s="263"/>
      <c r="C175" s="261">
        <v>3</v>
      </c>
      <c r="D175" s="261" t="s">
        <v>137</v>
      </c>
      <c r="E175" s="260" t="s">
        <v>138</v>
      </c>
      <c r="F175" s="260" t="s">
        <v>152</v>
      </c>
      <c r="G175" s="279"/>
      <c r="H175" s="278">
        <v>15000</v>
      </c>
      <c r="I175" s="276"/>
    </row>
    <row r="176" spans="1:9" x14ac:dyDescent="0.25">
      <c r="A176" s="264" t="s">
        <v>34</v>
      </c>
      <c r="B176" s="263"/>
      <c r="C176" s="261">
        <v>4</v>
      </c>
      <c r="D176" s="261" t="s">
        <v>137</v>
      </c>
      <c r="E176" s="260" t="s">
        <v>163</v>
      </c>
      <c r="F176" s="260" t="s">
        <v>166</v>
      </c>
      <c r="G176" s="279">
        <v>1</v>
      </c>
      <c r="H176" s="278">
        <v>75000</v>
      </c>
      <c r="I176" s="276"/>
    </row>
    <row r="177" spans="1:9" x14ac:dyDescent="0.25">
      <c r="A177" s="264" t="s">
        <v>34</v>
      </c>
      <c r="B177" s="263"/>
      <c r="C177" s="261">
        <v>5</v>
      </c>
      <c r="D177" s="261" t="s">
        <v>137</v>
      </c>
      <c r="E177" s="260" t="s">
        <v>165</v>
      </c>
      <c r="F177" s="260" t="s">
        <v>164</v>
      </c>
      <c r="G177" s="279">
        <v>1</v>
      </c>
      <c r="H177" s="278">
        <v>75000</v>
      </c>
      <c r="I177" s="276"/>
    </row>
    <row r="178" spans="1:9" x14ac:dyDescent="0.25">
      <c r="A178" s="264" t="s">
        <v>34</v>
      </c>
      <c r="B178" s="263"/>
      <c r="C178" s="261"/>
      <c r="D178" s="261"/>
      <c r="E178" s="260"/>
      <c r="F178" s="259" t="s">
        <v>134</v>
      </c>
      <c r="G178" s="258">
        <f>SUM(G173:G177)</f>
        <v>2.5</v>
      </c>
      <c r="H178" s="277">
        <f>SUM(H173:H177)</f>
        <v>550887</v>
      </c>
      <c r="I178" s="276"/>
    </row>
    <row r="179" spans="1:9" ht="14.25" thickBot="1" x14ac:dyDescent="0.3">
      <c r="A179" s="255" t="s">
        <v>34</v>
      </c>
      <c r="B179" s="248"/>
      <c r="C179" s="253"/>
      <c r="D179" s="252"/>
      <c r="E179" s="251"/>
      <c r="F179" s="250" t="s">
        <v>133</v>
      </c>
      <c r="G179" s="249"/>
      <c r="H179" s="248"/>
      <c r="I179" s="247">
        <f>B172+H178</f>
        <v>12379575</v>
      </c>
    </row>
    <row r="180" spans="1:9" x14ac:dyDescent="0.25">
      <c r="A180" s="272" t="s">
        <v>33</v>
      </c>
      <c r="B180" s="271">
        <v>6176165</v>
      </c>
      <c r="C180" s="270"/>
      <c r="D180" s="270"/>
      <c r="E180" s="269"/>
      <c r="F180" s="268"/>
      <c r="G180" s="267"/>
      <c r="H180" s="266"/>
      <c r="I180" s="265"/>
    </row>
    <row r="181" spans="1:9" x14ac:dyDescent="0.25">
      <c r="A181" s="264" t="s">
        <v>33</v>
      </c>
      <c r="B181" s="263"/>
      <c r="C181" s="261">
        <v>1</v>
      </c>
      <c r="D181" s="261" t="s">
        <v>137</v>
      </c>
      <c r="E181" s="260" t="s">
        <v>163</v>
      </c>
      <c r="F181" s="260" t="s">
        <v>162</v>
      </c>
      <c r="G181" s="279">
        <v>0.15</v>
      </c>
      <c r="H181" s="278">
        <v>10534</v>
      </c>
      <c r="I181" s="276"/>
    </row>
    <row r="182" spans="1:9" x14ac:dyDescent="0.25">
      <c r="A182" s="264" t="s">
        <v>33</v>
      </c>
      <c r="B182" s="280"/>
      <c r="C182" s="262"/>
      <c r="D182" s="261"/>
      <c r="E182" s="260"/>
      <c r="F182" s="259" t="s">
        <v>134</v>
      </c>
      <c r="G182" s="258">
        <f>SUM(G181)</f>
        <v>0.15</v>
      </c>
      <c r="H182" s="257">
        <f>SUM(H181)</f>
        <v>10534</v>
      </c>
      <c r="I182" s="256"/>
    </row>
    <row r="183" spans="1:9" ht="14.25" thickBot="1" x14ac:dyDescent="0.3">
      <c r="A183" s="255" t="s">
        <v>33</v>
      </c>
      <c r="B183" s="248"/>
      <c r="C183" s="253"/>
      <c r="D183" s="252"/>
      <c r="E183" s="251"/>
      <c r="F183" s="250" t="s">
        <v>133</v>
      </c>
      <c r="G183" s="249"/>
      <c r="H183" s="248"/>
      <c r="I183" s="247">
        <f>B180+H182</f>
        <v>6186699</v>
      </c>
    </row>
    <row r="184" spans="1:9" x14ac:dyDescent="0.25">
      <c r="A184" s="272" t="s">
        <v>32</v>
      </c>
      <c r="B184" s="271">
        <v>1096073</v>
      </c>
      <c r="C184" s="270"/>
      <c r="D184" s="270"/>
      <c r="E184" s="269"/>
      <c r="F184" s="268"/>
      <c r="G184" s="267"/>
      <c r="H184" s="266"/>
      <c r="I184" s="265"/>
    </row>
    <row r="185" spans="1:9" x14ac:dyDescent="0.25">
      <c r="A185" s="264" t="s">
        <v>32</v>
      </c>
      <c r="B185" s="263"/>
      <c r="C185" s="261">
        <v>1</v>
      </c>
      <c r="D185" s="261" t="s">
        <v>137</v>
      </c>
      <c r="E185" s="260" t="s">
        <v>135</v>
      </c>
      <c r="F185" s="260" t="s">
        <v>135</v>
      </c>
      <c r="G185" s="279"/>
      <c r="H185" s="278">
        <v>23000</v>
      </c>
      <c r="I185" s="276"/>
    </row>
    <row r="186" spans="1:9" x14ac:dyDescent="0.25">
      <c r="A186" s="264" t="s">
        <v>32</v>
      </c>
      <c r="B186" s="280"/>
      <c r="C186" s="262"/>
      <c r="D186" s="261"/>
      <c r="E186" s="260"/>
      <c r="F186" s="259" t="s">
        <v>134</v>
      </c>
      <c r="G186" s="258">
        <f>SUM(G185)</f>
        <v>0</v>
      </c>
      <c r="H186" s="257">
        <f>SUM(H185)</f>
        <v>23000</v>
      </c>
      <c r="I186" s="256"/>
    </row>
    <row r="187" spans="1:9" ht="14.25" thickBot="1" x14ac:dyDescent="0.3">
      <c r="A187" s="255" t="s">
        <v>32</v>
      </c>
      <c r="B187" s="248"/>
      <c r="C187" s="253"/>
      <c r="D187" s="252"/>
      <c r="E187" s="251"/>
      <c r="F187" s="250" t="s">
        <v>133</v>
      </c>
      <c r="G187" s="249"/>
      <c r="H187" s="248"/>
      <c r="I187" s="247">
        <f>B184+H186</f>
        <v>1119073</v>
      </c>
    </row>
    <row r="188" spans="1:9" x14ac:dyDescent="0.25">
      <c r="A188" s="272" t="s">
        <v>31</v>
      </c>
      <c r="B188" s="271">
        <v>299037</v>
      </c>
      <c r="C188" s="270"/>
      <c r="D188" s="270"/>
      <c r="E188" s="269"/>
      <c r="F188" s="268"/>
      <c r="G188" s="267"/>
      <c r="H188" s="266"/>
      <c r="I188" s="265"/>
    </row>
    <row r="189" spans="1:9" x14ac:dyDescent="0.25">
      <c r="A189" s="264" t="s">
        <v>31</v>
      </c>
      <c r="B189" s="263"/>
      <c r="C189" s="261">
        <v>1</v>
      </c>
      <c r="D189" s="261" t="s">
        <v>155</v>
      </c>
      <c r="E189" s="260" t="s">
        <v>161</v>
      </c>
      <c r="F189" s="260" t="s">
        <v>135</v>
      </c>
      <c r="G189" s="279"/>
      <c r="H189" s="278">
        <v>8349</v>
      </c>
      <c r="I189" s="276"/>
    </row>
    <row r="190" spans="1:9" x14ac:dyDescent="0.25">
      <c r="A190" s="264" t="s">
        <v>31</v>
      </c>
      <c r="B190" s="263"/>
      <c r="C190" s="261">
        <v>2</v>
      </c>
      <c r="D190" s="261" t="s">
        <v>137</v>
      </c>
      <c r="E190" s="260" t="s">
        <v>140</v>
      </c>
      <c r="F190" s="260" t="s">
        <v>135</v>
      </c>
      <c r="G190" s="279"/>
      <c r="H190" s="278">
        <v>3294</v>
      </c>
      <c r="I190" s="276"/>
    </row>
    <row r="191" spans="1:9" x14ac:dyDescent="0.25">
      <c r="A191" s="264" t="s">
        <v>31</v>
      </c>
      <c r="B191" s="263"/>
      <c r="C191" s="261">
        <v>3</v>
      </c>
      <c r="D191" s="261" t="s">
        <v>137</v>
      </c>
      <c r="E191" s="260" t="s">
        <v>160</v>
      </c>
      <c r="F191" s="260" t="s">
        <v>135</v>
      </c>
      <c r="G191" s="279"/>
      <c r="H191" s="278">
        <v>3582</v>
      </c>
      <c r="I191" s="276"/>
    </row>
    <row r="192" spans="1:9" x14ac:dyDescent="0.25">
      <c r="A192" s="264" t="s">
        <v>31</v>
      </c>
      <c r="B192" s="263"/>
      <c r="C192" s="261">
        <v>4</v>
      </c>
      <c r="D192" s="261" t="s">
        <v>137</v>
      </c>
      <c r="E192" s="260" t="s">
        <v>139</v>
      </c>
      <c r="F192" s="260" t="s">
        <v>135</v>
      </c>
      <c r="G192" s="279"/>
      <c r="H192" s="278">
        <v>3440</v>
      </c>
      <c r="I192" s="276"/>
    </row>
    <row r="193" spans="1:9" x14ac:dyDescent="0.25">
      <c r="A193" s="264" t="s">
        <v>31</v>
      </c>
      <c r="B193" s="263"/>
      <c r="C193" s="261">
        <v>5</v>
      </c>
      <c r="D193" s="261" t="s">
        <v>137</v>
      </c>
      <c r="E193" s="260" t="s">
        <v>148</v>
      </c>
      <c r="F193" s="260" t="s">
        <v>135</v>
      </c>
      <c r="G193" s="279"/>
      <c r="H193" s="278">
        <v>6921</v>
      </c>
      <c r="I193" s="276"/>
    </row>
    <row r="194" spans="1:9" x14ac:dyDescent="0.25">
      <c r="A194" s="264" t="s">
        <v>31</v>
      </c>
      <c r="B194" s="263"/>
      <c r="C194" s="261"/>
      <c r="D194" s="261"/>
      <c r="E194" s="260"/>
      <c r="F194" s="259" t="s">
        <v>134</v>
      </c>
      <c r="G194" s="258">
        <f>SUM(G189:G193)</f>
        <v>0</v>
      </c>
      <c r="H194" s="277">
        <f>SUM(H189:H193)</f>
        <v>25586</v>
      </c>
      <c r="I194" s="276"/>
    </row>
    <row r="195" spans="1:9" ht="14.25" thickBot="1" x14ac:dyDescent="0.3">
      <c r="A195" s="255" t="s">
        <v>31</v>
      </c>
      <c r="B195" s="248"/>
      <c r="C195" s="253"/>
      <c r="D195" s="252"/>
      <c r="E195" s="251"/>
      <c r="F195" s="250" t="s">
        <v>133</v>
      </c>
      <c r="G195" s="249"/>
      <c r="H195" s="248"/>
      <c r="I195" s="247">
        <f>B188+H194</f>
        <v>324623</v>
      </c>
    </row>
    <row r="196" spans="1:9" x14ac:dyDescent="0.25">
      <c r="A196" s="272" t="s">
        <v>30</v>
      </c>
      <c r="B196" s="271">
        <v>548606</v>
      </c>
      <c r="C196" s="270"/>
      <c r="D196" s="270"/>
      <c r="E196" s="269"/>
      <c r="F196" s="268"/>
      <c r="G196" s="267"/>
      <c r="H196" s="266"/>
      <c r="I196" s="265"/>
    </row>
    <row r="197" spans="1:9" x14ac:dyDescent="0.25">
      <c r="A197" s="264" t="s">
        <v>30</v>
      </c>
      <c r="B197" s="263"/>
      <c r="C197" s="261">
        <v>1</v>
      </c>
      <c r="D197" s="261" t="s">
        <v>155</v>
      </c>
      <c r="E197" s="260" t="s">
        <v>159</v>
      </c>
      <c r="F197" s="260" t="s">
        <v>153</v>
      </c>
      <c r="G197" s="279">
        <v>1</v>
      </c>
      <c r="H197" s="278">
        <v>40590</v>
      </c>
      <c r="I197" s="276"/>
    </row>
    <row r="198" spans="1:9" x14ac:dyDescent="0.25">
      <c r="A198" s="264" t="s">
        <v>30</v>
      </c>
      <c r="B198" s="263"/>
      <c r="C198" s="261">
        <v>2</v>
      </c>
      <c r="D198" s="261" t="s">
        <v>137</v>
      </c>
      <c r="E198" s="260" t="s">
        <v>138</v>
      </c>
      <c r="F198" s="260" t="s">
        <v>152</v>
      </c>
      <c r="G198" s="279">
        <v>0.99999999999999989</v>
      </c>
      <c r="H198" s="278">
        <v>40590</v>
      </c>
      <c r="I198" s="276"/>
    </row>
    <row r="199" spans="1:9" x14ac:dyDescent="0.25">
      <c r="A199" s="264" t="s">
        <v>30</v>
      </c>
      <c r="B199" s="263"/>
      <c r="C199" s="261">
        <v>3</v>
      </c>
      <c r="D199" s="261" t="s">
        <v>137</v>
      </c>
      <c r="E199" s="260" t="s">
        <v>158</v>
      </c>
      <c r="F199" s="260" t="s">
        <v>135</v>
      </c>
      <c r="G199" s="279"/>
      <c r="H199" s="278">
        <v>4910</v>
      </c>
      <c r="I199" s="276"/>
    </row>
    <row r="200" spans="1:9" x14ac:dyDescent="0.25">
      <c r="A200" s="264" t="s">
        <v>30</v>
      </c>
      <c r="B200" s="280"/>
      <c r="C200" s="262"/>
      <c r="D200" s="261"/>
      <c r="E200" s="260"/>
      <c r="F200" s="259" t="s">
        <v>134</v>
      </c>
      <c r="G200" s="258">
        <f>SUM(G197:G199)</f>
        <v>2</v>
      </c>
      <c r="H200" s="257">
        <f>SUM(H197:H199)</f>
        <v>86090</v>
      </c>
      <c r="I200" s="256"/>
    </row>
    <row r="201" spans="1:9" ht="14.25" thickBot="1" x14ac:dyDescent="0.3">
      <c r="A201" s="255" t="s">
        <v>30</v>
      </c>
      <c r="B201" s="248"/>
      <c r="C201" s="253"/>
      <c r="D201" s="252"/>
      <c r="E201" s="251"/>
      <c r="F201" s="250" t="s">
        <v>133</v>
      </c>
      <c r="G201" s="249"/>
      <c r="H201" s="248"/>
      <c r="I201" s="247">
        <f>B196+H200</f>
        <v>634696</v>
      </c>
    </row>
    <row r="202" spans="1:9" x14ac:dyDescent="0.25">
      <c r="A202" s="272" t="s">
        <v>29</v>
      </c>
      <c r="B202" s="271">
        <v>6114363</v>
      </c>
      <c r="C202" s="270"/>
      <c r="D202" s="270"/>
      <c r="E202" s="269"/>
      <c r="F202" s="268"/>
      <c r="G202" s="267"/>
      <c r="H202" s="266"/>
      <c r="I202" s="265"/>
    </row>
    <row r="203" spans="1:9" x14ac:dyDescent="0.25">
      <c r="A203" s="264" t="s">
        <v>29</v>
      </c>
      <c r="B203" s="263"/>
      <c r="C203" s="261">
        <v>1</v>
      </c>
      <c r="D203" s="261" t="s">
        <v>137</v>
      </c>
      <c r="E203" s="260" t="s">
        <v>140</v>
      </c>
      <c r="F203" s="260" t="s">
        <v>135</v>
      </c>
      <c r="G203" s="279"/>
      <c r="H203" s="278">
        <v>58807</v>
      </c>
      <c r="I203" s="276"/>
    </row>
    <row r="204" spans="1:9" x14ac:dyDescent="0.25">
      <c r="A204" s="264" t="s">
        <v>29</v>
      </c>
      <c r="B204" s="263"/>
      <c r="C204" s="261">
        <v>2</v>
      </c>
      <c r="D204" s="261" t="s">
        <v>137</v>
      </c>
      <c r="E204" s="260" t="s">
        <v>139</v>
      </c>
      <c r="F204" s="260" t="s">
        <v>135</v>
      </c>
      <c r="G204" s="279"/>
      <c r="H204" s="278">
        <v>50359</v>
      </c>
      <c r="I204" s="276"/>
    </row>
    <row r="205" spans="1:9" x14ac:dyDescent="0.25">
      <c r="A205" s="264" t="s">
        <v>29</v>
      </c>
      <c r="B205" s="280"/>
      <c r="C205" s="262"/>
      <c r="D205" s="261"/>
      <c r="E205" s="260"/>
      <c r="F205" s="259" t="s">
        <v>134</v>
      </c>
      <c r="G205" s="258">
        <f>SUM(G203:G204)</f>
        <v>0</v>
      </c>
      <c r="H205" s="257">
        <f>SUM(H203:H204)</f>
        <v>109166</v>
      </c>
      <c r="I205" s="256"/>
    </row>
    <row r="206" spans="1:9" ht="14.25" thickBot="1" x14ac:dyDescent="0.3">
      <c r="A206" s="255" t="s">
        <v>29</v>
      </c>
      <c r="B206" s="248"/>
      <c r="C206" s="253"/>
      <c r="D206" s="252"/>
      <c r="E206" s="251"/>
      <c r="F206" s="250" t="s">
        <v>133</v>
      </c>
      <c r="G206" s="249"/>
      <c r="H206" s="248"/>
      <c r="I206" s="247">
        <f>B202+H205</f>
        <v>6223529</v>
      </c>
    </row>
    <row r="207" spans="1:9" x14ac:dyDescent="0.25">
      <c r="A207" s="272" t="s">
        <v>28</v>
      </c>
      <c r="B207" s="271">
        <v>6836861</v>
      </c>
      <c r="C207" s="270"/>
      <c r="D207" s="270"/>
      <c r="E207" s="269"/>
      <c r="F207" s="268"/>
      <c r="G207" s="267"/>
      <c r="H207" s="266"/>
      <c r="I207" s="265"/>
    </row>
    <row r="208" spans="1:9" x14ac:dyDescent="0.25">
      <c r="A208" s="264" t="s">
        <v>28</v>
      </c>
      <c r="B208" s="263"/>
      <c r="C208" s="261">
        <v>1</v>
      </c>
      <c r="D208" s="261" t="s">
        <v>137</v>
      </c>
      <c r="E208" s="260" t="s">
        <v>157</v>
      </c>
      <c r="F208" s="260" t="s">
        <v>157</v>
      </c>
      <c r="G208" s="279"/>
      <c r="H208" s="278">
        <v>5359</v>
      </c>
      <c r="I208" s="276"/>
    </row>
    <row r="209" spans="1:9" x14ac:dyDescent="0.25">
      <c r="A209" s="264" t="s">
        <v>28</v>
      </c>
      <c r="B209" s="263"/>
      <c r="C209" s="261">
        <v>2</v>
      </c>
      <c r="D209" s="261" t="s">
        <v>137</v>
      </c>
      <c r="E209" s="260" t="s">
        <v>135</v>
      </c>
      <c r="F209" s="260" t="s">
        <v>135</v>
      </c>
      <c r="G209" s="279"/>
      <c r="H209" s="278">
        <v>337648</v>
      </c>
      <c r="I209" s="276"/>
    </row>
    <row r="210" spans="1:9" x14ac:dyDescent="0.25">
      <c r="A210" s="264" t="s">
        <v>28</v>
      </c>
      <c r="B210" s="280"/>
      <c r="C210" s="262"/>
      <c r="D210" s="261"/>
      <c r="E210" s="260"/>
      <c r="F210" s="259" t="s">
        <v>134</v>
      </c>
      <c r="G210" s="258">
        <f>SUM(G208:G209)</f>
        <v>0</v>
      </c>
      <c r="H210" s="257">
        <f>SUM(H208:H209)</f>
        <v>343007</v>
      </c>
      <c r="I210" s="256"/>
    </row>
    <row r="211" spans="1:9" ht="14.25" thickBot="1" x14ac:dyDescent="0.3">
      <c r="A211" s="255" t="s">
        <v>28</v>
      </c>
      <c r="B211" s="248"/>
      <c r="C211" s="253"/>
      <c r="D211" s="252"/>
      <c r="E211" s="251"/>
      <c r="F211" s="250" t="s">
        <v>133</v>
      </c>
      <c r="G211" s="249"/>
      <c r="H211" s="248"/>
      <c r="I211" s="247">
        <f>B207+H210</f>
        <v>7179868</v>
      </c>
    </row>
    <row r="212" spans="1:9" x14ac:dyDescent="0.25">
      <c r="A212" s="272" t="s">
        <v>27</v>
      </c>
      <c r="B212" s="282">
        <v>3732680</v>
      </c>
      <c r="C212" s="284"/>
      <c r="D212" s="270"/>
      <c r="E212" s="269"/>
      <c r="F212" s="268"/>
      <c r="G212" s="283"/>
      <c r="H212" s="282"/>
      <c r="I212" s="281"/>
    </row>
    <row r="213" spans="1:9" x14ac:dyDescent="0.25">
      <c r="A213" s="292" t="s">
        <v>27</v>
      </c>
      <c r="B213" s="286"/>
      <c r="C213" s="291">
        <v>1</v>
      </c>
      <c r="D213" s="290" t="s">
        <v>137</v>
      </c>
      <c r="E213" s="289" t="s">
        <v>140</v>
      </c>
      <c r="F213" s="288" t="s">
        <v>135</v>
      </c>
      <c r="G213" s="287"/>
      <c r="H213" s="286">
        <v>44189</v>
      </c>
      <c r="I213" s="285"/>
    </row>
    <row r="214" spans="1:9" x14ac:dyDescent="0.25">
      <c r="A214" s="264" t="s">
        <v>27</v>
      </c>
      <c r="B214" s="280"/>
      <c r="C214" s="262"/>
      <c r="D214" s="261"/>
      <c r="E214" s="260"/>
      <c r="F214" s="259" t="s">
        <v>134</v>
      </c>
      <c r="G214" s="258">
        <f>SUM(G213)</f>
        <v>0</v>
      </c>
      <c r="H214" s="257">
        <f>SUM(H213)</f>
        <v>44189</v>
      </c>
      <c r="I214" s="256"/>
    </row>
    <row r="215" spans="1:9" ht="14.25" thickBot="1" x14ac:dyDescent="0.3">
      <c r="A215" s="255" t="s">
        <v>27</v>
      </c>
      <c r="B215" s="248"/>
      <c r="C215" s="253"/>
      <c r="D215" s="252"/>
      <c r="E215" s="251"/>
      <c r="F215" s="250" t="s">
        <v>133</v>
      </c>
      <c r="G215" s="249"/>
      <c r="H215" s="248"/>
      <c r="I215" s="247">
        <f>B212+H214</f>
        <v>3776869</v>
      </c>
    </row>
    <row r="216" spans="1:9" x14ac:dyDescent="0.25">
      <c r="A216" s="272" t="s">
        <v>26</v>
      </c>
      <c r="B216" s="282">
        <v>72392179</v>
      </c>
      <c r="C216" s="284"/>
      <c r="D216" s="270"/>
      <c r="E216" s="269"/>
      <c r="F216" s="268"/>
      <c r="G216" s="283"/>
      <c r="H216" s="282"/>
      <c r="I216" s="281"/>
    </row>
    <row r="217" spans="1:9" x14ac:dyDescent="0.25">
      <c r="A217" s="264" t="s">
        <v>26</v>
      </c>
      <c r="B217" s="280"/>
      <c r="C217" s="262"/>
      <c r="D217" s="261"/>
      <c r="E217" s="260"/>
      <c r="F217" s="259" t="s">
        <v>134</v>
      </c>
      <c r="G217" s="258">
        <v>0</v>
      </c>
      <c r="H217" s="257">
        <v>0</v>
      </c>
      <c r="I217" s="256"/>
    </row>
    <row r="218" spans="1:9" ht="14.25" thickBot="1" x14ac:dyDescent="0.3">
      <c r="A218" s="255" t="s">
        <v>26</v>
      </c>
      <c r="B218" s="248"/>
      <c r="C218" s="253"/>
      <c r="D218" s="252"/>
      <c r="E218" s="251"/>
      <c r="F218" s="250" t="s">
        <v>133</v>
      </c>
      <c r="G218" s="249"/>
      <c r="H218" s="248"/>
      <c r="I218" s="247">
        <f>B216+H217</f>
        <v>72392179</v>
      </c>
    </row>
    <row r="219" spans="1:9" x14ac:dyDescent="0.25">
      <c r="A219" s="272" t="s">
        <v>25</v>
      </c>
      <c r="B219" s="271">
        <v>3654667</v>
      </c>
      <c r="C219" s="270"/>
      <c r="D219" s="270"/>
      <c r="E219" s="269"/>
      <c r="F219" s="268"/>
      <c r="G219" s="267"/>
      <c r="H219" s="266"/>
      <c r="I219" s="265"/>
    </row>
    <row r="220" spans="1:9" x14ac:dyDescent="0.25">
      <c r="A220" s="264" t="s">
        <v>25</v>
      </c>
      <c r="B220" s="263"/>
      <c r="C220" s="261">
        <v>1</v>
      </c>
      <c r="D220" s="261" t="s">
        <v>137</v>
      </c>
      <c r="E220" s="260" t="s">
        <v>146</v>
      </c>
      <c r="F220" s="260" t="s">
        <v>135</v>
      </c>
      <c r="G220" s="279"/>
      <c r="H220" s="278">
        <v>625000</v>
      </c>
      <c r="I220" s="276"/>
    </row>
    <row r="221" spans="1:9" x14ac:dyDescent="0.25">
      <c r="A221" s="264" t="s">
        <v>25</v>
      </c>
      <c r="B221" s="280"/>
      <c r="C221" s="262"/>
      <c r="D221" s="261"/>
      <c r="E221" s="260"/>
      <c r="F221" s="259" t="s">
        <v>134</v>
      </c>
      <c r="G221" s="258">
        <f>SUM(G220)</f>
        <v>0</v>
      </c>
      <c r="H221" s="257">
        <f>SUM(H220)</f>
        <v>625000</v>
      </c>
      <c r="I221" s="256"/>
    </row>
    <row r="222" spans="1:9" ht="14.25" thickBot="1" x14ac:dyDescent="0.3">
      <c r="A222" s="255" t="s">
        <v>25</v>
      </c>
      <c r="B222" s="248"/>
      <c r="C222" s="253"/>
      <c r="D222" s="252"/>
      <c r="E222" s="251"/>
      <c r="F222" s="250" t="s">
        <v>133</v>
      </c>
      <c r="G222" s="249"/>
      <c r="H222" s="248"/>
      <c r="I222" s="247">
        <f>B219+H221</f>
        <v>4279667</v>
      </c>
    </row>
    <row r="223" spans="1:9" x14ac:dyDescent="0.25">
      <c r="A223" s="292" t="s">
        <v>24</v>
      </c>
      <c r="B223" s="304">
        <v>1630604</v>
      </c>
      <c r="C223" s="290"/>
      <c r="D223" s="290"/>
      <c r="E223" s="289"/>
      <c r="F223" s="303"/>
      <c r="G223" s="302"/>
      <c r="H223" s="301"/>
      <c r="I223" s="300"/>
    </row>
    <row r="224" spans="1:9" x14ac:dyDescent="0.25">
      <c r="A224" s="264" t="s">
        <v>24</v>
      </c>
      <c r="B224" s="263"/>
      <c r="C224" s="261">
        <v>1</v>
      </c>
      <c r="D224" s="261" t="s">
        <v>137</v>
      </c>
      <c r="E224" s="260" t="s">
        <v>135</v>
      </c>
      <c r="F224" s="260" t="s">
        <v>135</v>
      </c>
      <c r="G224" s="279"/>
      <c r="H224" s="278">
        <v>77179</v>
      </c>
      <c r="I224" s="276"/>
    </row>
    <row r="225" spans="1:9" x14ac:dyDescent="0.25">
      <c r="A225" s="264" t="s">
        <v>24</v>
      </c>
      <c r="B225" s="280"/>
      <c r="C225" s="262"/>
      <c r="D225" s="261"/>
      <c r="E225" s="260"/>
      <c r="F225" s="259" t="s">
        <v>134</v>
      </c>
      <c r="G225" s="258">
        <f>SUM(G224)</f>
        <v>0</v>
      </c>
      <c r="H225" s="257">
        <f>SUM(H224)</f>
        <v>77179</v>
      </c>
      <c r="I225" s="256"/>
    </row>
    <row r="226" spans="1:9" ht="14.25" thickBot="1" x14ac:dyDescent="0.3">
      <c r="A226" s="299" t="s">
        <v>24</v>
      </c>
      <c r="B226" s="294"/>
      <c r="C226" s="298"/>
      <c r="D226" s="297"/>
      <c r="E226" s="296"/>
      <c r="F226" s="250" t="s">
        <v>133</v>
      </c>
      <c r="G226" s="295"/>
      <c r="H226" s="294"/>
      <c r="I226" s="293">
        <f>B223+H225</f>
        <v>1707783</v>
      </c>
    </row>
    <row r="227" spans="1:9" x14ac:dyDescent="0.25">
      <c r="A227" s="272" t="s">
        <v>23</v>
      </c>
      <c r="B227" s="271">
        <v>3770971</v>
      </c>
      <c r="C227" s="270"/>
      <c r="D227" s="270"/>
      <c r="E227" s="269"/>
      <c r="F227" s="268"/>
      <c r="G227" s="267"/>
      <c r="H227" s="266"/>
      <c r="I227" s="265"/>
    </row>
    <row r="228" spans="1:9" x14ac:dyDescent="0.25">
      <c r="A228" s="264" t="s">
        <v>23</v>
      </c>
      <c r="B228" s="263"/>
      <c r="C228" s="261">
        <v>1</v>
      </c>
      <c r="D228" s="261" t="s">
        <v>155</v>
      </c>
      <c r="E228" s="260" t="s">
        <v>156</v>
      </c>
      <c r="F228" s="260" t="s">
        <v>141</v>
      </c>
      <c r="G228" s="279"/>
      <c r="H228" s="278">
        <v>2654</v>
      </c>
      <c r="I228" s="276"/>
    </row>
    <row r="229" spans="1:9" x14ac:dyDescent="0.25">
      <c r="A229" s="264" t="s">
        <v>23</v>
      </c>
      <c r="B229" s="263"/>
      <c r="C229" s="261">
        <v>2</v>
      </c>
      <c r="D229" s="261" t="s">
        <v>137</v>
      </c>
      <c r="E229" s="260" t="s">
        <v>139</v>
      </c>
      <c r="F229" s="260" t="s">
        <v>135</v>
      </c>
      <c r="G229" s="279"/>
      <c r="H229" s="278">
        <v>239000</v>
      </c>
      <c r="I229" s="276"/>
    </row>
    <row r="230" spans="1:9" x14ac:dyDescent="0.25">
      <c r="A230" s="264" t="s">
        <v>23</v>
      </c>
      <c r="B230" s="280"/>
      <c r="C230" s="262"/>
      <c r="D230" s="261"/>
      <c r="E230" s="260"/>
      <c r="F230" s="259" t="s">
        <v>134</v>
      </c>
      <c r="G230" s="258">
        <f>SUM(G228:G229)</f>
        <v>0</v>
      </c>
      <c r="H230" s="257">
        <f>SUM(H228:H229)</f>
        <v>241654</v>
      </c>
      <c r="I230" s="256"/>
    </row>
    <row r="231" spans="1:9" ht="14.25" thickBot="1" x14ac:dyDescent="0.3">
      <c r="A231" s="255" t="s">
        <v>23</v>
      </c>
      <c r="B231" s="248"/>
      <c r="C231" s="253"/>
      <c r="D231" s="252"/>
      <c r="E231" s="251"/>
      <c r="F231" s="250" t="s">
        <v>133</v>
      </c>
      <c r="G231" s="249"/>
      <c r="H231" s="248"/>
      <c r="I231" s="247">
        <f>B227+H230</f>
        <v>4012625</v>
      </c>
    </row>
    <row r="232" spans="1:9" x14ac:dyDescent="0.25">
      <c r="A232" s="272" t="s">
        <v>22</v>
      </c>
      <c r="B232" s="282">
        <v>1281702</v>
      </c>
      <c r="C232" s="284"/>
      <c r="D232" s="270"/>
      <c r="E232" s="269"/>
      <c r="F232" s="268"/>
      <c r="G232" s="283"/>
      <c r="H232" s="282"/>
      <c r="I232" s="281"/>
    </row>
    <row r="233" spans="1:9" x14ac:dyDescent="0.25">
      <c r="A233" s="264" t="s">
        <v>22</v>
      </c>
      <c r="B233" s="280"/>
      <c r="C233" s="262"/>
      <c r="D233" s="261"/>
      <c r="E233" s="260"/>
      <c r="F233" s="259" t="s">
        <v>134</v>
      </c>
      <c r="G233" s="258">
        <v>0</v>
      </c>
      <c r="H233" s="257">
        <v>0</v>
      </c>
      <c r="I233" s="256"/>
    </row>
    <row r="234" spans="1:9" ht="14.25" thickBot="1" x14ac:dyDescent="0.3">
      <c r="A234" s="255" t="s">
        <v>22</v>
      </c>
      <c r="B234" s="248"/>
      <c r="C234" s="253"/>
      <c r="D234" s="252"/>
      <c r="E234" s="251"/>
      <c r="F234" s="250" t="s">
        <v>133</v>
      </c>
      <c r="G234" s="249"/>
      <c r="H234" s="248"/>
      <c r="I234" s="247">
        <f>B232+H233</f>
        <v>1281702</v>
      </c>
    </row>
    <row r="235" spans="1:9" x14ac:dyDescent="0.25">
      <c r="A235" s="272" t="s">
        <v>21</v>
      </c>
      <c r="B235" s="271">
        <v>29549045</v>
      </c>
      <c r="C235" s="270"/>
      <c r="D235" s="270"/>
      <c r="E235" s="269"/>
      <c r="F235" s="268"/>
      <c r="G235" s="267"/>
      <c r="H235" s="266"/>
      <c r="I235" s="265"/>
    </row>
    <row r="236" spans="1:9" x14ac:dyDescent="0.25">
      <c r="A236" s="264" t="s">
        <v>21</v>
      </c>
      <c r="B236" s="263"/>
      <c r="C236" s="261">
        <v>1</v>
      </c>
      <c r="D236" s="261" t="s">
        <v>155</v>
      </c>
      <c r="E236" s="260" t="s">
        <v>154</v>
      </c>
      <c r="F236" s="260" t="s">
        <v>153</v>
      </c>
      <c r="G236" s="279"/>
      <c r="H236" s="278">
        <v>71927</v>
      </c>
      <c r="I236" s="276"/>
    </row>
    <row r="237" spans="1:9" x14ac:dyDescent="0.25">
      <c r="A237" s="264" t="s">
        <v>21</v>
      </c>
      <c r="B237" s="263"/>
      <c r="C237" s="261">
        <v>2</v>
      </c>
      <c r="D237" s="261" t="s">
        <v>137</v>
      </c>
      <c r="E237" s="260" t="s">
        <v>140</v>
      </c>
      <c r="F237" s="260" t="s">
        <v>135</v>
      </c>
      <c r="G237" s="279"/>
      <c r="H237" s="278">
        <v>314872</v>
      </c>
      <c r="I237" s="276"/>
    </row>
    <row r="238" spans="1:9" x14ac:dyDescent="0.25">
      <c r="A238" s="264" t="s">
        <v>21</v>
      </c>
      <c r="B238" s="263"/>
      <c r="C238" s="261">
        <v>3</v>
      </c>
      <c r="D238" s="261" t="s">
        <v>137</v>
      </c>
      <c r="E238" s="260" t="s">
        <v>139</v>
      </c>
      <c r="F238" s="260" t="s">
        <v>135</v>
      </c>
      <c r="G238" s="279"/>
      <c r="H238" s="278">
        <v>395000</v>
      </c>
      <c r="I238" s="276"/>
    </row>
    <row r="239" spans="1:9" x14ac:dyDescent="0.25">
      <c r="A239" s="264" t="s">
        <v>21</v>
      </c>
      <c r="B239" s="263"/>
      <c r="C239" s="261">
        <v>4</v>
      </c>
      <c r="D239" s="261" t="s">
        <v>137</v>
      </c>
      <c r="E239" s="260" t="s">
        <v>147</v>
      </c>
      <c r="F239" s="260" t="s">
        <v>135</v>
      </c>
      <c r="G239" s="279"/>
      <c r="H239" s="278">
        <v>101548</v>
      </c>
      <c r="I239" s="276"/>
    </row>
    <row r="240" spans="1:9" x14ac:dyDescent="0.25">
      <c r="A240" s="264" t="s">
        <v>21</v>
      </c>
      <c r="B240" s="280"/>
      <c r="C240" s="262"/>
      <c r="D240" s="261"/>
      <c r="E240" s="260"/>
      <c r="F240" s="259" t="s">
        <v>134</v>
      </c>
      <c r="G240" s="258">
        <f>SUM(G236:G239)</f>
        <v>0</v>
      </c>
      <c r="H240" s="257">
        <f>SUM(H236:H239)</f>
        <v>883347</v>
      </c>
      <c r="I240" s="256"/>
    </row>
    <row r="241" spans="1:9" ht="14.25" thickBot="1" x14ac:dyDescent="0.3">
      <c r="A241" s="255" t="s">
        <v>21</v>
      </c>
      <c r="B241" s="248"/>
      <c r="C241" s="253"/>
      <c r="D241" s="252"/>
      <c r="E241" s="251"/>
      <c r="F241" s="250" t="s">
        <v>133</v>
      </c>
      <c r="G241" s="249"/>
      <c r="H241" s="248"/>
      <c r="I241" s="247">
        <f>B235+H240</f>
        <v>30432392</v>
      </c>
    </row>
    <row r="242" spans="1:9" x14ac:dyDescent="0.25">
      <c r="A242" s="272" t="s">
        <v>20</v>
      </c>
      <c r="B242" s="271">
        <v>7591647</v>
      </c>
      <c r="C242" s="270"/>
      <c r="D242" s="270"/>
      <c r="E242" s="269"/>
      <c r="F242" s="268"/>
      <c r="G242" s="267"/>
      <c r="H242" s="266"/>
      <c r="I242" s="265"/>
    </row>
    <row r="243" spans="1:9" x14ac:dyDescent="0.25">
      <c r="A243" s="264" t="s">
        <v>20</v>
      </c>
      <c r="B243" s="263"/>
      <c r="C243" s="261">
        <v>1</v>
      </c>
      <c r="D243" s="261" t="s">
        <v>137</v>
      </c>
      <c r="E243" s="260" t="s">
        <v>150</v>
      </c>
      <c r="F243" s="260" t="s">
        <v>153</v>
      </c>
      <c r="G243" s="279"/>
      <c r="H243" s="278">
        <v>195558</v>
      </c>
      <c r="I243" s="276"/>
    </row>
    <row r="244" spans="1:9" x14ac:dyDescent="0.25">
      <c r="A244" s="264" t="s">
        <v>20</v>
      </c>
      <c r="B244" s="263"/>
      <c r="C244" s="261">
        <v>2</v>
      </c>
      <c r="D244" s="261" t="s">
        <v>137</v>
      </c>
      <c r="E244" s="260" t="s">
        <v>138</v>
      </c>
      <c r="F244" s="260" t="s">
        <v>152</v>
      </c>
      <c r="G244" s="279">
        <v>4</v>
      </c>
      <c r="H244" s="278">
        <v>226000</v>
      </c>
      <c r="I244" s="276"/>
    </row>
    <row r="245" spans="1:9" x14ac:dyDescent="0.25">
      <c r="A245" s="264" t="s">
        <v>20</v>
      </c>
      <c r="B245" s="263"/>
      <c r="C245" s="261">
        <v>3</v>
      </c>
      <c r="D245" s="261" t="s">
        <v>137</v>
      </c>
      <c r="E245" s="260" t="s">
        <v>139</v>
      </c>
      <c r="F245" s="260" t="s">
        <v>135</v>
      </c>
      <c r="G245" s="279"/>
      <c r="H245" s="278">
        <v>150000</v>
      </c>
      <c r="I245" s="276"/>
    </row>
    <row r="246" spans="1:9" x14ac:dyDescent="0.25">
      <c r="A246" s="264" t="s">
        <v>20</v>
      </c>
      <c r="B246" s="280"/>
      <c r="C246" s="262"/>
      <c r="D246" s="261"/>
      <c r="E246" s="260"/>
      <c r="F246" s="259" t="s">
        <v>134</v>
      </c>
      <c r="G246" s="258">
        <f>SUM(G243:G245)</f>
        <v>4</v>
      </c>
      <c r="H246" s="257">
        <f>SUM(H243:H245)</f>
        <v>571558</v>
      </c>
      <c r="I246" s="256"/>
    </row>
    <row r="247" spans="1:9" ht="14.25" thickBot="1" x14ac:dyDescent="0.3">
      <c r="A247" s="255" t="s">
        <v>20</v>
      </c>
      <c r="B247" s="248"/>
      <c r="C247" s="253"/>
      <c r="D247" s="252"/>
      <c r="E247" s="251"/>
      <c r="F247" s="250" t="s">
        <v>133</v>
      </c>
      <c r="G247" s="249"/>
      <c r="H247" s="248"/>
      <c r="I247" s="247">
        <f>B242+H246</f>
        <v>8163205</v>
      </c>
    </row>
    <row r="248" spans="1:9" x14ac:dyDescent="0.25">
      <c r="A248" s="272" t="s">
        <v>19</v>
      </c>
      <c r="B248" s="271">
        <v>31353295</v>
      </c>
      <c r="C248" s="270"/>
      <c r="D248" s="270"/>
      <c r="E248" s="269"/>
      <c r="F248" s="268"/>
      <c r="G248" s="267"/>
      <c r="H248" s="266"/>
      <c r="I248" s="265"/>
    </row>
    <row r="249" spans="1:9" x14ac:dyDescent="0.25">
      <c r="A249" s="264" t="s">
        <v>19</v>
      </c>
      <c r="B249" s="263"/>
      <c r="C249" s="261">
        <v>1</v>
      </c>
      <c r="D249" s="261" t="s">
        <v>137</v>
      </c>
      <c r="E249" s="260" t="s">
        <v>140</v>
      </c>
      <c r="F249" s="260" t="s">
        <v>135</v>
      </c>
      <c r="G249" s="279"/>
      <c r="H249" s="278">
        <v>321869</v>
      </c>
      <c r="I249" s="276"/>
    </row>
    <row r="250" spans="1:9" x14ac:dyDescent="0.25">
      <c r="A250" s="264" t="s">
        <v>19</v>
      </c>
      <c r="B250" s="280"/>
      <c r="C250" s="262"/>
      <c r="D250" s="261"/>
      <c r="E250" s="260"/>
      <c r="F250" s="259" t="s">
        <v>134</v>
      </c>
      <c r="G250" s="258">
        <f>G249</f>
        <v>0</v>
      </c>
      <c r="H250" s="257">
        <f>H249</f>
        <v>321869</v>
      </c>
      <c r="I250" s="256"/>
    </row>
    <row r="251" spans="1:9" ht="14.25" thickBot="1" x14ac:dyDescent="0.3">
      <c r="A251" s="255" t="s">
        <v>19</v>
      </c>
      <c r="B251" s="248"/>
      <c r="C251" s="253"/>
      <c r="D251" s="252"/>
      <c r="E251" s="251"/>
      <c r="F251" s="250" t="s">
        <v>133</v>
      </c>
      <c r="G251" s="249"/>
      <c r="H251" s="248"/>
      <c r="I251" s="247">
        <f>B248+H250</f>
        <v>31675164</v>
      </c>
    </row>
    <row r="252" spans="1:9" x14ac:dyDescent="0.25">
      <c r="A252" s="272" t="s">
        <v>18</v>
      </c>
      <c r="B252" s="271">
        <v>11961364</v>
      </c>
      <c r="C252" s="270"/>
      <c r="D252" s="270"/>
      <c r="E252" s="269"/>
      <c r="F252" s="268"/>
      <c r="G252" s="267"/>
      <c r="H252" s="266"/>
      <c r="I252" s="265"/>
    </row>
    <row r="253" spans="1:9" x14ac:dyDescent="0.25">
      <c r="A253" s="264" t="s">
        <v>18</v>
      </c>
      <c r="B253" s="263"/>
      <c r="C253" s="261">
        <v>1</v>
      </c>
      <c r="D253" s="261" t="s">
        <v>137</v>
      </c>
      <c r="E253" s="260" t="s">
        <v>151</v>
      </c>
      <c r="F253" s="260" t="s">
        <v>141</v>
      </c>
      <c r="G253" s="279"/>
      <c r="H253" s="278">
        <v>1426957</v>
      </c>
      <c r="I253" s="276"/>
    </row>
    <row r="254" spans="1:9" x14ac:dyDescent="0.25">
      <c r="A254" s="264" t="s">
        <v>18</v>
      </c>
      <c r="B254" s="263"/>
      <c r="C254" s="261">
        <v>2</v>
      </c>
      <c r="D254" s="261" t="s">
        <v>137</v>
      </c>
      <c r="E254" s="260" t="s">
        <v>150</v>
      </c>
      <c r="F254" s="260" t="s">
        <v>149</v>
      </c>
      <c r="G254" s="279"/>
      <c r="H254" s="278">
        <v>150000</v>
      </c>
      <c r="I254" s="276"/>
    </row>
    <row r="255" spans="1:9" x14ac:dyDescent="0.25">
      <c r="A255" s="264" t="s">
        <v>18</v>
      </c>
      <c r="B255" s="280"/>
      <c r="C255" s="262"/>
      <c r="D255" s="261"/>
      <c r="E255" s="260"/>
      <c r="F255" s="259" t="s">
        <v>134</v>
      </c>
      <c r="G255" s="258">
        <f>SUM(G253:G254)</f>
        <v>0</v>
      </c>
      <c r="H255" s="257">
        <f>SUM(H253:H254)</f>
        <v>1576957</v>
      </c>
      <c r="I255" s="256"/>
    </row>
    <row r="256" spans="1:9" ht="14.25" thickBot="1" x14ac:dyDescent="0.3">
      <c r="A256" s="255" t="s">
        <v>18</v>
      </c>
      <c r="B256" s="248"/>
      <c r="C256" s="253"/>
      <c r="D256" s="252"/>
      <c r="E256" s="251"/>
      <c r="F256" s="250" t="s">
        <v>133</v>
      </c>
      <c r="G256" s="249"/>
      <c r="H256" s="248"/>
      <c r="I256" s="247">
        <f>B252+H255</f>
        <v>13538321</v>
      </c>
    </row>
    <row r="257" spans="1:9" x14ac:dyDescent="0.25">
      <c r="A257" s="272" t="s">
        <v>17</v>
      </c>
      <c r="B257" s="282">
        <v>23685559</v>
      </c>
      <c r="C257" s="284"/>
      <c r="D257" s="270"/>
      <c r="E257" s="269"/>
      <c r="F257" s="268"/>
      <c r="G257" s="283"/>
      <c r="H257" s="282"/>
      <c r="I257" s="281"/>
    </row>
    <row r="258" spans="1:9" x14ac:dyDescent="0.25">
      <c r="A258" s="292" t="s">
        <v>17</v>
      </c>
      <c r="B258" s="286"/>
      <c r="C258" s="291">
        <v>1</v>
      </c>
      <c r="D258" s="290" t="s">
        <v>137</v>
      </c>
      <c r="E258" s="289" t="s">
        <v>148</v>
      </c>
      <c r="F258" s="288" t="s">
        <v>135</v>
      </c>
      <c r="G258" s="287"/>
      <c r="H258" s="286">
        <v>369999.99999999994</v>
      </c>
      <c r="I258" s="285"/>
    </row>
    <row r="259" spans="1:9" x14ac:dyDescent="0.25">
      <c r="A259" s="292" t="s">
        <v>17</v>
      </c>
      <c r="B259" s="286"/>
      <c r="C259" s="291">
        <v>2</v>
      </c>
      <c r="D259" s="290" t="s">
        <v>137</v>
      </c>
      <c r="E259" s="289" t="s">
        <v>140</v>
      </c>
      <c r="F259" s="288" t="s">
        <v>135</v>
      </c>
      <c r="G259" s="287"/>
      <c r="H259" s="286">
        <v>206999.99000000002</v>
      </c>
      <c r="I259" s="285"/>
    </row>
    <row r="260" spans="1:9" x14ac:dyDescent="0.25">
      <c r="A260" s="264" t="s">
        <v>17</v>
      </c>
      <c r="B260" s="280"/>
      <c r="C260" s="262"/>
      <c r="D260" s="261"/>
      <c r="E260" s="260"/>
      <c r="F260" s="259" t="s">
        <v>134</v>
      </c>
      <c r="G260" s="258">
        <f>SUM(G258:G259)</f>
        <v>0</v>
      </c>
      <c r="H260" s="257">
        <f>SUM(H258:H259)</f>
        <v>576999.99</v>
      </c>
      <c r="I260" s="256"/>
    </row>
    <row r="261" spans="1:9" ht="14.25" thickBot="1" x14ac:dyDescent="0.3">
      <c r="A261" s="255" t="s">
        <v>17</v>
      </c>
      <c r="B261" s="248"/>
      <c r="C261" s="253"/>
      <c r="D261" s="252"/>
      <c r="E261" s="251"/>
      <c r="F261" s="250" t="s">
        <v>133</v>
      </c>
      <c r="G261" s="249"/>
      <c r="H261" s="248"/>
      <c r="I261" s="247">
        <f>B257+H260</f>
        <v>24262558.989999998</v>
      </c>
    </row>
    <row r="262" spans="1:9" x14ac:dyDescent="0.25">
      <c r="A262" s="272" t="s">
        <v>16</v>
      </c>
      <c r="B262" s="271">
        <v>12658542</v>
      </c>
      <c r="C262" s="270"/>
      <c r="D262" s="270"/>
      <c r="E262" s="269"/>
      <c r="F262" s="268"/>
      <c r="G262" s="267"/>
      <c r="H262" s="266"/>
      <c r="I262" s="265"/>
    </row>
    <row r="263" spans="1:9" x14ac:dyDescent="0.25">
      <c r="A263" s="264" t="s">
        <v>16</v>
      </c>
      <c r="B263" s="263"/>
      <c r="C263" s="261">
        <v>1</v>
      </c>
      <c r="D263" s="261" t="s">
        <v>137</v>
      </c>
      <c r="E263" s="260" t="s">
        <v>139</v>
      </c>
      <c r="F263" s="260" t="s">
        <v>135</v>
      </c>
      <c r="G263" s="279"/>
      <c r="H263" s="278">
        <v>226018</v>
      </c>
      <c r="I263" s="276"/>
    </row>
    <row r="264" spans="1:9" x14ac:dyDescent="0.25">
      <c r="A264" s="264" t="s">
        <v>16</v>
      </c>
      <c r="B264" s="263"/>
      <c r="C264" s="261">
        <v>2</v>
      </c>
      <c r="D264" s="261" t="s">
        <v>137</v>
      </c>
      <c r="E264" s="260" t="s">
        <v>140</v>
      </c>
      <c r="F264" s="260" t="s">
        <v>135</v>
      </c>
      <c r="G264" s="279"/>
      <c r="H264" s="278">
        <v>188668</v>
      </c>
      <c r="I264" s="276"/>
    </row>
    <row r="265" spans="1:9" x14ac:dyDescent="0.25">
      <c r="A265" s="264" t="s">
        <v>16</v>
      </c>
      <c r="B265" s="280"/>
      <c r="C265" s="262"/>
      <c r="D265" s="261"/>
      <c r="E265" s="260"/>
      <c r="F265" s="259" t="s">
        <v>134</v>
      </c>
      <c r="G265" s="258">
        <f>SUM(G263:G264)</f>
        <v>0</v>
      </c>
      <c r="H265" s="257">
        <f>SUM(H263:H264)</f>
        <v>414686</v>
      </c>
      <c r="I265" s="256"/>
    </row>
    <row r="266" spans="1:9" ht="14.25" thickBot="1" x14ac:dyDescent="0.3">
      <c r="A266" s="255" t="s">
        <v>16</v>
      </c>
      <c r="B266" s="248"/>
      <c r="C266" s="253"/>
      <c r="D266" s="252"/>
      <c r="E266" s="251"/>
      <c r="F266" s="250" t="s">
        <v>133</v>
      </c>
      <c r="G266" s="249"/>
      <c r="H266" s="248"/>
      <c r="I266" s="247">
        <f>B262+H265</f>
        <v>13073228</v>
      </c>
    </row>
    <row r="267" spans="1:9" x14ac:dyDescent="0.25">
      <c r="A267" s="272" t="s">
        <v>15</v>
      </c>
      <c r="B267" s="271">
        <v>2102724</v>
      </c>
      <c r="C267" s="270"/>
      <c r="D267" s="270"/>
      <c r="E267" s="269"/>
      <c r="F267" s="268"/>
      <c r="G267" s="267"/>
      <c r="H267" s="266"/>
      <c r="I267" s="265"/>
    </row>
    <row r="268" spans="1:9" x14ac:dyDescent="0.25">
      <c r="A268" s="264" t="s">
        <v>15</v>
      </c>
      <c r="B268" s="263"/>
      <c r="C268" s="261">
        <v>1</v>
      </c>
      <c r="D268" s="261" t="s">
        <v>137</v>
      </c>
      <c r="E268" s="260" t="s">
        <v>140</v>
      </c>
      <c r="F268" s="260" t="s">
        <v>135</v>
      </c>
      <c r="G268" s="279"/>
      <c r="H268" s="278">
        <v>40000</v>
      </c>
      <c r="I268" s="276"/>
    </row>
    <row r="269" spans="1:9" x14ac:dyDescent="0.25">
      <c r="A269" s="264" t="s">
        <v>15</v>
      </c>
      <c r="B269" s="263"/>
      <c r="C269" s="261">
        <v>2</v>
      </c>
      <c r="D269" s="261" t="s">
        <v>137</v>
      </c>
      <c r="E269" s="260" t="s">
        <v>147</v>
      </c>
      <c r="F269" s="260" t="s">
        <v>135</v>
      </c>
      <c r="G269" s="279"/>
      <c r="H269" s="278">
        <v>62837</v>
      </c>
      <c r="I269" s="276"/>
    </row>
    <row r="270" spans="1:9" x14ac:dyDescent="0.25">
      <c r="A270" s="264" t="s">
        <v>15</v>
      </c>
      <c r="B270" s="280"/>
      <c r="C270" s="262"/>
      <c r="D270" s="261"/>
      <c r="E270" s="260"/>
      <c r="F270" s="259" t="s">
        <v>134</v>
      </c>
      <c r="G270" s="258">
        <f>SUM(G268:G269)</f>
        <v>0</v>
      </c>
      <c r="H270" s="257">
        <f>SUM(H268:H269)</f>
        <v>102837</v>
      </c>
      <c r="I270" s="256"/>
    </row>
    <row r="271" spans="1:9" ht="14.25" thickBot="1" x14ac:dyDescent="0.3">
      <c r="A271" s="255" t="s">
        <v>15</v>
      </c>
      <c r="B271" s="248"/>
      <c r="C271" s="253"/>
      <c r="D271" s="252"/>
      <c r="E271" s="251"/>
      <c r="F271" s="250" t="s">
        <v>133</v>
      </c>
      <c r="G271" s="249"/>
      <c r="H271" s="248"/>
      <c r="I271" s="247">
        <f>B267+H270</f>
        <v>2205561</v>
      </c>
    </row>
    <row r="272" spans="1:9" x14ac:dyDescent="0.25">
      <c r="A272" s="272" t="s">
        <v>14</v>
      </c>
      <c r="B272" s="282">
        <v>3634092</v>
      </c>
      <c r="C272" s="284"/>
      <c r="D272" s="270"/>
      <c r="E272" s="269"/>
      <c r="F272" s="268"/>
      <c r="G272" s="283"/>
      <c r="H272" s="282"/>
      <c r="I272" s="281"/>
    </row>
    <row r="273" spans="1:9" x14ac:dyDescent="0.25">
      <c r="A273" s="264" t="s">
        <v>14</v>
      </c>
      <c r="B273" s="280"/>
      <c r="C273" s="262"/>
      <c r="D273" s="261"/>
      <c r="E273" s="260"/>
      <c r="F273" s="259" t="s">
        <v>134</v>
      </c>
      <c r="G273" s="258">
        <v>0</v>
      </c>
      <c r="H273" s="257">
        <v>0</v>
      </c>
      <c r="I273" s="256"/>
    </row>
    <row r="274" spans="1:9" ht="14.25" thickBot="1" x14ac:dyDescent="0.3">
      <c r="A274" s="255" t="s">
        <v>14</v>
      </c>
      <c r="B274" s="248"/>
      <c r="C274" s="253"/>
      <c r="D274" s="252"/>
      <c r="E274" s="251"/>
      <c r="F274" s="250" t="s">
        <v>133</v>
      </c>
      <c r="G274" s="249"/>
      <c r="H274" s="248"/>
      <c r="I274" s="247">
        <f>B272+H273</f>
        <v>3634092</v>
      </c>
    </row>
    <row r="275" spans="1:9" x14ac:dyDescent="0.25">
      <c r="A275" s="272" t="s">
        <v>13</v>
      </c>
      <c r="B275" s="271">
        <v>7058273</v>
      </c>
      <c r="C275" s="270"/>
      <c r="D275" s="270"/>
      <c r="E275" s="269"/>
      <c r="F275" s="268"/>
      <c r="G275" s="267"/>
      <c r="H275" s="266"/>
      <c r="I275" s="265"/>
    </row>
    <row r="276" spans="1:9" x14ac:dyDescent="0.25">
      <c r="A276" s="264" t="s">
        <v>13</v>
      </c>
      <c r="B276" s="263"/>
      <c r="C276" s="261">
        <v>1</v>
      </c>
      <c r="D276" s="261" t="s">
        <v>137</v>
      </c>
      <c r="E276" s="260" t="s">
        <v>140</v>
      </c>
      <c r="F276" s="260" t="s">
        <v>135</v>
      </c>
      <c r="G276" s="279"/>
      <c r="H276" s="278">
        <v>58291</v>
      </c>
      <c r="I276" s="276"/>
    </row>
    <row r="277" spans="1:9" x14ac:dyDescent="0.25">
      <c r="A277" s="264" t="s">
        <v>13</v>
      </c>
      <c r="B277" s="280"/>
      <c r="C277" s="262"/>
      <c r="D277" s="261"/>
      <c r="E277" s="260"/>
      <c r="F277" s="259" t="s">
        <v>134</v>
      </c>
      <c r="G277" s="258">
        <f>SUM(G276:G276)</f>
        <v>0</v>
      </c>
      <c r="H277" s="257">
        <f>SUM(H276:H276)</f>
        <v>58291</v>
      </c>
      <c r="I277" s="256"/>
    </row>
    <row r="278" spans="1:9" ht="14.25" thickBot="1" x14ac:dyDescent="0.3">
      <c r="A278" s="255" t="s">
        <v>13</v>
      </c>
      <c r="B278" s="248"/>
      <c r="C278" s="253"/>
      <c r="D278" s="252"/>
      <c r="E278" s="251"/>
      <c r="F278" s="250" t="s">
        <v>133</v>
      </c>
      <c r="G278" s="249"/>
      <c r="H278" s="248"/>
      <c r="I278" s="247">
        <f>B275+H277</f>
        <v>7116564</v>
      </c>
    </row>
    <row r="279" spans="1:9" x14ac:dyDescent="0.25">
      <c r="A279" s="272" t="s">
        <v>12</v>
      </c>
      <c r="B279" s="282">
        <v>3330295</v>
      </c>
      <c r="C279" s="284"/>
      <c r="D279" s="270"/>
      <c r="E279" s="269"/>
      <c r="F279" s="268"/>
      <c r="G279" s="283"/>
      <c r="H279" s="282"/>
      <c r="I279" s="281"/>
    </row>
    <row r="280" spans="1:9" x14ac:dyDescent="0.25">
      <c r="A280" s="264" t="s">
        <v>12</v>
      </c>
      <c r="B280" s="280"/>
      <c r="C280" s="262"/>
      <c r="D280" s="261"/>
      <c r="E280" s="260"/>
      <c r="F280" s="259" t="s">
        <v>134</v>
      </c>
      <c r="G280" s="258">
        <v>0</v>
      </c>
      <c r="H280" s="257">
        <v>0</v>
      </c>
      <c r="I280" s="256"/>
    </row>
    <row r="281" spans="1:9" ht="14.25" thickBot="1" x14ac:dyDescent="0.3">
      <c r="A281" s="255" t="s">
        <v>12</v>
      </c>
      <c r="B281" s="248"/>
      <c r="C281" s="253"/>
      <c r="D281" s="252"/>
      <c r="E281" s="251"/>
      <c r="F281" s="250" t="s">
        <v>133</v>
      </c>
      <c r="G281" s="249"/>
      <c r="H281" s="248"/>
      <c r="I281" s="247">
        <f>B279+H280</f>
        <v>3330295</v>
      </c>
    </row>
    <row r="282" spans="1:9" x14ac:dyDescent="0.25">
      <c r="A282" s="272" t="s">
        <v>11</v>
      </c>
      <c r="B282" s="271">
        <v>8570120</v>
      </c>
      <c r="C282" s="270"/>
      <c r="D282" s="270"/>
      <c r="E282" s="269"/>
      <c r="F282" s="268"/>
      <c r="G282" s="267"/>
      <c r="H282" s="266"/>
      <c r="I282" s="265"/>
    </row>
    <row r="283" spans="1:9" x14ac:dyDescent="0.25">
      <c r="A283" s="264" t="s">
        <v>11</v>
      </c>
      <c r="B283" s="263"/>
      <c r="C283" s="261">
        <v>1</v>
      </c>
      <c r="D283" s="261" t="s">
        <v>137</v>
      </c>
      <c r="E283" s="260" t="s">
        <v>140</v>
      </c>
      <c r="F283" s="260" t="s">
        <v>135</v>
      </c>
      <c r="G283" s="279"/>
      <c r="H283" s="278">
        <v>101515</v>
      </c>
      <c r="I283" s="276"/>
    </row>
    <row r="284" spans="1:9" x14ac:dyDescent="0.25">
      <c r="A284" s="264" t="s">
        <v>11</v>
      </c>
      <c r="B284" s="280"/>
      <c r="C284" s="262"/>
      <c r="D284" s="261"/>
      <c r="E284" s="260"/>
      <c r="F284" s="259" t="s">
        <v>134</v>
      </c>
      <c r="G284" s="258">
        <f>SUM(G283)</f>
        <v>0</v>
      </c>
      <c r="H284" s="257">
        <f>SUM(H283)</f>
        <v>101515</v>
      </c>
      <c r="I284" s="256"/>
    </row>
    <row r="285" spans="1:9" ht="14.25" thickBot="1" x14ac:dyDescent="0.3">
      <c r="A285" s="255" t="s">
        <v>11</v>
      </c>
      <c r="B285" s="248"/>
      <c r="C285" s="253"/>
      <c r="D285" s="252"/>
      <c r="E285" s="251"/>
      <c r="F285" s="250" t="s">
        <v>133</v>
      </c>
      <c r="G285" s="249"/>
      <c r="H285" s="248"/>
      <c r="I285" s="247">
        <f>B282+H284</f>
        <v>8671635</v>
      </c>
    </row>
    <row r="286" spans="1:9" x14ac:dyDescent="0.25">
      <c r="A286" s="272" t="s">
        <v>10</v>
      </c>
      <c r="B286" s="271">
        <v>9085051</v>
      </c>
      <c r="C286" s="270"/>
      <c r="D286" s="270"/>
      <c r="E286" s="269"/>
      <c r="F286" s="268"/>
      <c r="G286" s="267"/>
      <c r="H286" s="266"/>
      <c r="I286" s="265"/>
    </row>
    <row r="287" spans="1:9" x14ac:dyDescent="0.25">
      <c r="A287" s="264" t="s">
        <v>10</v>
      </c>
      <c r="B287" s="263"/>
      <c r="C287" s="261">
        <v>1</v>
      </c>
      <c r="D287" s="261" t="s">
        <v>137</v>
      </c>
      <c r="E287" s="260" t="s">
        <v>140</v>
      </c>
      <c r="F287" s="260" t="s">
        <v>135</v>
      </c>
      <c r="G287" s="279"/>
      <c r="H287" s="278">
        <v>102743</v>
      </c>
      <c r="I287" s="276"/>
    </row>
    <row r="288" spans="1:9" x14ac:dyDescent="0.25">
      <c r="A288" s="264" t="s">
        <v>10</v>
      </c>
      <c r="B288" s="263"/>
      <c r="C288" s="261">
        <v>2</v>
      </c>
      <c r="D288" s="261" t="s">
        <v>137</v>
      </c>
      <c r="E288" s="260" t="s">
        <v>146</v>
      </c>
      <c r="F288" s="260" t="s">
        <v>135</v>
      </c>
      <c r="G288" s="279"/>
      <c r="H288" s="278">
        <v>198699</v>
      </c>
      <c r="I288" s="276"/>
    </row>
    <row r="289" spans="1:9" x14ac:dyDescent="0.25">
      <c r="A289" s="264" t="s">
        <v>10</v>
      </c>
      <c r="B289" s="280"/>
      <c r="C289" s="262"/>
      <c r="D289" s="261"/>
      <c r="E289" s="260"/>
      <c r="F289" s="259" t="s">
        <v>134</v>
      </c>
      <c r="G289" s="258">
        <f>SUM(G287:G288)</f>
        <v>0</v>
      </c>
      <c r="H289" s="257">
        <f>SUM(H287:H288)</f>
        <v>301442</v>
      </c>
      <c r="I289" s="256"/>
    </row>
    <row r="290" spans="1:9" ht="14.25" thickBot="1" x14ac:dyDescent="0.3">
      <c r="A290" s="255" t="s">
        <v>10</v>
      </c>
      <c r="B290" s="248"/>
      <c r="C290" s="253"/>
      <c r="D290" s="252"/>
      <c r="E290" s="251"/>
      <c r="F290" s="250" t="s">
        <v>133</v>
      </c>
      <c r="G290" s="249"/>
      <c r="H290" s="248"/>
      <c r="I290" s="247">
        <f>B286+H289</f>
        <v>9386493</v>
      </c>
    </row>
    <row r="291" spans="1:9" x14ac:dyDescent="0.25">
      <c r="A291" s="272" t="s">
        <v>9</v>
      </c>
      <c r="B291" s="282">
        <v>1948715</v>
      </c>
      <c r="C291" s="284"/>
      <c r="D291" s="270"/>
      <c r="E291" s="269"/>
      <c r="F291" s="268"/>
      <c r="G291" s="283"/>
      <c r="H291" s="282"/>
      <c r="I291" s="281"/>
    </row>
    <row r="292" spans="1:9" x14ac:dyDescent="0.25">
      <c r="A292" s="264" t="s">
        <v>9</v>
      </c>
      <c r="B292" s="280"/>
      <c r="C292" s="262"/>
      <c r="D292" s="261"/>
      <c r="E292" s="260"/>
      <c r="F292" s="259" t="s">
        <v>134</v>
      </c>
      <c r="G292" s="258">
        <v>0</v>
      </c>
      <c r="H292" s="257">
        <v>0</v>
      </c>
      <c r="I292" s="256"/>
    </row>
    <row r="293" spans="1:9" ht="14.25" thickBot="1" x14ac:dyDescent="0.3">
      <c r="A293" s="255" t="s">
        <v>9</v>
      </c>
      <c r="B293" s="248"/>
      <c r="C293" s="253"/>
      <c r="D293" s="252"/>
      <c r="E293" s="251"/>
      <c r="F293" s="250" t="s">
        <v>133</v>
      </c>
      <c r="G293" s="249"/>
      <c r="H293" s="248"/>
      <c r="I293" s="247">
        <f>B291+H292</f>
        <v>1948715</v>
      </c>
    </row>
    <row r="294" spans="1:9" x14ac:dyDescent="0.25">
      <c r="A294" s="272" t="s">
        <v>8</v>
      </c>
      <c r="B294" s="271">
        <v>1125769</v>
      </c>
      <c r="C294" s="270"/>
      <c r="D294" s="270"/>
      <c r="E294" s="269"/>
      <c r="F294" s="268"/>
      <c r="G294" s="267"/>
      <c r="H294" s="266"/>
      <c r="I294" s="265"/>
    </row>
    <row r="295" spans="1:9" x14ac:dyDescent="0.25">
      <c r="A295" s="264" t="s">
        <v>8</v>
      </c>
      <c r="B295" s="263"/>
      <c r="C295" s="261">
        <v>1</v>
      </c>
      <c r="D295" s="261" t="s">
        <v>137</v>
      </c>
      <c r="E295" s="260" t="s">
        <v>140</v>
      </c>
      <c r="F295" s="260" t="s">
        <v>135</v>
      </c>
      <c r="G295" s="279"/>
      <c r="H295" s="278">
        <v>15001</v>
      </c>
      <c r="I295" s="276"/>
    </row>
    <row r="296" spans="1:9" x14ac:dyDescent="0.25">
      <c r="A296" s="264" t="s">
        <v>8</v>
      </c>
      <c r="B296" s="263"/>
      <c r="C296" s="261">
        <v>2</v>
      </c>
      <c r="D296" s="261" t="s">
        <v>137</v>
      </c>
      <c r="E296" s="260" t="s">
        <v>145</v>
      </c>
      <c r="F296" s="260" t="s">
        <v>144</v>
      </c>
      <c r="G296" s="279">
        <v>0.5</v>
      </c>
      <c r="H296" s="278">
        <v>3500</v>
      </c>
      <c r="I296" s="276"/>
    </row>
    <row r="297" spans="1:9" x14ac:dyDescent="0.25">
      <c r="A297" s="264" t="s">
        <v>8</v>
      </c>
      <c r="B297" s="263"/>
      <c r="C297" s="261"/>
      <c r="D297" s="261"/>
      <c r="E297" s="260"/>
      <c r="F297" s="259" t="s">
        <v>134</v>
      </c>
      <c r="G297" s="258">
        <f>SUM(G295:G296)</f>
        <v>0.5</v>
      </c>
      <c r="H297" s="277">
        <f>SUM(H295:H296)</f>
        <v>18501</v>
      </c>
      <c r="I297" s="276"/>
    </row>
    <row r="298" spans="1:9" ht="14.25" thickBot="1" x14ac:dyDescent="0.3">
      <c r="A298" s="255" t="s">
        <v>8</v>
      </c>
      <c r="B298" s="254"/>
      <c r="C298" s="252"/>
      <c r="D298" s="252"/>
      <c r="E298" s="251"/>
      <c r="F298" s="250" t="s">
        <v>133</v>
      </c>
      <c r="G298" s="275"/>
      <c r="H298" s="274"/>
      <c r="I298" s="273">
        <f>B294+H297</f>
        <v>1144270</v>
      </c>
    </row>
    <row r="299" spans="1:9" x14ac:dyDescent="0.25">
      <c r="A299" s="272" t="s">
        <v>7</v>
      </c>
      <c r="B299" s="271">
        <v>536678</v>
      </c>
      <c r="C299" s="270"/>
      <c r="D299" s="270"/>
      <c r="E299" s="269"/>
      <c r="F299" s="268"/>
      <c r="G299" s="267"/>
      <c r="H299" s="266"/>
      <c r="I299" s="265"/>
    </row>
    <row r="300" spans="1:9" x14ac:dyDescent="0.25">
      <c r="A300" s="264" t="s">
        <v>7</v>
      </c>
      <c r="B300" s="263"/>
      <c r="C300" s="261">
        <v>1</v>
      </c>
      <c r="D300" s="261" t="s">
        <v>137</v>
      </c>
      <c r="E300" s="260" t="s">
        <v>143</v>
      </c>
      <c r="F300" s="260" t="s">
        <v>141</v>
      </c>
      <c r="G300" s="279">
        <v>0.5</v>
      </c>
      <c r="H300" s="278">
        <v>21000</v>
      </c>
      <c r="I300" s="276"/>
    </row>
    <row r="301" spans="1:9" x14ac:dyDescent="0.25">
      <c r="A301" s="264" t="s">
        <v>7</v>
      </c>
      <c r="B301" s="263"/>
      <c r="C301" s="261">
        <v>2</v>
      </c>
      <c r="D301" s="261" t="s">
        <v>137</v>
      </c>
      <c r="E301" s="260" t="s">
        <v>142</v>
      </c>
      <c r="F301" s="260" t="s">
        <v>141</v>
      </c>
      <c r="G301" s="279">
        <v>0.18</v>
      </c>
      <c r="H301" s="278">
        <v>31300</v>
      </c>
      <c r="I301" s="276"/>
    </row>
    <row r="302" spans="1:9" x14ac:dyDescent="0.25">
      <c r="A302" s="264" t="s">
        <v>7</v>
      </c>
      <c r="B302" s="263"/>
      <c r="C302" s="261"/>
      <c r="D302" s="261"/>
      <c r="E302" s="260"/>
      <c r="F302" s="259" t="s">
        <v>134</v>
      </c>
      <c r="G302" s="258">
        <f>SUM(G300:G301)</f>
        <v>0.67999999999999994</v>
      </c>
      <c r="H302" s="277">
        <f>SUM(H300:H301)</f>
        <v>52300</v>
      </c>
      <c r="I302" s="276"/>
    </row>
    <row r="303" spans="1:9" ht="14.25" thickBot="1" x14ac:dyDescent="0.3">
      <c r="A303" s="255" t="s">
        <v>7</v>
      </c>
      <c r="B303" s="254"/>
      <c r="C303" s="252"/>
      <c r="D303" s="252"/>
      <c r="E303" s="251"/>
      <c r="F303" s="250" t="s">
        <v>133</v>
      </c>
      <c r="G303" s="275"/>
      <c r="H303" s="274"/>
      <c r="I303" s="273">
        <f>B299+H302</f>
        <v>588978</v>
      </c>
    </row>
    <row r="304" spans="1:9" x14ac:dyDescent="0.25">
      <c r="A304" s="272" t="s">
        <v>6</v>
      </c>
      <c r="B304" s="271">
        <v>471033</v>
      </c>
      <c r="C304" s="270"/>
      <c r="D304" s="270"/>
      <c r="E304" s="269"/>
      <c r="F304" s="268"/>
      <c r="G304" s="267"/>
      <c r="H304" s="266"/>
      <c r="I304" s="265"/>
    </row>
    <row r="305" spans="1:9" x14ac:dyDescent="0.25">
      <c r="A305" s="264" t="s">
        <v>6</v>
      </c>
      <c r="B305" s="263"/>
      <c r="C305" s="262"/>
      <c r="D305" s="261"/>
      <c r="E305" s="260"/>
      <c r="F305" s="259" t="s">
        <v>134</v>
      </c>
      <c r="G305" s="258">
        <v>0</v>
      </c>
      <c r="H305" s="257">
        <v>0</v>
      </c>
      <c r="I305" s="256"/>
    </row>
    <row r="306" spans="1:9" ht="14.25" thickBot="1" x14ac:dyDescent="0.3">
      <c r="A306" s="255" t="s">
        <v>6</v>
      </c>
      <c r="B306" s="254"/>
      <c r="C306" s="253"/>
      <c r="D306" s="252"/>
      <c r="E306" s="251"/>
      <c r="F306" s="250" t="s">
        <v>133</v>
      </c>
      <c r="G306" s="249"/>
      <c r="H306" s="248"/>
      <c r="I306" s="247">
        <f>B304+H305</f>
        <v>471033</v>
      </c>
    </row>
    <row r="307" spans="1:9" x14ac:dyDescent="0.25">
      <c r="A307" s="272" t="s">
        <v>5</v>
      </c>
      <c r="B307" s="271">
        <v>11903112</v>
      </c>
      <c r="C307" s="270"/>
      <c r="D307" s="270"/>
      <c r="E307" s="269"/>
      <c r="F307" s="268"/>
      <c r="G307" s="267"/>
      <c r="H307" s="266"/>
      <c r="I307" s="265"/>
    </row>
    <row r="308" spans="1:9" x14ac:dyDescent="0.25">
      <c r="A308" s="264" t="s">
        <v>5</v>
      </c>
      <c r="B308" s="263"/>
      <c r="C308" s="261">
        <v>1</v>
      </c>
      <c r="D308" s="261" t="s">
        <v>137</v>
      </c>
      <c r="E308" s="260" t="s">
        <v>140</v>
      </c>
      <c r="F308" s="260" t="s">
        <v>135</v>
      </c>
      <c r="G308" s="279"/>
      <c r="H308" s="278">
        <v>135000</v>
      </c>
      <c r="I308" s="276"/>
    </row>
    <row r="309" spans="1:9" x14ac:dyDescent="0.25">
      <c r="A309" s="264" t="s">
        <v>5</v>
      </c>
      <c r="B309" s="263"/>
      <c r="C309" s="261">
        <v>2</v>
      </c>
      <c r="D309" s="261" t="s">
        <v>137</v>
      </c>
      <c r="E309" s="260" t="s">
        <v>139</v>
      </c>
      <c r="F309" s="260" t="s">
        <v>135</v>
      </c>
      <c r="G309" s="279"/>
      <c r="H309" s="278">
        <v>64000</v>
      </c>
      <c r="I309" s="276"/>
    </row>
    <row r="310" spans="1:9" x14ac:dyDescent="0.25">
      <c r="A310" s="264" t="s">
        <v>5</v>
      </c>
      <c r="B310" s="263"/>
      <c r="C310" s="261"/>
      <c r="D310" s="261"/>
      <c r="E310" s="260"/>
      <c r="F310" s="259" t="s">
        <v>134</v>
      </c>
      <c r="G310" s="258">
        <f>SUM(G308:G309)</f>
        <v>0</v>
      </c>
      <c r="H310" s="277">
        <f>SUM(H308:H309)</f>
        <v>199000</v>
      </c>
      <c r="I310" s="276"/>
    </row>
    <row r="311" spans="1:9" ht="14.25" thickBot="1" x14ac:dyDescent="0.3">
      <c r="A311" s="255" t="s">
        <v>5</v>
      </c>
      <c r="B311" s="254"/>
      <c r="C311" s="252"/>
      <c r="D311" s="252"/>
      <c r="E311" s="251"/>
      <c r="F311" s="250" t="s">
        <v>133</v>
      </c>
      <c r="G311" s="275"/>
      <c r="H311" s="274"/>
      <c r="I311" s="273">
        <f>B307+H310</f>
        <v>12102112</v>
      </c>
    </row>
    <row r="312" spans="1:9" x14ac:dyDescent="0.25">
      <c r="A312" s="272" t="s">
        <v>4</v>
      </c>
      <c r="B312" s="271">
        <v>677149</v>
      </c>
      <c r="C312" s="270"/>
      <c r="D312" s="270"/>
      <c r="E312" s="269"/>
      <c r="F312" s="268"/>
      <c r="G312" s="267"/>
      <c r="H312" s="266"/>
      <c r="I312" s="265"/>
    </row>
    <row r="313" spans="1:9" x14ac:dyDescent="0.25">
      <c r="A313" s="264" t="s">
        <v>4</v>
      </c>
      <c r="B313" s="263"/>
      <c r="C313" s="262"/>
      <c r="D313" s="261"/>
      <c r="E313" s="260"/>
      <c r="F313" s="259" t="s">
        <v>134</v>
      </c>
      <c r="G313" s="258">
        <v>0</v>
      </c>
      <c r="H313" s="257">
        <v>0</v>
      </c>
      <c r="I313" s="256"/>
    </row>
    <row r="314" spans="1:9" ht="14.25" thickBot="1" x14ac:dyDescent="0.3">
      <c r="A314" s="255" t="s">
        <v>4</v>
      </c>
      <c r="B314" s="254"/>
      <c r="C314" s="253"/>
      <c r="D314" s="252"/>
      <c r="E314" s="251"/>
      <c r="F314" s="250" t="s">
        <v>133</v>
      </c>
      <c r="G314" s="249"/>
      <c r="H314" s="248"/>
      <c r="I314" s="247">
        <f>B312+H313</f>
        <v>677149</v>
      </c>
    </row>
    <row r="315" spans="1:9" x14ac:dyDescent="0.25">
      <c r="A315" s="272" t="s">
        <v>3</v>
      </c>
      <c r="B315" s="271">
        <v>1695872</v>
      </c>
      <c r="C315" s="270"/>
      <c r="D315" s="270"/>
      <c r="E315" s="269"/>
      <c r="F315" s="268"/>
      <c r="G315" s="267"/>
      <c r="H315" s="266"/>
      <c r="I315" s="265"/>
    </row>
    <row r="316" spans="1:9" x14ac:dyDescent="0.25">
      <c r="A316" s="264" t="s">
        <v>3</v>
      </c>
      <c r="B316" s="263"/>
      <c r="C316" s="261">
        <v>1</v>
      </c>
      <c r="D316" s="261" t="s">
        <v>137</v>
      </c>
      <c r="E316" s="260" t="s">
        <v>138</v>
      </c>
      <c r="F316" s="260" t="s">
        <v>135</v>
      </c>
      <c r="G316" s="279">
        <v>2</v>
      </c>
      <c r="H316" s="278">
        <v>92373</v>
      </c>
      <c r="I316" s="276"/>
    </row>
    <row r="317" spans="1:9" x14ac:dyDescent="0.25">
      <c r="A317" s="264" t="s">
        <v>3</v>
      </c>
      <c r="B317" s="263"/>
      <c r="C317" s="261">
        <v>2</v>
      </c>
      <c r="D317" s="261" t="s">
        <v>137</v>
      </c>
      <c r="E317" s="260" t="s">
        <v>136</v>
      </c>
      <c r="F317" s="260" t="s">
        <v>135</v>
      </c>
      <c r="G317" s="279"/>
      <c r="H317" s="278">
        <v>25000</v>
      </c>
      <c r="I317" s="276"/>
    </row>
    <row r="318" spans="1:9" x14ac:dyDescent="0.25">
      <c r="A318" s="264" t="s">
        <v>3</v>
      </c>
      <c r="B318" s="263"/>
      <c r="C318" s="262"/>
      <c r="D318" s="261"/>
      <c r="E318" s="260"/>
      <c r="F318" s="259" t="s">
        <v>134</v>
      </c>
      <c r="G318" s="258">
        <f>SUM(G316:G317)</f>
        <v>2</v>
      </c>
      <c r="H318" s="277">
        <f>SUM(H316:H317)</f>
        <v>117373</v>
      </c>
      <c r="I318" s="276"/>
    </row>
    <row r="319" spans="1:9" ht="14.25" thickBot="1" x14ac:dyDescent="0.3">
      <c r="A319" s="255" t="s">
        <v>3</v>
      </c>
      <c r="B319" s="254"/>
      <c r="C319" s="252"/>
      <c r="D319" s="252"/>
      <c r="E319" s="251"/>
      <c r="F319" s="250" t="s">
        <v>133</v>
      </c>
      <c r="G319" s="275"/>
      <c r="H319" s="274"/>
      <c r="I319" s="273">
        <f>B315+H318</f>
        <v>1813245</v>
      </c>
    </row>
    <row r="320" spans="1:9" x14ac:dyDescent="0.25">
      <c r="A320" s="272" t="s">
        <v>2</v>
      </c>
      <c r="B320" s="271">
        <v>793660</v>
      </c>
      <c r="C320" s="270"/>
      <c r="D320" s="270"/>
      <c r="E320" s="269"/>
      <c r="F320" s="268"/>
      <c r="G320" s="267"/>
      <c r="H320" s="266"/>
      <c r="I320" s="265"/>
    </row>
    <row r="321" spans="1:9" x14ac:dyDescent="0.25">
      <c r="A321" s="264" t="s">
        <v>2</v>
      </c>
      <c r="B321" s="263"/>
      <c r="C321" s="262"/>
      <c r="D321" s="261"/>
      <c r="E321" s="260"/>
      <c r="F321" s="259" t="s">
        <v>134</v>
      </c>
      <c r="G321" s="258">
        <v>0</v>
      </c>
      <c r="H321" s="257">
        <v>0</v>
      </c>
      <c r="I321" s="256"/>
    </row>
    <row r="322" spans="1:9" ht="14.25" thickBot="1" x14ac:dyDescent="0.3">
      <c r="A322" s="255" t="s">
        <v>2</v>
      </c>
      <c r="B322" s="254"/>
      <c r="C322" s="253"/>
      <c r="D322" s="252"/>
      <c r="E322" s="251"/>
      <c r="F322" s="250" t="s">
        <v>133</v>
      </c>
      <c r="G322" s="249"/>
      <c r="H322" s="248"/>
      <c r="I322" s="247">
        <f>B320+H321</f>
        <v>793660</v>
      </c>
    </row>
    <row r="323" spans="1:9" ht="14.25" thickBot="1" x14ac:dyDescent="0.3"/>
    <row r="324" spans="1:9" ht="15" thickTop="1" thickBot="1" x14ac:dyDescent="0.3">
      <c r="F324" s="246" t="s">
        <v>0</v>
      </c>
      <c r="G324" s="245">
        <f>SUMIFS(G2:G322,F2:F322,F321)</f>
        <v>45.67</v>
      </c>
      <c r="H324" s="244">
        <f>SUMIFS(H2:H321,$F$2:$F$321,$F$321)</f>
        <v>11913586.99</v>
      </c>
      <c r="I324" s="244">
        <f>SUMIFS(I2:I322,$F$2:$F$322,$F$322)</f>
        <v>467100914.99000001</v>
      </c>
    </row>
  </sheetData>
  <pageMargins left="0.5" right="0.5" top="0.75" bottom="2" header="0.25" footer="0.25"/>
  <pageSetup scale="73" fitToHeight="0" orientation="portrait" r:id="rId1"/>
  <rowBreaks count="1" manualBreakCount="1">
    <brk id="1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C57C-36BB-4E50-B2DA-11C89D84B8A0}">
  <sheetPr>
    <pageSetUpPr fitToPage="1"/>
  </sheetPr>
  <dimension ref="A1:J93"/>
  <sheetViews>
    <sheetView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81" sqref="B81"/>
    </sheetView>
  </sheetViews>
  <sheetFormatPr defaultColWidth="9.140625" defaultRowHeight="13.5" outlineLevelRow="2" x14ac:dyDescent="0.25"/>
  <cols>
    <col min="1" max="1" width="13.7109375" style="161" bestFit="1" customWidth="1"/>
    <col min="2" max="2" width="13.5703125" style="162" bestFit="1" customWidth="1"/>
    <col min="3" max="3" width="18" style="161" bestFit="1" customWidth="1"/>
    <col min="4" max="4" width="15" style="161" bestFit="1" customWidth="1"/>
    <col min="5" max="5" width="10.85546875" style="161" bestFit="1" customWidth="1"/>
    <col min="6" max="6" width="12.5703125" style="142" bestFit="1" customWidth="1"/>
    <col min="7" max="7" width="18.85546875" style="161" bestFit="1" customWidth="1"/>
    <col min="8" max="8" width="16.85546875" style="161" bestFit="1" customWidth="1"/>
    <col min="9" max="9" width="16.42578125" style="161" bestFit="1" customWidth="1"/>
    <col min="10" max="10" width="12.140625" style="142" bestFit="1" customWidth="1"/>
    <col min="11" max="16384" width="9.140625" style="161"/>
  </cols>
  <sheetData>
    <row r="1" spans="1:10" ht="14.25" thickBot="1" x14ac:dyDescent="0.3">
      <c r="A1" s="161" t="s">
        <v>97</v>
      </c>
      <c r="G1" s="161">
        <v>-2.7904780000000001E-2</v>
      </c>
    </row>
    <row r="2" spans="1:10" ht="54.75" thickBot="1" x14ac:dyDescent="0.3">
      <c r="A2" s="206" t="s">
        <v>86</v>
      </c>
      <c r="B2" s="204" t="s">
        <v>98</v>
      </c>
      <c r="C2" s="204" t="s">
        <v>116</v>
      </c>
      <c r="D2" s="204" t="s">
        <v>99</v>
      </c>
      <c r="E2" s="205" t="s">
        <v>100</v>
      </c>
      <c r="F2" s="143" t="s">
        <v>101</v>
      </c>
      <c r="G2" s="204" t="s">
        <v>122</v>
      </c>
      <c r="H2" s="204" t="s">
        <v>102</v>
      </c>
      <c r="I2" s="204" t="s">
        <v>103</v>
      </c>
      <c r="J2" s="144" t="s">
        <v>104</v>
      </c>
    </row>
    <row r="3" spans="1:10" outlineLevel="2" x14ac:dyDescent="0.25">
      <c r="A3" s="203" t="s">
        <v>62</v>
      </c>
      <c r="B3" s="202">
        <v>1</v>
      </c>
      <c r="C3" s="187">
        <v>431843</v>
      </c>
      <c r="D3" s="201">
        <v>11504</v>
      </c>
      <c r="E3" s="200">
        <f>ROUND((C3/D3),2)</f>
        <v>37.54</v>
      </c>
      <c r="F3" s="145">
        <f>E3/$E$7-1</f>
        <v>-0.20401069626680501</v>
      </c>
      <c r="G3" s="187">
        <f>(ROUND((C3*$G$1),0))</f>
        <v>-12050</v>
      </c>
      <c r="H3" s="187">
        <f>ROUND((F3*G3),0)</f>
        <v>2458</v>
      </c>
      <c r="I3" s="186">
        <f>G3+H3</f>
        <v>-9592</v>
      </c>
      <c r="J3" s="146">
        <f t="shared" ref="J3:J34" si="0">ROUND((I3/C3),5)</f>
        <v>-2.2210000000000001E-2</v>
      </c>
    </row>
    <row r="4" spans="1:10" outlineLevel="2" x14ac:dyDescent="0.25">
      <c r="A4" s="192" t="s">
        <v>36</v>
      </c>
      <c r="B4" s="191">
        <v>1</v>
      </c>
      <c r="C4" s="190">
        <v>297398</v>
      </c>
      <c r="D4" s="189">
        <v>5034</v>
      </c>
      <c r="E4" s="188">
        <f>ROUND((C4/D4),2)</f>
        <v>59.08</v>
      </c>
      <c r="F4" s="147">
        <f>E4/$E$7-1</f>
        <v>0.25271838211393605</v>
      </c>
      <c r="G4" s="187">
        <f>(ROUND((C4*$G$1),0))</f>
        <v>-8299</v>
      </c>
      <c r="H4" s="187">
        <f>ROUND((F4*G4),0)</f>
        <v>-2097</v>
      </c>
      <c r="I4" s="186">
        <f>G4+H4</f>
        <v>-10396</v>
      </c>
      <c r="J4" s="146">
        <f t="shared" si="0"/>
        <v>-3.4959999999999998E-2</v>
      </c>
    </row>
    <row r="5" spans="1:10" outlineLevel="2" x14ac:dyDescent="0.25">
      <c r="A5" s="192" t="s">
        <v>31</v>
      </c>
      <c r="B5" s="191">
        <v>1</v>
      </c>
      <c r="C5" s="190">
        <v>295641</v>
      </c>
      <c r="D5" s="189">
        <v>6324</v>
      </c>
      <c r="E5" s="188">
        <f>ROUND((C5/D5),2)</f>
        <v>46.75</v>
      </c>
      <c r="F5" s="147">
        <f>E5/$E$7-1</f>
        <v>-8.7240290482987204E-3</v>
      </c>
      <c r="G5" s="187">
        <f>(ROUND((C5*$G$1),0))</f>
        <v>-8250</v>
      </c>
      <c r="H5" s="187">
        <f>ROUND((F5*G5),0)</f>
        <v>72</v>
      </c>
      <c r="I5" s="186">
        <f>G5+H5</f>
        <v>-8178</v>
      </c>
      <c r="J5" s="146">
        <f t="shared" si="0"/>
        <v>-2.7660000000000001E-2</v>
      </c>
    </row>
    <row r="6" spans="1:10" outlineLevel="2" x14ac:dyDescent="0.25">
      <c r="A6" s="192" t="s">
        <v>6</v>
      </c>
      <c r="B6" s="191">
        <v>1</v>
      </c>
      <c r="C6" s="190">
        <v>461057</v>
      </c>
      <c r="D6" s="189">
        <v>8645.5</v>
      </c>
      <c r="E6" s="188">
        <f>ROUND((C6/D6),2)</f>
        <v>53.33</v>
      </c>
      <c r="F6" s="147">
        <f>E6/$E$7-1</f>
        <v>0.13079673862789787</v>
      </c>
      <c r="G6" s="187">
        <f>(ROUND((C6*$G$1),0))</f>
        <v>-12866</v>
      </c>
      <c r="H6" s="187">
        <f>ROUND((F6*G6),0)</f>
        <v>-1683</v>
      </c>
      <c r="I6" s="186">
        <f>G6+H6</f>
        <v>-14549</v>
      </c>
      <c r="J6" s="146">
        <f t="shared" si="0"/>
        <v>-3.1559999999999998E-2</v>
      </c>
    </row>
    <row r="7" spans="1:10" s="178" customFormat="1" outlineLevel="1" x14ac:dyDescent="0.25">
      <c r="A7" s="199"/>
      <c r="B7" s="198" t="s">
        <v>105</v>
      </c>
      <c r="C7" s="197">
        <f>SUBTOTAL(9,C3:C6)</f>
        <v>1485939</v>
      </c>
      <c r="D7" s="196">
        <f>SUBTOTAL(9,D3:D6)</f>
        <v>31507.5</v>
      </c>
      <c r="E7" s="195">
        <f>C7/D7</f>
        <v>47.161437752915973</v>
      </c>
      <c r="F7" s="148"/>
      <c r="G7" s="194"/>
      <c r="H7" s="194"/>
      <c r="I7" s="193">
        <f>SUM(I3:I6)</f>
        <v>-42715</v>
      </c>
      <c r="J7" s="149">
        <f t="shared" si="0"/>
        <v>-2.8750000000000001E-2</v>
      </c>
    </row>
    <row r="8" spans="1:10" outlineLevel="2" x14ac:dyDescent="0.25">
      <c r="A8" s="192" t="s">
        <v>67</v>
      </c>
      <c r="B8" s="191">
        <v>2</v>
      </c>
      <c r="C8" s="190">
        <v>703912</v>
      </c>
      <c r="D8" s="189">
        <v>22817</v>
      </c>
      <c r="E8" s="188">
        <f t="shared" ref="E8:E18" si="1">ROUND((C8/D8),2)</f>
        <v>30.85</v>
      </c>
      <c r="F8" s="147">
        <f t="shared" ref="F8:F18" si="2">E8/$E$19-1</f>
        <v>-0.15083105687134102</v>
      </c>
      <c r="G8" s="187">
        <f t="shared" ref="G8:G18" si="3">(ROUND((C8*$G$1),0))</f>
        <v>-19643</v>
      </c>
      <c r="H8" s="187">
        <f t="shared" ref="H8:H18" si="4">ROUND((F8*G8),0)</f>
        <v>2963</v>
      </c>
      <c r="I8" s="186">
        <f t="shared" ref="I8:I18" si="5">G8+H8</f>
        <v>-16680</v>
      </c>
      <c r="J8" s="146">
        <f t="shared" si="0"/>
        <v>-2.3699999999999999E-2</v>
      </c>
    </row>
    <row r="9" spans="1:10" outlineLevel="2" x14ac:dyDescent="0.25">
      <c r="A9" s="192" t="s">
        <v>55</v>
      </c>
      <c r="B9" s="191">
        <v>2</v>
      </c>
      <c r="C9" s="190">
        <v>463793</v>
      </c>
      <c r="D9" s="189">
        <v>12495.5</v>
      </c>
      <c r="E9" s="188">
        <f t="shared" si="1"/>
        <v>37.119999999999997</v>
      </c>
      <c r="F9" s="147">
        <f t="shared" si="2"/>
        <v>2.1755305313964968E-2</v>
      </c>
      <c r="G9" s="187">
        <f t="shared" si="3"/>
        <v>-12942</v>
      </c>
      <c r="H9" s="187">
        <f t="shared" si="4"/>
        <v>-282</v>
      </c>
      <c r="I9" s="186">
        <f t="shared" si="5"/>
        <v>-13224</v>
      </c>
      <c r="J9" s="146">
        <f t="shared" si="0"/>
        <v>-2.8510000000000001E-2</v>
      </c>
    </row>
    <row r="10" spans="1:10" outlineLevel="2" x14ac:dyDescent="0.25">
      <c r="A10" s="192" t="s">
        <v>51</v>
      </c>
      <c r="B10" s="191">
        <v>2</v>
      </c>
      <c r="C10" s="190">
        <v>652750</v>
      </c>
      <c r="D10" s="189">
        <v>12493</v>
      </c>
      <c r="E10" s="188">
        <f t="shared" si="1"/>
        <v>52.25</v>
      </c>
      <c r="F10" s="147">
        <f t="shared" si="2"/>
        <v>0.43821968487755036</v>
      </c>
      <c r="G10" s="187">
        <f t="shared" si="3"/>
        <v>-18215</v>
      </c>
      <c r="H10" s="187">
        <f t="shared" si="4"/>
        <v>-7982</v>
      </c>
      <c r="I10" s="186">
        <f t="shared" si="5"/>
        <v>-26197</v>
      </c>
      <c r="J10" s="146">
        <f t="shared" si="0"/>
        <v>-4.0129999999999999E-2</v>
      </c>
    </row>
    <row r="11" spans="1:10" outlineLevel="2" x14ac:dyDescent="0.25">
      <c r="A11" s="192" t="s">
        <v>49</v>
      </c>
      <c r="B11" s="191">
        <v>2</v>
      </c>
      <c r="C11" s="190">
        <v>524697</v>
      </c>
      <c r="D11" s="189">
        <v>9844.5</v>
      </c>
      <c r="E11" s="188">
        <f t="shared" si="1"/>
        <v>53.3</v>
      </c>
      <c r="F11" s="147">
        <f t="shared" si="2"/>
        <v>0.46712170725308</v>
      </c>
      <c r="G11" s="187">
        <f t="shared" si="3"/>
        <v>-14642</v>
      </c>
      <c r="H11" s="187">
        <f t="shared" si="4"/>
        <v>-6840</v>
      </c>
      <c r="I11" s="186">
        <f t="shared" si="5"/>
        <v>-21482</v>
      </c>
      <c r="J11" s="146">
        <f t="shared" si="0"/>
        <v>-4.0939999999999997E-2</v>
      </c>
    </row>
    <row r="12" spans="1:10" outlineLevel="2" x14ac:dyDescent="0.25">
      <c r="A12" s="192" t="s">
        <v>48</v>
      </c>
      <c r="B12" s="191">
        <v>2</v>
      </c>
      <c r="C12" s="190">
        <v>507895</v>
      </c>
      <c r="D12" s="189">
        <v>13584.5</v>
      </c>
      <c r="E12" s="188">
        <f t="shared" si="1"/>
        <v>37.39</v>
      </c>
      <c r="F12" s="147">
        <f t="shared" si="2"/>
        <v>2.9187253924815471E-2</v>
      </c>
      <c r="G12" s="187">
        <f t="shared" si="3"/>
        <v>-14173</v>
      </c>
      <c r="H12" s="187">
        <f t="shared" si="4"/>
        <v>-414</v>
      </c>
      <c r="I12" s="186">
        <f t="shared" si="5"/>
        <v>-14587</v>
      </c>
      <c r="J12" s="146">
        <f t="shared" si="0"/>
        <v>-2.8719999999999999E-2</v>
      </c>
    </row>
    <row r="13" spans="1:10" outlineLevel="2" x14ac:dyDescent="0.25">
      <c r="A13" s="192" t="s">
        <v>47</v>
      </c>
      <c r="B13" s="191">
        <v>2</v>
      </c>
      <c r="C13" s="190">
        <v>471333</v>
      </c>
      <c r="D13" s="189">
        <v>9654.5</v>
      </c>
      <c r="E13" s="188">
        <f t="shared" si="1"/>
        <v>48.82</v>
      </c>
      <c r="F13" s="147">
        <f t="shared" si="2"/>
        <v>0.34380641178415328</v>
      </c>
      <c r="G13" s="187">
        <f t="shared" si="3"/>
        <v>-13152</v>
      </c>
      <c r="H13" s="187">
        <f t="shared" si="4"/>
        <v>-4522</v>
      </c>
      <c r="I13" s="186">
        <f t="shared" si="5"/>
        <v>-17674</v>
      </c>
      <c r="J13" s="146">
        <f t="shared" si="0"/>
        <v>-3.7499999999999999E-2</v>
      </c>
    </row>
    <row r="14" spans="1:10" outlineLevel="2" x14ac:dyDescent="0.25">
      <c r="A14" s="192" t="s">
        <v>46</v>
      </c>
      <c r="B14" s="191">
        <v>2</v>
      </c>
      <c r="C14" s="190">
        <v>507634</v>
      </c>
      <c r="D14" s="189">
        <v>19119</v>
      </c>
      <c r="E14" s="188">
        <f t="shared" si="1"/>
        <v>26.55</v>
      </c>
      <c r="F14" s="147">
        <f t="shared" si="2"/>
        <v>-0.26919171993303426</v>
      </c>
      <c r="G14" s="187">
        <f t="shared" si="3"/>
        <v>-14165</v>
      </c>
      <c r="H14" s="187">
        <f t="shared" si="4"/>
        <v>3813</v>
      </c>
      <c r="I14" s="186">
        <f t="shared" si="5"/>
        <v>-10352</v>
      </c>
      <c r="J14" s="146">
        <f t="shared" si="0"/>
        <v>-2.0389999999999998E-2</v>
      </c>
    </row>
    <row r="15" spans="1:10" outlineLevel="2" x14ac:dyDescent="0.25">
      <c r="A15" s="192" t="s">
        <v>40</v>
      </c>
      <c r="B15" s="191">
        <v>2</v>
      </c>
      <c r="C15" s="190">
        <v>563537</v>
      </c>
      <c r="D15" s="189">
        <v>19053.5</v>
      </c>
      <c r="E15" s="188">
        <f t="shared" si="1"/>
        <v>29.58</v>
      </c>
      <c r="F15" s="147">
        <f t="shared" si="2"/>
        <v>-0.18578874107793419</v>
      </c>
      <c r="G15" s="187">
        <f t="shared" si="3"/>
        <v>-15725</v>
      </c>
      <c r="H15" s="187">
        <f t="shared" si="4"/>
        <v>2922</v>
      </c>
      <c r="I15" s="186">
        <f t="shared" si="5"/>
        <v>-12803</v>
      </c>
      <c r="J15" s="146">
        <f t="shared" si="0"/>
        <v>-2.2720000000000001E-2</v>
      </c>
    </row>
    <row r="16" spans="1:10" outlineLevel="2" x14ac:dyDescent="0.25">
      <c r="A16" s="192" t="s">
        <v>37</v>
      </c>
      <c r="B16" s="191">
        <v>2</v>
      </c>
      <c r="C16" s="190">
        <v>477871</v>
      </c>
      <c r="D16" s="189">
        <v>11534.5</v>
      </c>
      <c r="E16" s="188">
        <f t="shared" si="1"/>
        <v>41.43</v>
      </c>
      <c r="F16" s="147">
        <f t="shared" si="2"/>
        <v>0.14039122573161555</v>
      </c>
      <c r="G16" s="187">
        <f t="shared" si="3"/>
        <v>-13335</v>
      </c>
      <c r="H16" s="187">
        <f t="shared" si="4"/>
        <v>-1872</v>
      </c>
      <c r="I16" s="186">
        <f t="shared" si="5"/>
        <v>-15207</v>
      </c>
      <c r="J16" s="146">
        <f t="shared" si="0"/>
        <v>-3.1820000000000001E-2</v>
      </c>
    </row>
    <row r="17" spans="1:10" outlineLevel="2" x14ac:dyDescent="0.25">
      <c r="A17" s="192" t="s">
        <v>7</v>
      </c>
      <c r="B17" s="191">
        <v>2</v>
      </c>
      <c r="C17" s="190">
        <v>524930</v>
      </c>
      <c r="D17" s="189">
        <v>19552.5</v>
      </c>
      <c r="E17" s="188">
        <f t="shared" si="1"/>
        <v>26.85</v>
      </c>
      <c r="F17" s="147">
        <f t="shared" si="2"/>
        <v>-0.26093399925431138</v>
      </c>
      <c r="G17" s="187">
        <f t="shared" si="3"/>
        <v>-14648</v>
      </c>
      <c r="H17" s="187">
        <f t="shared" si="4"/>
        <v>3822</v>
      </c>
      <c r="I17" s="186">
        <f t="shared" si="5"/>
        <v>-10826</v>
      </c>
      <c r="J17" s="146">
        <f t="shared" si="0"/>
        <v>-2.0619999999999999E-2</v>
      </c>
    </row>
    <row r="18" spans="1:10" outlineLevel="2" x14ac:dyDescent="0.25">
      <c r="A18" s="192" t="s">
        <v>2</v>
      </c>
      <c r="B18" s="191">
        <v>2</v>
      </c>
      <c r="C18" s="190">
        <v>757033</v>
      </c>
      <c r="D18" s="189">
        <v>19283</v>
      </c>
      <c r="E18" s="188">
        <f t="shared" si="1"/>
        <v>39.26</v>
      </c>
      <c r="F18" s="147">
        <f t="shared" si="2"/>
        <v>8.0660379488854073E-2</v>
      </c>
      <c r="G18" s="187">
        <f t="shared" si="3"/>
        <v>-21125</v>
      </c>
      <c r="H18" s="187">
        <f t="shared" si="4"/>
        <v>-1704</v>
      </c>
      <c r="I18" s="186">
        <f t="shared" si="5"/>
        <v>-22829</v>
      </c>
      <c r="J18" s="146">
        <f t="shared" si="0"/>
        <v>-3.0159999999999999E-2</v>
      </c>
    </row>
    <row r="19" spans="1:10" s="178" customFormat="1" outlineLevel="1" x14ac:dyDescent="0.25">
      <c r="A19" s="199"/>
      <c r="B19" s="198" t="s">
        <v>106</v>
      </c>
      <c r="C19" s="197">
        <f>SUBTOTAL(9,C8:C18)</f>
        <v>6155385</v>
      </c>
      <c r="D19" s="196">
        <f>SUBTOTAL(9,D8:D18)</f>
        <v>169431.5</v>
      </c>
      <c r="E19" s="195">
        <f>C19/D19</f>
        <v>36.329637641170621</v>
      </c>
      <c r="F19" s="148"/>
      <c r="G19" s="194"/>
      <c r="H19" s="194"/>
      <c r="I19" s="193">
        <f>SUM(I8:I18)</f>
        <v>-181861</v>
      </c>
      <c r="J19" s="149">
        <f t="shared" si="0"/>
        <v>-2.955E-2</v>
      </c>
    </row>
    <row r="20" spans="1:10" outlineLevel="2" x14ac:dyDescent="0.25">
      <c r="A20" s="192" t="s">
        <v>65</v>
      </c>
      <c r="B20" s="191">
        <v>3</v>
      </c>
      <c r="C20" s="190">
        <v>684149</v>
      </c>
      <c r="D20" s="189">
        <v>35629</v>
      </c>
      <c r="E20" s="188">
        <f t="shared" ref="E20:E30" si="6">ROUND((C20/D20),2)</f>
        <v>19.2</v>
      </c>
      <c r="F20" s="147">
        <f t="shared" ref="F20:F30" si="7">E20/$E$31-1</f>
        <v>-0.35257182941539433</v>
      </c>
      <c r="G20" s="187">
        <f t="shared" ref="G20:G30" si="8">(ROUND((C20*$G$1),0))</f>
        <v>-19091</v>
      </c>
      <c r="H20" s="187">
        <f t="shared" ref="H20:H30" si="9">ROUND((F20*G20),0)</f>
        <v>6731</v>
      </c>
      <c r="I20" s="186">
        <f t="shared" ref="I20:I30" si="10">G20+H20</f>
        <v>-12360</v>
      </c>
      <c r="J20" s="146">
        <f t="shared" si="0"/>
        <v>-1.8069999999999999E-2</v>
      </c>
    </row>
    <row r="21" spans="1:10" outlineLevel="2" x14ac:dyDescent="0.25">
      <c r="A21" s="192" t="s">
        <v>56</v>
      </c>
      <c r="B21" s="191">
        <v>3</v>
      </c>
      <c r="C21" s="190">
        <v>796685</v>
      </c>
      <c r="D21" s="189">
        <v>24491</v>
      </c>
      <c r="E21" s="188">
        <f t="shared" si="6"/>
        <v>32.53</v>
      </c>
      <c r="F21" s="147">
        <f t="shared" si="7"/>
        <v>9.6918666099855555E-2</v>
      </c>
      <c r="G21" s="187">
        <f t="shared" si="8"/>
        <v>-22231</v>
      </c>
      <c r="H21" s="187">
        <f t="shared" si="9"/>
        <v>-2155</v>
      </c>
      <c r="I21" s="186">
        <f t="shared" si="10"/>
        <v>-24386</v>
      </c>
      <c r="J21" s="146">
        <f t="shared" si="0"/>
        <v>-3.0609999999999998E-2</v>
      </c>
    </row>
    <row r="22" spans="1:10" outlineLevel="2" x14ac:dyDescent="0.25">
      <c r="A22" s="192" t="s">
        <v>50</v>
      </c>
      <c r="B22" s="191">
        <v>3</v>
      </c>
      <c r="C22" s="190">
        <v>1244835</v>
      </c>
      <c r="D22" s="189">
        <v>37952</v>
      </c>
      <c r="E22" s="188">
        <f t="shared" si="6"/>
        <v>32.799999999999997</v>
      </c>
      <c r="F22" s="147">
        <f t="shared" si="7"/>
        <v>0.10602312474870135</v>
      </c>
      <c r="G22" s="187">
        <f t="shared" si="8"/>
        <v>-34737</v>
      </c>
      <c r="H22" s="187">
        <f t="shared" si="9"/>
        <v>-3683</v>
      </c>
      <c r="I22" s="186">
        <f t="shared" si="10"/>
        <v>-38420</v>
      </c>
      <c r="J22" s="146">
        <f t="shared" si="0"/>
        <v>-3.0859999999999999E-2</v>
      </c>
    </row>
    <row r="23" spans="1:10" outlineLevel="2" x14ac:dyDescent="0.25">
      <c r="A23" s="192" t="s">
        <v>45</v>
      </c>
      <c r="B23" s="191">
        <v>3</v>
      </c>
      <c r="C23" s="190">
        <v>859725</v>
      </c>
      <c r="D23" s="189">
        <v>23807.5</v>
      </c>
      <c r="E23" s="188">
        <f t="shared" si="6"/>
        <v>36.11</v>
      </c>
      <c r="F23" s="147">
        <f t="shared" si="7"/>
        <v>0.21763704374011006</v>
      </c>
      <c r="G23" s="187">
        <f t="shared" si="8"/>
        <v>-23990</v>
      </c>
      <c r="H23" s="187">
        <f t="shared" si="9"/>
        <v>-5221</v>
      </c>
      <c r="I23" s="186">
        <f t="shared" si="10"/>
        <v>-29211</v>
      </c>
      <c r="J23" s="146">
        <f t="shared" si="0"/>
        <v>-3.3980000000000003E-2</v>
      </c>
    </row>
    <row r="24" spans="1:10" outlineLevel="2" x14ac:dyDescent="0.25">
      <c r="A24" s="192" t="s">
        <v>44</v>
      </c>
      <c r="B24" s="191">
        <v>3</v>
      </c>
      <c r="C24" s="190">
        <v>1219739</v>
      </c>
      <c r="D24" s="189">
        <v>33064.5</v>
      </c>
      <c r="E24" s="188">
        <f t="shared" si="6"/>
        <v>36.89</v>
      </c>
      <c r="F24" s="147">
        <f t="shared" si="7"/>
        <v>0.24393881317010968</v>
      </c>
      <c r="G24" s="187">
        <f t="shared" si="8"/>
        <v>-34037</v>
      </c>
      <c r="H24" s="187">
        <f t="shared" si="9"/>
        <v>-8303</v>
      </c>
      <c r="I24" s="186">
        <f t="shared" si="10"/>
        <v>-42340</v>
      </c>
      <c r="J24" s="146">
        <f t="shared" si="0"/>
        <v>-3.4709999999999998E-2</v>
      </c>
    </row>
    <row r="25" spans="1:10" outlineLevel="2" x14ac:dyDescent="0.25">
      <c r="A25" s="192" t="s">
        <v>38</v>
      </c>
      <c r="B25" s="191">
        <v>3</v>
      </c>
      <c r="C25" s="190">
        <v>1062548</v>
      </c>
      <c r="D25" s="189">
        <v>43391</v>
      </c>
      <c r="E25" s="188">
        <f t="shared" si="6"/>
        <v>24.49</v>
      </c>
      <c r="F25" s="147">
        <f t="shared" si="7"/>
        <v>-0.17419188033244826</v>
      </c>
      <c r="G25" s="187">
        <f t="shared" si="8"/>
        <v>-29650</v>
      </c>
      <c r="H25" s="187">
        <f t="shared" si="9"/>
        <v>5165</v>
      </c>
      <c r="I25" s="186">
        <f t="shared" si="10"/>
        <v>-24485</v>
      </c>
      <c r="J25" s="146">
        <f t="shared" si="0"/>
        <v>-2.3040000000000001E-2</v>
      </c>
    </row>
    <row r="26" spans="1:10" outlineLevel="2" x14ac:dyDescent="0.25">
      <c r="A26" s="192" t="s">
        <v>32</v>
      </c>
      <c r="B26" s="191">
        <v>3</v>
      </c>
      <c r="C26" s="190">
        <v>1052800</v>
      </c>
      <c r="D26" s="189">
        <v>38484.5</v>
      </c>
      <c r="E26" s="188">
        <f t="shared" si="6"/>
        <v>27.36</v>
      </c>
      <c r="F26" s="147">
        <f t="shared" si="7"/>
        <v>-7.7414856916936836E-2</v>
      </c>
      <c r="G26" s="187">
        <f t="shared" si="8"/>
        <v>-29378</v>
      </c>
      <c r="H26" s="187">
        <f t="shared" si="9"/>
        <v>2274</v>
      </c>
      <c r="I26" s="186">
        <f t="shared" si="10"/>
        <v>-27104</v>
      </c>
      <c r="J26" s="146">
        <f t="shared" si="0"/>
        <v>-2.5739999999999999E-2</v>
      </c>
    </row>
    <row r="27" spans="1:10" outlineLevel="2" x14ac:dyDescent="0.25">
      <c r="A27" s="192" t="s">
        <v>30</v>
      </c>
      <c r="B27" s="191">
        <v>3</v>
      </c>
      <c r="C27" s="190">
        <v>536272</v>
      </c>
      <c r="D27" s="189">
        <v>23645</v>
      </c>
      <c r="E27" s="188">
        <f t="shared" si="6"/>
        <v>22.68</v>
      </c>
      <c r="F27" s="147">
        <f t="shared" si="7"/>
        <v>-0.23522547349693457</v>
      </c>
      <c r="G27" s="187">
        <f t="shared" si="8"/>
        <v>-14965</v>
      </c>
      <c r="H27" s="187">
        <f t="shared" si="9"/>
        <v>3520</v>
      </c>
      <c r="I27" s="186">
        <f t="shared" si="10"/>
        <v>-11445</v>
      </c>
      <c r="J27" s="146">
        <f t="shared" si="0"/>
        <v>-2.1340000000000001E-2</v>
      </c>
    </row>
    <row r="28" spans="1:10" outlineLevel="2" x14ac:dyDescent="0.25">
      <c r="A28" s="192" t="s">
        <v>22</v>
      </c>
      <c r="B28" s="191">
        <v>3</v>
      </c>
      <c r="C28" s="190">
        <v>1206313</v>
      </c>
      <c r="D28" s="189">
        <v>35237</v>
      </c>
      <c r="E28" s="188">
        <f t="shared" si="6"/>
        <v>34.229999999999997</v>
      </c>
      <c r="F28" s="147">
        <f t="shared" si="7"/>
        <v>0.15424303537036721</v>
      </c>
      <c r="G28" s="187">
        <f t="shared" si="8"/>
        <v>-33662</v>
      </c>
      <c r="H28" s="187">
        <f t="shared" si="9"/>
        <v>-5192</v>
      </c>
      <c r="I28" s="186">
        <f t="shared" si="10"/>
        <v>-38854</v>
      </c>
      <c r="J28" s="146">
        <f t="shared" si="0"/>
        <v>-3.2210000000000003E-2</v>
      </c>
    </row>
    <row r="29" spans="1:10" outlineLevel="2" x14ac:dyDescent="0.25">
      <c r="A29" s="192" t="s">
        <v>8</v>
      </c>
      <c r="B29" s="191">
        <v>3</v>
      </c>
      <c r="C29" s="190">
        <v>1114884</v>
      </c>
      <c r="D29" s="189">
        <v>33632</v>
      </c>
      <c r="E29" s="188">
        <f t="shared" si="6"/>
        <v>33.15</v>
      </c>
      <c r="F29" s="147">
        <f t="shared" si="7"/>
        <v>0.11782520077498315</v>
      </c>
      <c r="G29" s="187">
        <f t="shared" si="8"/>
        <v>-31111</v>
      </c>
      <c r="H29" s="187">
        <f t="shared" si="9"/>
        <v>-3666</v>
      </c>
      <c r="I29" s="186">
        <f t="shared" si="10"/>
        <v>-34777</v>
      </c>
      <c r="J29" s="146">
        <f t="shared" si="0"/>
        <v>-3.1189999999999999E-2</v>
      </c>
    </row>
    <row r="30" spans="1:10" outlineLevel="2" x14ac:dyDescent="0.25">
      <c r="A30" s="192" t="s">
        <v>4</v>
      </c>
      <c r="B30" s="191">
        <v>3</v>
      </c>
      <c r="C30" s="190">
        <v>642920</v>
      </c>
      <c r="D30" s="189">
        <v>22060.5</v>
      </c>
      <c r="E30" s="188">
        <f t="shared" si="6"/>
        <v>29.14</v>
      </c>
      <c r="F30" s="147">
        <f t="shared" si="7"/>
        <v>-1.7392870268989058E-2</v>
      </c>
      <c r="G30" s="187">
        <f t="shared" si="8"/>
        <v>-17941</v>
      </c>
      <c r="H30" s="187">
        <f t="shared" si="9"/>
        <v>312</v>
      </c>
      <c r="I30" s="186">
        <f t="shared" si="10"/>
        <v>-17629</v>
      </c>
      <c r="J30" s="146">
        <f t="shared" si="0"/>
        <v>-2.742E-2</v>
      </c>
    </row>
    <row r="31" spans="1:10" s="178" customFormat="1" outlineLevel="1" x14ac:dyDescent="0.25">
      <c r="A31" s="199"/>
      <c r="B31" s="198" t="s">
        <v>107</v>
      </c>
      <c r="C31" s="197">
        <f>SUBTOTAL(9,C20:C30)</f>
        <v>10420870</v>
      </c>
      <c r="D31" s="196">
        <f>SUBTOTAL(9,D20:D30)</f>
        <v>351394</v>
      </c>
      <c r="E31" s="195">
        <f>C31/D31</f>
        <v>29.655799472956282</v>
      </c>
      <c r="F31" s="148"/>
      <c r="G31" s="194"/>
      <c r="H31" s="194"/>
      <c r="I31" s="193">
        <f>SUM(I20:I30)</f>
        <v>-301011</v>
      </c>
      <c r="J31" s="149">
        <f t="shared" si="0"/>
        <v>-2.8889999999999999E-2</v>
      </c>
    </row>
    <row r="32" spans="1:10" outlineLevel="2" x14ac:dyDescent="0.25">
      <c r="A32" s="192" t="s">
        <v>60</v>
      </c>
      <c r="B32" s="191">
        <v>4</v>
      </c>
      <c r="C32" s="190">
        <v>3016536</v>
      </c>
      <c r="D32" s="189">
        <v>87092.5</v>
      </c>
      <c r="E32" s="188">
        <f t="shared" ref="E32:E40" si="11">ROUND((C32/D32),2)</f>
        <v>34.64</v>
      </c>
      <c r="F32" s="147">
        <f t="shared" ref="F32:F40" si="12">E32/$E$41-1</f>
        <v>0.22354297013275048</v>
      </c>
      <c r="G32" s="187">
        <f t="shared" ref="G32:G40" si="13">(ROUND((C32*$G$1),0))</f>
        <v>-84176</v>
      </c>
      <c r="H32" s="187">
        <f t="shared" ref="H32:H40" si="14">ROUND((F32*G32),0)</f>
        <v>-18817</v>
      </c>
      <c r="I32" s="186">
        <f t="shared" ref="I32:I40" si="15">G32+H32</f>
        <v>-102993</v>
      </c>
      <c r="J32" s="146">
        <f t="shared" si="0"/>
        <v>-3.4139999999999997E-2</v>
      </c>
    </row>
    <row r="33" spans="1:10" outlineLevel="2" x14ac:dyDescent="0.25">
      <c r="A33" s="192" t="s">
        <v>57</v>
      </c>
      <c r="B33" s="191">
        <v>4</v>
      </c>
      <c r="C33" s="190">
        <v>1438231</v>
      </c>
      <c r="D33" s="189">
        <v>58253.5</v>
      </c>
      <c r="E33" s="188">
        <f t="shared" si="11"/>
        <v>24.69</v>
      </c>
      <c r="F33" s="147">
        <f t="shared" si="12"/>
        <v>-0.12790773866692806</v>
      </c>
      <c r="G33" s="187">
        <f t="shared" si="13"/>
        <v>-40134</v>
      </c>
      <c r="H33" s="187">
        <f t="shared" si="14"/>
        <v>5133</v>
      </c>
      <c r="I33" s="186">
        <f t="shared" si="15"/>
        <v>-35001</v>
      </c>
      <c r="J33" s="146">
        <f t="shared" si="0"/>
        <v>-2.4340000000000001E-2</v>
      </c>
    </row>
    <row r="34" spans="1:10" outlineLevel="2" x14ac:dyDescent="0.25">
      <c r="A34" s="192" t="s">
        <v>52</v>
      </c>
      <c r="B34" s="191">
        <v>4</v>
      </c>
      <c r="C34" s="190">
        <v>1822336</v>
      </c>
      <c r="D34" s="189">
        <v>77121</v>
      </c>
      <c r="E34" s="188">
        <f t="shared" si="11"/>
        <v>23.63</v>
      </c>
      <c r="F34" s="147">
        <f t="shared" si="12"/>
        <v>-0.16534871869985868</v>
      </c>
      <c r="G34" s="187">
        <f t="shared" si="13"/>
        <v>-50852</v>
      </c>
      <c r="H34" s="187">
        <f t="shared" si="14"/>
        <v>8408</v>
      </c>
      <c r="I34" s="186">
        <f t="shared" si="15"/>
        <v>-42444</v>
      </c>
      <c r="J34" s="146">
        <f t="shared" si="0"/>
        <v>-2.3290000000000002E-2</v>
      </c>
    </row>
    <row r="35" spans="1:10" outlineLevel="2" x14ac:dyDescent="0.25">
      <c r="A35" s="192" t="s">
        <v>42</v>
      </c>
      <c r="B35" s="191">
        <v>4</v>
      </c>
      <c r="C35" s="190">
        <v>1873854</v>
      </c>
      <c r="D35" s="189">
        <v>65275</v>
      </c>
      <c r="E35" s="188">
        <f t="shared" si="11"/>
        <v>28.71</v>
      </c>
      <c r="F35" s="147">
        <f t="shared" si="12"/>
        <v>1.408541202399749E-2</v>
      </c>
      <c r="G35" s="187">
        <f t="shared" si="13"/>
        <v>-52289</v>
      </c>
      <c r="H35" s="187">
        <f t="shared" si="14"/>
        <v>-737</v>
      </c>
      <c r="I35" s="186">
        <f t="shared" si="15"/>
        <v>-53026</v>
      </c>
      <c r="J35" s="146">
        <f t="shared" ref="J35:J66" si="16">ROUND((I35/C35),5)</f>
        <v>-2.8299999999999999E-2</v>
      </c>
    </row>
    <row r="36" spans="1:10" outlineLevel="2" x14ac:dyDescent="0.25">
      <c r="A36" s="192" t="s">
        <v>39</v>
      </c>
      <c r="B36" s="191">
        <v>4</v>
      </c>
      <c r="C36" s="190">
        <v>3012311</v>
      </c>
      <c r="D36" s="189">
        <v>100990</v>
      </c>
      <c r="E36" s="188">
        <f t="shared" si="11"/>
        <v>29.83</v>
      </c>
      <c r="F36" s="147">
        <f t="shared" si="12"/>
        <v>5.3645692813508949E-2</v>
      </c>
      <c r="G36" s="187">
        <f t="shared" si="13"/>
        <v>-84058</v>
      </c>
      <c r="H36" s="187">
        <f t="shared" si="14"/>
        <v>-4509</v>
      </c>
      <c r="I36" s="186">
        <f t="shared" si="15"/>
        <v>-88567</v>
      </c>
      <c r="J36" s="146">
        <f t="shared" si="16"/>
        <v>-2.9399999999999999E-2</v>
      </c>
    </row>
    <row r="37" spans="1:10" outlineLevel="2" x14ac:dyDescent="0.25">
      <c r="A37" s="192" t="s">
        <v>24</v>
      </c>
      <c r="B37" s="191">
        <v>4</v>
      </c>
      <c r="C37" s="190">
        <v>1562176</v>
      </c>
      <c r="D37" s="189">
        <v>62815</v>
      </c>
      <c r="E37" s="188">
        <f t="shared" si="11"/>
        <v>24.87</v>
      </c>
      <c r="F37" s="147">
        <f t="shared" si="12"/>
        <v>-0.12154983639718508</v>
      </c>
      <c r="G37" s="187">
        <f t="shared" si="13"/>
        <v>-43592</v>
      </c>
      <c r="H37" s="187">
        <f t="shared" si="14"/>
        <v>5299</v>
      </c>
      <c r="I37" s="186">
        <f t="shared" si="15"/>
        <v>-38293</v>
      </c>
      <c r="J37" s="146">
        <f t="shared" si="16"/>
        <v>-2.4510000000000001E-2</v>
      </c>
    </row>
    <row r="38" spans="1:10" outlineLevel="2" x14ac:dyDescent="0.25">
      <c r="A38" s="192" t="s">
        <v>15</v>
      </c>
      <c r="B38" s="191">
        <v>4</v>
      </c>
      <c r="C38" s="190">
        <v>2047564</v>
      </c>
      <c r="D38" s="189">
        <v>67566</v>
      </c>
      <c r="E38" s="188">
        <f t="shared" si="11"/>
        <v>30.3</v>
      </c>
      <c r="F38" s="147">
        <f t="shared" si="12"/>
        <v>7.0246882073393246E-2</v>
      </c>
      <c r="G38" s="187">
        <f t="shared" si="13"/>
        <v>-57137</v>
      </c>
      <c r="H38" s="187">
        <f t="shared" si="14"/>
        <v>-4014</v>
      </c>
      <c r="I38" s="186">
        <f t="shared" si="15"/>
        <v>-61151</v>
      </c>
      <c r="J38" s="146">
        <f t="shared" si="16"/>
        <v>-2.9870000000000001E-2</v>
      </c>
    </row>
    <row r="39" spans="1:10" outlineLevel="2" x14ac:dyDescent="0.25">
      <c r="A39" s="192" t="s">
        <v>9</v>
      </c>
      <c r="B39" s="191">
        <v>4</v>
      </c>
      <c r="C39" s="190">
        <v>1872818</v>
      </c>
      <c r="D39" s="189">
        <v>71926.5</v>
      </c>
      <c r="E39" s="188">
        <f t="shared" si="11"/>
        <v>26.04</v>
      </c>
      <c r="F39" s="147">
        <f t="shared" si="12"/>
        <v>-8.0223471643856126E-2</v>
      </c>
      <c r="G39" s="187">
        <f t="shared" si="13"/>
        <v>-52261</v>
      </c>
      <c r="H39" s="187">
        <f t="shared" si="14"/>
        <v>4193</v>
      </c>
      <c r="I39" s="186">
        <f t="shared" si="15"/>
        <v>-48068</v>
      </c>
      <c r="J39" s="146">
        <f t="shared" si="16"/>
        <v>-2.5669999999999998E-2</v>
      </c>
    </row>
    <row r="40" spans="1:10" outlineLevel="2" x14ac:dyDescent="0.25">
      <c r="A40" s="192" t="s">
        <v>3</v>
      </c>
      <c r="B40" s="191">
        <v>4</v>
      </c>
      <c r="C40" s="190">
        <v>1637478</v>
      </c>
      <c r="D40" s="189">
        <v>54757.5</v>
      </c>
      <c r="E40" s="188">
        <f t="shared" si="11"/>
        <v>29.9</v>
      </c>
      <c r="F40" s="147">
        <f t="shared" si="12"/>
        <v>5.6118210362853249E-2</v>
      </c>
      <c r="G40" s="187">
        <f t="shared" si="13"/>
        <v>-45693</v>
      </c>
      <c r="H40" s="187">
        <f t="shared" si="14"/>
        <v>-2564</v>
      </c>
      <c r="I40" s="186">
        <f t="shared" si="15"/>
        <v>-48257</v>
      </c>
      <c r="J40" s="146">
        <f t="shared" si="16"/>
        <v>-2.947E-2</v>
      </c>
    </row>
    <row r="41" spans="1:10" s="178" customFormat="1" outlineLevel="1" x14ac:dyDescent="0.25">
      <c r="A41" s="199"/>
      <c r="B41" s="198" t="s">
        <v>108</v>
      </c>
      <c r="C41" s="197">
        <f>SUBTOTAL(9,C32:C40)</f>
        <v>18283304</v>
      </c>
      <c r="D41" s="196">
        <f>SUBTOTAL(9,D32:D40)</f>
        <v>645797</v>
      </c>
      <c r="E41" s="195">
        <f>C41/D41</f>
        <v>28.311224734707658</v>
      </c>
      <c r="F41" s="148"/>
      <c r="G41" s="194"/>
      <c r="H41" s="194"/>
      <c r="I41" s="193">
        <f>SUM(I32:I40)</f>
        <v>-517800</v>
      </c>
      <c r="J41" s="149">
        <f t="shared" si="16"/>
        <v>-2.8320000000000001E-2</v>
      </c>
    </row>
    <row r="42" spans="1:10" outlineLevel="2" x14ac:dyDescent="0.25">
      <c r="A42" s="192" t="s">
        <v>68</v>
      </c>
      <c r="B42" s="191">
        <v>5</v>
      </c>
      <c r="C42" s="190">
        <v>5948988</v>
      </c>
      <c r="D42" s="189">
        <v>196928.5</v>
      </c>
      <c r="E42" s="188">
        <f t="shared" ref="E42:E50" si="17">ROUND((C42/D42),2)</f>
        <v>30.21</v>
      </c>
      <c r="F42" s="147">
        <f t="shared" ref="F42:F50" si="18">E42/$E$51-1</f>
        <v>0.12208832925226121</v>
      </c>
      <c r="G42" s="187">
        <f t="shared" ref="G42:G50" si="19">(ROUND((C42*$G$1),0))</f>
        <v>-166005</v>
      </c>
      <c r="H42" s="187">
        <f t="shared" ref="H42:H50" si="20">ROUND((F42*G42),0)</f>
        <v>-20267</v>
      </c>
      <c r="I42" s="186">
        <f t="shared" ref="I42:I50" si="21">G42+H42</f>
        <v>-186272</v>
      </c>
      <c r="J42" s="146">
        <f t="shared" si="16"/>
        <v>-3.1309999999999998E-2</v>
      </c>
    </row>
    <row r="43" spans="1:10" outlineLevel="2" x14ac:dyDescent="0.25">
      <c r="A43" s="192" t="s">
        <v>61</v>
      </c>
      <c r="B43" s="191">
        <v>5</v>
      </c>
      <c r="C43" s="190">
        <v>3586752</v>
      </c>
      <c r="D43" s="189">
        <v>147088.5</v>
      </c>
      <c r="E43" s="188">
        <f t="shared" si="17"/>
        <v>24.38</v>
      </c>
      <c r="F43" s="147">
        <f t="shared" si="18"/>
        <v>-9.4455032533263039E-2</v>
      </c>
      <c r="G43" s="187">
        <f t="shared" si="19"/>
        <v>-100088</v>
      </c>
      <c r="H43" s="187">
        <f t="shared" si="20"/>
        <v>9454</v>
      </c>
      <c r="I43" s="186">
        <f t="shared" si="21"/>
        <v>-90634</v>
      </c>
      <c r="J43" s="146">
        <f t="shared" si="16"/>
        <v>-2.5270000000000001E-2</v>
      </c>
    </row>
    <row r="44" spans="1:10" outlineLevel="2" x14ac:dyDescent="0.25">
      <c r="A44" s="192" t="s">
        <v>59</v>
      </c>
      <c r="B44" s="191">
        <v>5</v>
      </c>
      <c r="C44" s="190">
        <v>3677494</v>
      </c>
      <c r="D44" s="189">
        <v>130747</v>
      </c>
      <c r="E44" s="188">
        <f t="shared" si="17"/>
        <v>28.13</v>
      </c>
      <c r="F44" s="147">
        <f t="shared" si="18"/>
        <v>4.4831006351079283E-2</v>
      </c>
      <c r="G44" s="187">
        <f t="shared" si="19"/>
        <v>-102620</v>
      </c>
      <c r="H44" s="187">
        <f t="shared" si="20"/>
        <v>-4601</v>
      </c>
      <c r="I44" s="186">
        <f t="shared" si="21"/>
        <v>-107221</v>
      </c>
      <c r="J44" s="146">
        <f t="shared" si="16"/>
        <v>-2.9159999999999998E-2</v>
      </c>
    </row>
    <row r="45" spans="1:10" outlineLevel="2" x14ac:dyDescent="0.25">
      <c r="A45" s="192" t="s">
        <v>43</v>
      </c>
      <c r="B45" s="191">
        <v>5</v>
      </c>
      <c r="C45" s="190">
        <v>3432337</v>
      </c>
      <c r="D45" s="189">
        <v>150019.5</v>
      </c>
      <c r="E45" s="188">
        <f t="shared" si="17"/>
        <v>22.88</v>
      </c>
      <c r="F45" s="147">
        <f t="shared" si="18"/>
        <v>-0.15016944808699995</v>
      </c>
      <c r="G45" s="187">
        <f t="shared" si="19"/>
        <v>-95779</v>
      </c>
      <c r="H45" s="187">
        <f t="shared" si="20"/>
        <v>14383</v>
      </c>
      <c r="I45" s="186">
        <f t="shared" si="21"/>
        <v>-81396</v>
      </c>
      <c r="J45" s="146">
        <f t="shared" si="16"/>
        <v>-2.3709999999999998E-2</v>
      </c>
    </row>
    <row r="46" spans="1:10" outlineLevel="2" x14ac:dyDescent="0.25">
      <c r="A46" s="192" t="s">
        <v>27</v>
      </c>
      <c r="B46" s="191">
        <v>5</v>
      </c>
      <c r="C46" s="190">
        <v>3631959</v>
      </c>
      <c r="D46" s="189">
        <v>110967.5</v>
      </c>
      <c r="E46" s="188">
        <f t="shared" si="17"/>
        <v>32.729999999999997</v>
      </c>
      <c r="F46" s="147">
        <f t="shared" si="18"/>
        <v>0.21568854738253895</v>
      </c>
      <c r="G46" s="187">
        <f t="shared" si="19"/>
        <v>-101349</v>
      </c>
      <c r="H46" s="187">
        <f t="shared" si="20"/>
        <v>-21860</v>
      </c>
      <c r="I46" s="186">
        <f t="shared" si="21"/>
        <v>-123209</v>
      </c>
      <c r="J46" s="146">
        <f t="shared" si="16"/>
        <v>-3.3919999999999999E-2</v>
      </c>
    </row>
    <row r="47" spans="1:10" outlineLevel="2" x14ac:dyDescent="0.25">
      <c r="A47" s="192" t="s">
        <v>25</v>
      </c>
      <c r="B47" s="191">
        <v>5</v>
      </c>
      <c r="C47" s="190">
        <v>3520344</v>
      </c>
      <c r="D47" s="189">
        <v>106173</v>
      </c>
      <c r="E47" s="188">
        <f t="shared" si="17"/>
        <v>33.159999999999997</v>
      </c>
      <c r="F47" s="147">
        <f t="shared" si="18"/>
        <v>0.23166001317461027</v>
      </c>
      <c r="G47" s="187">
        <f t="shared" si="19"/>
        <v>-98234</v>
      </c>
      <c r="H47" s="187">
        <f t="shared" si="20"/>
        <v>-22757</v>
      </c>
      <c r="I47" s="186">
        <f t="shared" si="21"/>
        <v>-120991</v>
      </c>
      <c r="J47" s="146">
        <f t="shared" si="16"/>
        <v>-3.4369999999999998E-2</v>
      </c>
    </row>
    <row r="48" spans="1:10" outlineLevel="2" x14ac:dyDescent="0.25">
      <c r="A48" s="192" t="s">
        <v>23</v>
      </c>
      <c r="B48" s="191">
        <v>5</v>
      </c>
      <c r="C48" s="190">
        <v>3675742</v>
      </c>
      <c r="D48" s="189">
        <v>166573</v>
      </c>
      <c r="E48" s="188">
        <f t="shared" si="17"/>
        <v>22.07</v>
      </c>
      <c r="F48" s="147">
        <f t="shared" si="18"/>
        <v>-0.18025523248601782</v>
      </c>
      <c r="G48" s="187">
        <f t="shared" si="19"/>
        <v>-102571</v>
      </c>
      <c r="H48" s="187">
        <f t="shared" si="20"/>
        <v>18489</v>
      </c>
      <c r="I48" s="186">
        <f t="shared" si="21"/>
        <v>-84082</v>
      </c>
      <c r="J48" s="146">
        <f t="shared" si="16"/>
        <v>-2.2870000000000001E-2</v>
      </c>
    </row>
    <row r="49" spans="1:10" outlineLevel="2" x14ac:dyDescent="0.25">
      <c r="A49" s="192" t="s">
        <v>14</v>
      </c>
      <c r="B49" s="191">
        <v>5</v>
      </c>
      <c r="C49" s="190">
        <v>3556024</v>
      </c>
      <c r="D49" s="189">
        <v>137200</v>
      </c>
      <c r="E49" s="188">
        <f t="shared" si="17"/>
        <v>25.92</v>
      </c>
      <c r="F49" s="147">
        <f t="shared" si="18"/>
        <v>-3.7254899231426331E-2</v>
      </c>
      <c r="G49" s="187">
        <f t="shared" si="19"/>
        <v>-99230</v>
      </c>
      <c r="H49" s="187">
        <f t="shared" si="20"/>
        <v>3697</v>
      </c>
      <c r="I49" s="186">
        <f t="shared" si="21"/>
        <v>-95533</v>
      </c>
      <c r="J49" s="146">
        <f t="shared" si="16"/>
        <v>-2.6870000000000002E-2</v>
      </c>
    </row>
    <row r="50" spans="1:10" outlineLevel="2" x14ac:dyDescent="0.25">
      <c r="A50" s="192" t="s">
        <v>12</v>
      </c>
      <c r="B50" s="191">
        <v>5</v>
      </c>
      <c r="C50" s="190">
        <v>3166438</v>
      </c>
      <c r="D50" s="189">
        <v>124446</v>
      </c>
      <c r="E50" s="188">
        <f t="shared" si="17"/>
        <v>25.44</v>
      </c>
      <c r="F50" s="147">
        <f t="shared" si="18"/>
        <v>-5.5083512208622176E-2</v>
      </c>
      <c r="G50" s="187">
        <f t="shared" si="19"/>
        <v>-88359</v>
      </c>
      <c r="H50" s="187">
        <f t="shared" si="20"/>
        <v>4867</v>
      </c>
      <c r="I50" s="186">
        <f t="shared" si="21"/>
        <v>-83492</v>
      </c>
      <c r="J50" s="146">
        <f t="shared" si="16"/>
        <v>-2.6370000000000001E-2</v>
      </c>
    </row>
    <row r="51" spans="1:10" s="178" customFormat="1" outlineLevel="1" x14ac:dyDescent="0.25">
      <c r="A51" s="199"/>
      <c r="B51" s="198" t="s">
        <v>109</v>
      </c>
      <c r="C51" s="197">
        <f>SUBTOTAL(9,C42:C50)</f>
        <v>34196078</v>
      </c>
      <c r="D51" s="196">
        <f>SUBTOTAL(9,D42:D50)</f>
        <v>1270143</v>
      </c>
      <c r="E51" s="195">
        <f>C51/D51</f>
        <v>26.923014180293084</v>
      </c>
      <c r="F51" s="148"/>
      <c r="G51" s="194"/>
      <c r="H51" s="194"/>
      <c r="I51" s="193">
        <f>SUM(I42:I50)</f>
        <v>-972830</v>
      </c>
      <c r="J51" s="149">
        <f t="shared" si="16"/>
        <v>-2.845E-2</v>
      </c>
    </row>
    <row r="52" spans="1:10" outlineLevel="2" x14ac:dyDescent="0.25">
      <c r="A52" s="192" t="s">
        <v>66</v>
      </c>
      <c r="B52" s="191">
        <v>6</v>
      </c>
      <c r="C52" s="190">
        <v>3659281</v>
      </c>
      <c r="D52" s="189">
        <v>234983</v>
      </c>
      <c r="E52" s="188">
        <f t="shared" ref="E52:E64" si="22">ROUND((C52/D52),2)</f>
        <v>15.57</v>
      </c>
      <c r="F52" s="147">
        <f t="shared" ref="F52:F64" si="23">E52/$E$65-1</f>
        <v>-0.40982887118403177</v>
      </c>
      <c r="G52" s="187">
        <f t="shared" ref="G52:G64" si="24">(ROUND((C52*$G$1),0))</f>
        <v>-102111</v>
      </c>
      <c r="H52" s="187">
        <f t="shared" ref="H52:H64" si="25">ROUND((F52*G52),0)</f>
        <v>41848</v>
      </c>
      <c r="I52" s="186">
        <f t="shared" ref="I52:I64" si="26">G52+H52</f>
        <v>-60263</v>
      </c>
      <c r="J52" s="146">
        <f t="shared" si="16"/>
        <v>-1.6469999999999999E-2</v>
      </c>
    </row>
    <row r="53" spans="1:10" outlineLevel="2" x14ac:dyDescent="0.25">
      <c r="A53" s="192" t="s">
        <v>64</v>
      </c>
      <c r="B53" s="191">
        <v>6</v>
      </c>
      <c r="C53" s="190">
        <v>11447607</v>
      </c>
      <c r="D53" s="189">
        <v>421947</v>
      </c>
      <c r="E53" s="188">
        <f t="shared" si="22"/>
        <v>27.13</v>
      </c>
      <c r="F53" s="147">
        <f t="shared" si="23"/>
        <v>2.8345711289480935E-2</v>
      </c>
      <c r="G53" s="187">
        <f t="shared" si="24"/>
        <v>-319443</v>
      </c>
      <c r="H53" s="187">
        <f t="shared" si="25"/>
        <v>-9055</v>
      </c>
      <c r="I53" s="186">
        <f t="shared" si="26"/>
        <v>-328498</v>
      </c>
      <c r="J53" s="146">
        <f t="shared" si="16"/>
        <v>-2.87E-2</v>
      </c>
    </row>
    <row r="54" spans="1:10" outlineLevel="2" x14ac:dyDescent="0.25">
      <c r="A54" s="192" t="s">
        <v>58</v>
      </c>
      <c r="B54" s="191">
        <v>6</v>
      </c>
      <c r="C54" s="190">
        <v>6506814</v>
      </c>
      <c r="D54" s="189">
        <v>213907.5</v>
      </c>
      <c r="E54" s="188">
        <f t="shared" si="22"/>
        <v>30.42</v>
      </c>
      <c r="F54" s="147">
        <f t="shared" si="23"/>
        <v>0.1530511071664582</v>
      </c>
      <c r="G54" s="187">
        <f t="shared" si="24"/>
        <v>-181571</v>
      </c>
      <c r="H54" s="187">
        <f t="shared" si="25"/>
        <v>-27790</v>
      </c>
      <c r="I54" s="186">
        <f t="shared" si="26"/>
        <v>-209361</v>
      </c>
      <c r="J54" s="146">
        <f t="shared" si="16"/>
        <v>-3.218E-2</v>
      </c>
    </row>
    <row r="55" spans="1:10" outlineLevel="2" x14ac:dyDescent="0.25">
      <c r="A55" s="192" t="s">
        <v>53</v>
      </c>
      <c r="B55" s="191">
        <v>6</v>
      </c>
      <c r="C55" s="190">
        <v>7003363</v>
      </c>
      <c r="D55" s="189">
        <v>319096</v>
      </c>
      <c r="E55" s="188">
        <f t="shared" si="22"/>
        <v>21.95</v>
      </c>
      <c r="F55" s="147">
        <f t="shared" si="23"/>
        <v>-0.16799895455937686</v>
      </c>
      <c r="G55" s="187">
        <f t="shared" si="24"/>
        <v>-195427</v>
      </c>
      <c r="H55" s="187">
        <f t="shared" si="25"/>
        <v>32832</v>
      </c>
      <c r="I55" s="186">
        <f t="shared" si="26"/>
        <v>-162595</v>
      </c>
      <c r="J55" s="146">
        <f t="shared" si="16"/>
        <v>-2.3220000000000001E-2</v>
      </c>
    </row>
    <row r="56" spans="1:10" outlineLevel="2" x14ac:dyDescent="0.25">
      <c r="A56" s="192" t="s">
        <v>35</v>
      </c>
      <c r="B56" s="191">
        <v>6</v>
      </c>
      <c r="C56" s="190">
        <v>6248755</v>
      </c>
      <c r="D56" s="189">
        <v>223107.5</v>
      </c>
      <c r="E56" s="188">
        <f t="shared" si="22"/>
        <v>28.01</v>
      </c>
      <c r="F56" s="147">
        <f t="shared" si="23"/>
        <v>6.1701561858398923E-2</v>
      </c>
      <c r="G56" s="187">
        <f t="shared" si="24"/>
        <v>-174370</v>
      </c>
      <c r="H56" s="187">
        <f t="shared" si="25"/>
        <v>-10759</v>
      </c>
      <c r="I56" s="186">
        <f t="shared" si="26"/>
        <v>-185129</v>
      </c>
      <c r="J56" s="146">
        <f t="shared" si="16"/>
        <v>-2.963E-2</v>
      </c>
    </row>
    <row r="57" spans="1:10" outlineLevel="2" x14ac:dyDescent="0.25">
      <c r="A57" s="192" t="s">
        <v>33</v>
      </c>
      <c r="B57" s="191">
        <v>6</v>
      </c>
      <c r="C57" s="190">
        <v>5919634</v>
      </c>
      <c r="D57" s="189">
        <v>233591.5</v>
      </c>
      <c r="E57" s="188">
        <f t="shared" si="22"/>
        <v>25.34</v>
      </c>
      <c r="F57" s="147">
        <f t="shared" si="23"/>
        <v>-3.9503121117749784E-2</v>
      </c>
      <c r="G57" s="187">
        <f t="shared" si="24"/>
        <v>-165186</v>
      </c>
      <c r="H57" s="187">
        <f t="shared" si="25"/>
        <v>6525</v>
      </c>
      <c r="I57" s="186">
        <f t="shared" si="26"/>
        <v>-158661</v>
      </c>
      <c r="J57" s="146">
        <f t="shared" si="16"/>
        <v>-2.6800000000000001E-2</v>
      </c>
    </row>
    <row r="58" spans="1:10" outlineLevel="2" x14ac:dyDescent="0.25">
      <c r="A58" s="192" t="s">
        <v>29</v>
      </c>
      <c r="B58" s="191">
        <v>6</v>
      </c>
      <c r="C58" s="190">
        <v>6029043</v>
      </c>
      <c r="D58" s="189">
        <v>235082</v>
      </c>
      <c r="E58" s="188">
        <f t="shared" si="22"/>
        <v>25.65</v>
      </c>
      <c r="F58" s="147">
        <f t="shared" si="23"/>
        <v>-2.7752764667335672E-2</v>
      </c>
      <c r="G58" s="187">
        <f t="shared" si="24"/>
        <v>-168239</v>
      </c>
      <c r="H58" s="187">
        <f t="shared" si="25"/>
        <v>4669</v>
      </c>
      <c r="I58" s="186">
        <f t="shared" si="26"/>
        <v>-163570</v>
      </c>
      <c r="J58" s="146">
        <f t="shared" si="16"/>
        <v>-2.7130000000000001E-2</v>
      </c>
    </row>
    <row r="59" spans="1:10" outlineLevel="2" x14ac:dyDescent="0.25">
      <c r="A59" s="192" t="s">
        <v>28</v>
      </c>
      <c r="B59" s="191">
        <v>6</v>
      </c>
      <c r="C59" s="190">
        <v>6684946</v>
      </c>
      <c r="D59" s="189">
        <v>245179.5</v>
      </c>
      <c r="E59" s="188">
        <f t="shared" si="22"/>
        <v>27.27</v>
      </c>
      <c r="F59" s="147">
        <f t="shared" si="23"/>
        <v>3.365232387999062E-2</v>
      </c>
      <c r="G59" s="187">
        <f t="shared" si="24"/>
        <v>-186542</v>
      </c>
      <c r="H59" s="187">
        <f t="shared" si="25"/>
        <v>-6278</v>
      </c>
      <c r="I59" s="186">
        <f t="shared" si="26"/>
        <v>-192820</v>
      </c>
      <c r="J59" s="146">
        <f t="shared" si="16"/>
        <v>-2.8840000000000001E-2</v>
      </c>
    </row>
    <row r="60" spans="1:10" outlineLevel="2" x14ac:dyDescent="0.25">
      <c r="A60" s="192" t="s">
        <v>20</v>
      </c>
      <c r="B60" s="191">
        <v>6</v>
      </c>
      <c r="C60" s="190">
        <v>7318005</v>
      </c>
      <c r="D60" s="189">
        <v>291798.5</v>
      </c>
      <c r="E60" s="188">
        <f t="shared" si="22"/>
        <v>25.08</v>
      </c>
      <c r="F60" s="147">
        <f t="shared" si="23"/>
        <v>-4.9358258785839326E-2</v>
      </c>
      <c r="G60" s="187">
        <f t="shared" si="24"/>
        <v>-204207</v>
      </c>
      <c r="H60" s="187">
        <f t="shared" si="25"/>
        <v>10079</v>
      </c>
      <c r="I60" s="186">
        <f t="shared" si="26"/>
        <v>-194128</v>
      </c>
      <c r="J60" s="146">
        <f t="shared" si="16"/>
        <v>-2.6530000000000001E-2</v>
      </c>
    </row>
    <row r="61" spans="1:10" outlineLevel="2" x14ac:dyDescent="0.25">
      <c r="A61" s="192" t="s">
        <v>18</v>
      </c>
      <c r="B61" s="191">
        <v>6</v>
      </c>
      <c r="C61" s="190">
        <v>11939169</v>
      </c>
      <c r="D61" s="189">
        <v>380689</v>
      </c>
      <c r="E61" s="188">
        <f t="shared" si="22"/>
        <v>31.36</v>
      </c>
      <c r="F61" s="147">
        <f t="shared" si="23"/>
        <v>0.1886812202741659</v>
      </c>
      <c r="G61" s="187">
        <f t="shared" si="24"/>
        <v>-333160</v>
      </c>
      <c r="H61" s="187">
        <f t="shared" si="25"/>
        <v>-62861</v>
      </c>
      <c r="I61" s="186">
        <f t="shared" si="26"/>
        <v>-396021</v>
      </c>
      <c r="J61" s="146">
        <f t="shared" si="16"/>
        <v>-3.3169999999999998E-2</v>
      </c>
    </row>
    <row r="62" spans="1:10" outlineLevel="2" x14ac:dyDescent="0.25">
      <c r="A62" s="192" t="s">
        <v>13</v>
      </c>
      <c r="B62" s="191">
        <v>6</v>
      </c>
      <c r="C62" s="190">
        <v>6826679</v>
      </c>
      <c r="D62" s="189">
        <v>224473</v>
      </c>
      <c r="E62" s="188">
        <f t="shared" si="22"/>
        <v>30.41</v>
      </c>
      <c r="F62" s="147">
        <f t="shared" si="23"/>
        <v>0.15267206340999318</v>
      </c>
      <c r="G62" s="187">
        <f t="shared" si="24"/>
        <v>-190497</v>
      </c>
      <c r="H62" s="187">
        <f t="shared" si="25"/>
        <v>-29084</v>
      </c>
      <c r="I62" s="186">
        <f t="shared" si="26"/>
        <v>-219581</v>
      </c>
      <c r="J62" s="146">
        <f t="shared" si="16"/>
        <v>-3.2169999999999997E-2</v>
      </c>
    </row>
    <row r="63" spans="1:10" outlineLevel="2" x14ac:dyDescent="0.25">
      <c r="A63" s="192" t="s">
        <v>11</v>
      </c>
      <c r="B63" s="191">
        <v>6</v>
      </c>
      <c r="C63" s="190">
        <v>8322251</v>
      </c>
      <c r="D63" s="189">
        <v>316002.5</v>
      </c>
      <c r="E63" s="188">
        <f t="shared" si="22"/>
        <v>26.34</v>
      </c>
      <c r="F63" s="147">
        <f t="shared" si="23"/>
        <v>-1.5987454712521609E-3</v>
      </c>
      <c r="G63" s="187">
        <f t="shared" si="24"/>
        <v>-232231</v>
      </c>
      <c r="H63" s="187">
        <f t="shared" si="25"/>
        <v>371</v>
      </c>
      <c r="I63" s="186">
        <f t="shared" si="26"/>
        <v>-231860</v>
      </c>
      <c r="J63" s="146">
        <f t="shared" si="16"/>
        <v>-2.7859999999999999E-2</v>
      </c>
    </row>
    <row r="64" spans="1:10" outlineLevel="2" x14ac:dyDescent="0.25">
      <c r="A64" s="192" t="s">
        <v>10</v>
      </c>
      <c r="B64" s="191">
        <v>6</v>
      </c>
      <c r="C64" s="190">
        <v>8976091</v>
      </c>
      <c r="D64" s="189">
        <v>332381</v>
      </c>
      <c r="E64" s="188">
        <f t="shared" si="22"/>
        <v>27.01</v>
      </c>
      <c r="F64" s="147">
        <f t="shared" si="23"/>
        <v>2.37971862119013E-2</v>
      </c>
      <c r="G64" s="187">
        <f t="shared" si="24"/>
        <v>-250476</v>
      </c>
      <c r="H64" s="187">
        <f t="shared" si="25"/>
        <v>-5961</v>
      </c>
      <c r="I64" s="186">
        <f t="shared" si="26"/>
        <v>-256437</v>
      </c>
      <c r="J64" s="146">
        <f t="shared" si="16"/>
        <v>-2.8570000000000002E-2</v>
      </c>
    </row>
    <row r="65" spans="1:10" s="178" customFormat="1" outlineLevel="1" x14ac:dyDescent="0.25">
      <c r="A65" s="199"/>
      <c r="B65" s="198" t="s">
        <v>110</v>
      </c>
      <c r="C65" s="197">
        <f>SUBTOTAL(9,C52:C64)</f>
        <v>96881638</v>
      </c>
      <c r="D65" s="196">
        <f>SUBTOTAL(9,D52:D64)</f>
        <v>3672238</v>
      </c>
      <c r="E65" s="195">
        <f>C65/D65</f>
        <v>26.382178388219934</v>
      </c>
      <c r="F65" s="148"/>
      <c r="G65" s="194"/>
      <c r="H65" s="194"/>
      <c r="I65" s="193">
        <f>SUM(I52:I64)</f>
        <v>-2758924</v>
      </c>
      <c r="J65" s="149">
        <f t="shared" si="16"/>
        <v>-2.8479999999999998E-2</v>
      </c>
    </row>
    <row r="66" spans="1:10" outlineLevel="2" x14ac:dyDescent="0.25">
      <c r="A66" s="192" t="s">
        <v>54</v>
      </c>
      <c r="B66" s="191">
        <v>7</v>
      </c>
      <c r="C66" s="190">
        <v>19581352</v>
      </c>
      <c r="D66" s="189">
        <v>970304.5</v>
      </c>
      <c r="E66" s="188">
        <f>ROUND((C66/D66),2)</f>
        <v>20.18</v>
      </c>
      <c r="F66" s="147">
        <f>E66/$E$71-1</f>
        <v>-0.10591676530368244</v>
      </c>
      <c r="G66" s="187">
        <f>(ROUND((C66*$G$1),0))</f>
        <v>-546413</v>
      </c>
      <c r="H66" s="187">
        <f>ROUND((F66*G66),0)</f>
        <v>57874</v>
      </c>
      <c r="I66" s="186">
        <f>G66+H66</f>
        <v>-488539</v>
      </c>
      <c r="J66" s="146">
        <f t="shared" si="16"/>
        <v>-2.495E-2</v>
      </c>
    </row>
    <row r="67" spans="1:10" outlineLevel="2" x14ac:dyDescent="0.25">
      <c r="A67" s="192" t="s">
        <v>34</v>
      </c>
      <c r="B67" s="191">
        <v>7</v>
      </c>
      <c r="C67" s="190">
        <v>11911893</v>
      </c>
      <c r="D67" s="189">
        <v>551542.5</v>
      </c>
      <c r="E67" s="188">
        <f>ROUND((C67/D67),2)</f>
        <v>21.6</v>
      </c>
      <c r="F67" s="147">
        <f>E67/$E$71-1</f>
        <v>-4.300307881860943E-2</v>
      </c>
      <c r="G67" s="187">
        <f>(ROUND((C67*$G$1),0))</f>
        <v>-332399</v>
      </c>
      <c r="H67" s="187">
        <f>ROUND((F67*G67),0)</f>
        <v>14294</v>
      </c>
      <c r="I67" s="186">
        <f>G67+H67</f>
        <v>-318105</v>
      </c>
      <c r="J67" s="146">
        <f t="shared" ref="J67:J76" si="27">ROUND((I67/C67),5)</f>
        <v>-2.6700000000000002E-2</v>
      </c>
    </row>
    <row r="68" spans="1:10" outlineLevel="2" x14ac:dyDescent="0.25">
      <c r="A68" s="192" t="s">
        <v>17</v>
      </c>
      <c r="B68" s="191">
        <v>7</v>
      </c>
      <c r="C68" s="190">
        <v>23266823.989999998</v>
      </c>
      <c r="D68" s="189">
        <v>808053.5</v>
      </c>
      <c r="E68" s="188">
        <f>ROUND((C68/D68),2)</f>
        <v>28.79</v>
      </c>
      <c r="F68" s="147">
        <f>E68/$E$71-1</f>
        <v>0.27555284077834408</v>
      </c>
      <c r="G68" s="187">
        <f>(ROUND((C68*$G$1),0))</f>
        <v>-649256</v>
      </c>
      <c r="H68" s="187">
        <f>ROUND((F68*G68),0)</f>
        <v>-178904</v>
      </c>
      <c r="I68" s="186">
        <f>G68+H68</f>
        <v>-828160</v>
      </c>
      <c r="J68" s="146">
        <f t="shared" si="27"/>
        <v>-3.5589999999999997E-2</v>
      </c>
    </row>
    <row r="69" spans="1:10" outlineLevel="2" x14ac:dyDescent="0.25">
      <c r="A69" s="192" t="s">
        <v>16</v>
      </c>
      <c r="B69" s="191">
        <v>7</v>
      </c>
      <c r="C69" s="190">
        <v>12500543</v>
      </c>
      <c r="D69" s="189">
        <v>625543</v>
      </c>
      <c r="E69" s="188">
        <f>ROUND((C69/D69),2)</f>
        <v>19.98</v>
      </c>
      <c r="F69" s="147">
        <f>E69/$E$71-1</f>
        <v>-0.11477784790721379</v>
      </c>
      <c r="G69" s="187">
        <f>(ROUND((C69*$G$1),0))</f>
        <v>-348825</v>
      </c>
      <c r="H69" s="187">
        <f>ROUND((F69*G69),0)</f>
        <v>40037</v>
      </c>
      <c r="I69" s="186">
        <f>G69+H69</f>
        <v>-308788</v>
      </c>
      <c r="J69" s="146">
        <f t="shared" si="27"/>
        <v>-2.47E-2</v>
      </c>
    </row>
    <row r="70" spans="1:10" outlineLevel="2" x14ac:dyDescent="0.25">
      <c r="A70" s="192" t="s">
        <v>5</v>
      </c>
      <c r="B70" s="191">
        <v>7</v>
      </c>
      <c r="C70" s="190">
        <v>11762046</v>
      </c>
      <c r="D70" s="189">
        <v>545688</v>
      </c>
      <c r="E70" s="188">
        <f>ROUND((C70/D70),2)</f>
        <v>21.55</v>
      </c>
      <c r="F70" s="147">
        <f>E70/$E$71-1</f>
        <v>-4.5218349469492325E-2</v>
      </c>
      <c r="G70" s="187">
        <f>(ROUND((C70*$G$1),0))</f>
        <v>-328217</v>
      </c>
      <c r="H70" s="187">
        <f>ROUND((F70*G70),0)</f>
        <v>14841</v>
      </c>
      <c r="I70" s="186">
        <f>G70+H70</f>
        <v>-313376</v>
      </c>
      <c r="J70" s="146">
        <f t="shared" si="27"/>
        <v>-2.664E-2</v>
      </c>
    </row>
    <row r="71" spans="1:10" s="178" customFormat="1" outlineLevel="1" x14ac:dyDescent="0.25">
      <c r="A71" s="199"/>
      <c r="B71" s="198" t="s">
        <v>111</v>
      </c>
      <c r="C71" s="197">
        <f>SUBTOTAL(9,C66:C70)</f>
        <v>79022657.989999995</v>
      </c>
      <c r="D71" s="196">
        <f>SUBTOTAL(9,D66:D70)</f>
        <v>3501131.5</v>
      </c>
      <c r="E71" s="195">
        <f>C71/D71</f>
        <v>22.57060552852699</v>
      </c>
      <c r="F71" s="148"/>
      <c r="G71" s="194"/>
      <c r="H71" s="194"/>
      <c r="I71" s="193">
        <f>SUM(I66:I70)</f>
        <v>-2256968</v>
      </c>
      <c r="J71" s="149">
        <f t="shared" si="27"/>
        <v>-2.8559999999999999E-2</v>
      </c>
    </row>
    <row r="72" spans="1:10" outlineLevel="2" x14ac:dyDescent="0.25">
      <c r="A72" s="192" t="s">
        <v>63</v>
      </c>
      <c r="B72" s="191">
        <v>8</v>
      </c>
      <c r="C72" s="190">
        <v>39052261</v>
      </c>
      <c r="D72" s="189">
        <v>1683032</v>
      </c>
      <c r="E72" s="188">
        <f>ROUND((C72/D72),2)</f>
        <v>23.2</v>
      </c>
      <c r="F72" s="147">
        <f>E72/$E$77-1</f>
        <v>-1.9295207885986931E-2</v>
      </c>
      <c r="G72" s="187">
        <f>(ROUND((C72*$G$1),0))</f>
        <v>-1089745</v>
      </c>
      <c r="H72" s="187">
        <f>ROUND((F72*G72),0)</f>
        <v>21027</v>
      </c>
      <c r="I72" s="186">
        <f>G72+H72</f>
        <v>-1068718</v>
      </c>
      <c r="J72" s="146">
        <f t="shared" si="27"/>
        <v>-2.7369999999999998E-2</v>
      </c>
    </row>
    <row r="73" spans="1:10" outlineLevel="2" x14ac:dyDescent="0.25">
      <c r="A73" s="192" t="s">
        <v>41</v>
      </c>
      <c r="B73" s="191">
        <v>8</v>
      </c>
      <c r="C73" s="190">
        <v>30230272</v>
      </c>
      <c r="D73" s="189">
        <v>1327555</v>
      </c>
      <c r="E73" s="188">
        <f>ROUND((C73/D73),2)</f>
        <v>22.77</v>
      </c>
      <c r="F73" s="147">
        <f>E73/$E$77-1</f>
        <v>-3.7472063946720757E-2</v>
      </c>
      <c r="G73" s="187">
        <f>(ROUND((C73*$G$1),0))</f>
        <v>-843569</v>
      </c>
      <c r="H73" s="187">
        <f>ROUND((F73*G73),0)</f>
        <v>31610</v>
      </c>
      <c r="I73" s="186">
        <f>G73+H73</f>
        <v>-811959</v>
      </c>
      <c r="J73" s="146">
        <f t="shared" si="27"/>
        <v>-2.6859999999999998E-2</v>
      </c>
    </row>
    <row r="74" spans="1:10" outlineLevel="2" x14ac:dyDescent="0.25">
      <c r="A74" s="192" t="s">
        <v>26</v>
      </c>
      <c r="B74" s="191">
        <v>8</v>
      </c>
      <c r="C74" s="190">
        <v>72170831</v>
      </c>
      <c r="D74" s="189">
        <v>2981713.5</v>
      </c>
      <c r="E74" s="188">
        <f>ROUND((C74/D74),2)</f>
        <v>24.2</v>
      </c>
      <c r="F74" s="147">
        <f>E74/$E$77-1</f>
        <v>2.2976550394789408E-2</v>
      </c>
      <c r="G74" s="187">
        <f>(ROUND((C74*$G$1),0))</f>
        <v>-2013911</v>
      </c>
      <c r="H74" s="187">
        <f>ROUND((F74*G74),0)</f>
        <v>-46273</v>
      </c>
      <c r="I74" s="186">
        <f>G74+H74</f>
        <v>-2060184</v>
      </c>
      <c r="J74" s="146">
        <f t="shared" si="27"/>
        <v>-2.8549999999999999E-2</v>
      </c>
    </row>
    <row r="75" spans="1:10" outlineLevel="2" x14ac:dyDescent="0.25">
      <c r="A75" s="192" t="s">
        <v>21</v>
      </c>
      <c r="B75" s="191">
        <v>8</v>
      </c>
      <c r="C75" s="190">
        <v>29213120</v>
      </c>
      <c r="D75" s="189">
        <v>1288088.5</v>
      </c>
      <c r="E75" s="188">
        <f>ROUND((C75/D75),2)</f>
        <v>22.68</v>
      </c>
      <c r="F75" s="147">
        <f>E75/$E$77-1</f>
        <v>-4.1276522191990628E-2</v>
      </c>
      <c r="G75" s="187">
        <f>(ROUND((C75*$G$1),0))</f>
        <v>-815186</v>
      </c>
      <c r="H75" s="187">
        <f>ROUND((F75*G75),0)</f>
        <v>33648</v>
      </c>
      <c r="I75" s="186">
        <f>G75+H75</f>
        <v>-781538</v>
      </c>
      <c r="J75" s="146">
        <f t="shared" si="27"/>
        <v>-2.6749999999999999E-2</v>
      </c>
    </row>
    <row r="76" spans="1:10" outlineLevel="2" x14ac:dyDescent="0.25">
      <c r="A76" s="192" t="s">
        <v>19</v>
      </c>
      <c r="B76" s="191">
        <v>8</v>
      </c>
      <c r="C76" s="190">
        <v>30873796</v>
      </c>
      <c r="D76" s="189">
        <v>1239073</v>
      </c>
      <c r="E76" s="188">
        <f>ROUND((C76/D76),2)</f>
        <v>24.92</v>
      </c>
      <c r="F76" s="147">
        <f>E76/$E$77-1</f>
        <v>5.3412216356948594E-2</v>
      </c>
      <c r="G76" s="187">
        <f>(ROUND((C76*$G$1),0))</f>
        <v>-861526</v>
      </c>
      <c r="H76" s="187">
        <f>ROUND((F76*G76),0)</f>
        <v>-46016</v>
      </c>
      <c r="I76" s="186">
        <f>G76+H76</f>
        <v>-907542</v>
      </c>
      <c r="J76" s="146">
        <f t="shared" si="27"/>
        <v>-2.9399999999999999E-2</v>
      </c>
    </row>
    <row r="77" spans="1:10" s="178" customFormat="1" ht="14.25" outlineLevel="1" thickBot="1" x14ac:dyDescent="0.3">
      <c r="A77" s="185"/>
      <c r="B77" s="184" t="s">
        <v>112</v>
      </c>
      <c r="C77" s="183">
        <f>SUBTOTAL(9,C72:C76)</f>
        <v>201540280</v>
      </c>
      <c r="D77" s="182">
        <f>SUBTOTAL(9,D72:D76)</f>
        <v>8519462</v>
      </c>
      <c r="E77" s="181">
        <f>C77/D77</f>
        <v>23.656456241016159</v>
      </c>
      <c r="F77" s="150"/>
      <c r="G77" s="180"/>
      <c r="H77" s="180"/>
      <c r="I77" s="179">
        <f>SUM(I72:I76)</f>
        <v>-5629941</v>
      </c>
      <c r="J77" s="151">
        <v>-3.0023023823282501E-2</v>
      </c>
    </row>
    <row r="78" spans="1:10" ht="14.25" outlineLevel="1" thickBot="1" x14ac:dyDescent="0.3">
      <c r="B78" s="169"/>
      <c r="C78" s="177"/>
      <c r="D78" s="177"/>
      <c r="E78" s="176"/>
      <c r="F78" s="152"/>
      <c r="G78" s="176"/>
      <c r="H78" s="176"/>
      <c r="I78" s="175"/>
      <c r="J78" s="153"/>
    </row>
    <row r="79" spans="1:10" ht="14.25" thickBot="1" x14ac:dyDescent="0.3">
      <c r="B79" s="169" t="s">
        <v>113</v>
      </c>
      <c r="C79" s="174">
        <f>SUBTOTAL(9,C3:C76)</f>
        <v>447986151.99000001</v>
      </c>
      <c r="D79" s="173">
        <f>SUBTOTAL(9,D3:D76)</f>
        <v>18161104.5</v>
      </c>
      <c r="E79" s="172">
        <f>C79/D79</f>
        <v>24.667340688998294</v>
      </c>
      <c r="F79" s="154"/>
      <c r="G79" s="171">
        <f>SUBTOTAL(9,G3:G76)</f>
        <v>-12500957</v>
      </c>
      <c r="H79" s="171">
        <f>SUBTOTAL(9,H3:H76)</f>
        <v>-161093</v>
      </c>
      <c r="I79" s="170">
        <f>SUM(I77,I71,I65,I51,I41,I31,I19,I7)</f>
        <v>-12662050</v>
      </c>
      <c r="J79" s="155">
        <f>ROUND((I79/C79),5)</f>
        <v>-2.826E-2</v>
      </c>
    </row>
    <row r="80" spans="1:10" x14ac:dyDescent="0.25">
      <c r="B80" s="169"/>
      <c r="C80" s="168"/>
      <c r="D80" s="167"/>
      <c r="E80" s="166"/>
      <c r="F80" s="156"/>
      <c r="G80" s="165"/>
      <c r="H80" s="157"/>
      <c r="I80" s="157"/>
      <c r="J80" s="156"/>
    </row>
    <row r="81" spans="2:10" x14ac:dyDescent="0.25">
      <c r="C81" s="164"/>
      <c r="D81" s="164"/>
      <c r="E81" s="164"/>
      <c r="F81" s="152"/>
      <c r="G81" s="164"/>
      <c r="H81" s="158" t="s">
        <v>114</v>
      </c>
      <c r="I81" s="163">
        <v>-12662051</v>
      </c>
      <c r="J81" s="152"/>
    </row>
    <row r="82" spans="2:10" s="1" customFormat="1" x14ac:dyDescent="0.25">
      <c r="B82" s="3"/>
      <c r="F82" s="142"/>
      <c r="H82" s="159" t="s">
        <v>115</v>
      </c>
      <c r="I82" s="160">
        <f>I81-I79</f>
        <v>-1</v>
      </c>
      <c r="J82" s="142"/>
    </row>
    <row r="83" spans="2:10" s="1" customFormat="1" x14ac:dyDescent="0.25">
      <c r="B83" s="3"/>
      <c r="F83" s="142"/>
      <c r="J83" s="142"/>
    </row>
    <row r="84" spans="2:10" s="1" customFormat="1" x14ac:dyDescent="0.25">
      <c r="B84" s="3"/>
      <c r="F84" s="142"/>
      <c r="J84" s="142"/>
    </row>
    <row r="85" spans="2:10" s="1" customFormat="1" x14ac:dyDescent="0.25">
      <c r="B85" s="3"/>
      <c r="F85" s="142"/>
      <c r="I85" s="9"/>
      <c r="J85" s="142"/>
    </row>
    <row r="86" spans="2:10" s="1" customFormat="1" x14ac:dyDescent="0.25">
      <c r="B86" s="3"/>
      <c r="F86" s="142"/>
      <c r="J86" s="142"/>
    </row>
    <row r="87" spans="2:10" s="1" customFormat="1" x14ac:dyDescent="0.25">
      <c r="B87" s="3"/>
      <c r="F87" s="142"/>
      <c r="J87" s="142"/>
    </row>
    <row r="88" spans="2:10" s="1" customFormat="1" x14ac:dyDescent="0.25">
      <c r="B88" s="3"/>
      <c r="F88" s="142"/>
      <c r="J88" s="142"/>
    </row>
    <row r="89" spans="2:10" s="1" customFormat="1" x14ac:dyDescent="0.25">
      <c r="B89" s="3"/>
      <c r="F89" s="142"/>
      <c r="J89" s="142"/>
    </row>
    <row r="90" spans="2:10" s="1" customFormat="1" x14ac:dyDescent="0.25">
      <c r="B90" s="3"/>
      <c r="F90" s="142"/>
      <c r="J90" s="142"/>
    </row>
    <row r="91" spans="2:10" s="1" customFormat="1" x14ac:dyDescent="0.25">
      <c r="B91" s="3"/>
      <c r="F91" s="142"/>
      <c r="J91" s="142"/>
    </row>
    <row r="92" spans="2:10" s="1" customFormat="1" x14ac:dyDescent="0.25">
      <c r="B92" s="3"/>
      <c r="F92" s="142"/>
      <c r="J92" s="142"/>
    </row>
    <row r="93" spans="2:10" s="1" customFormat="1" x14ac:dyDescent="0.25">
      <c r="B93" s="3"/>
      <c r="F93" s="142"/>
      <c r="J93" s="142"/>
    </row>
  </sheetData>
  <pageMargins left="0.5" right="0.5" top="0.75" bottom="0.5" header="0.3" footer="0.3"/>
  <pageSetup paperSize="5" fitToHeight="0" orientation="landscape" horizontalDpi="1200" verticalDpi="1200" r:id="rId1"/>
  <rowBreaks count="2" manualBreakCount="2">
    <brk id="31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CFY 2020-21 Reductions</vt:lpstr>
      <vt:lpstr>Weighted Cases Calc</vt:lpstr>
      <vt:lpstr>New Revenue Summary</vt:lpstr>
      <vt:lpstr>BUDGET CALC.  </vt:lpstr>
      <vt:lpstr>Weighted Cases Calc.  </vt:lpstr>
      <vt:lpstr>Budget Issues Summary</vt:lpstr>
      <vt:lpstr>Peer Group WW wo Jury</vt:lpstr>
      <vt:lpstr>'BUDGET CALC.  '!Print_Area</vt:lpstr>
      <vt:lpstr>'CFY 2020-21 Reductions'!Print_Area</vt:lpstr>
      <vt:lpstr>'New Revenue Summary'!Print_Area</vt:lpstr>
      <vt:lpstr>'BUDGET CALC.  '!Print_Titles</vt:lpstr>
      <vt:lpstr>'Budget Issues Summary'!Print_Titles</vt:lpstr>
      <vt:lpstr>'CFY 2020-21 Reductions'!Print_Titles</vt:lpstr>
      <vt:lpstr>'Peer Group WW wo Jury'!Print_Titles</vt:lpstr>
      <vt:lpstr>'Weighted Cases Calc'!Print_Titles</vt:lpstr>
      <vt:lpstr>'Weighted Cases Calc.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Griffin Kolchakian</cp:lastModifiedBy>
  <cp:lastPrinted>2020-09-24T02:49:17Z</cp:lastPrinted>
  <dcterms:created xsi:type="dcterms:W3CDTF">2020-08-23T15:59:32Z</dcterms:created>
  <dcterms:modified xsi:type="dcterms:W3CDTF">2023-09-01T14:50:00Z</dcterms:modified>
</cp:coreProperties>
</file>