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CCOCSRV19\SharedAll\CCOC Committees\1- Budget Committee\_Archive 2006-2019 Meetings\2019 Meetings\"/>
    </mc:Choice>
  </mc:AlternateContent>
  <xr:revisionPtr revIDLastSave="0" documentId="13_ncr:1_{995FD8BD-42B1-47E6-AE67-44E8DCAE8050}" xr6:coauthVersionLast="47" xr6:coauthVersionMax="47" xr10:uidLastSave="{00000000-0000-0000-0000-000000000000}"/>
  <bookViews>
    <workbookView xWindow="-120" yWindow="-120" windowWidth="29040" windowHeight="15840" tabRatio="722" xr2:uid="{6251D7EB-4CF0-4C2E-A2F7-978D46429E7B}"/>
  </bookViews>
  <sheets>
    <sheet name="New Revenue Summary (ORIGINAL)" sheetId="2" r:id="rId1"/>
    <sheet name="New Revenue Summary (REVISED)" sheetId="5" r:id="rId2"/>
    <sheet name="BUDGET CALC. (ORIGINAL) " sheetId="1" r:id="rId3"/>
    <sheet name="BUDGET CALC. (REVISED July '20)" sheetId="4" r:id="rId4"/>
    <sheet name="BUDGET CALC. (REVISED Aug. '20)" sheetId="3" r:id="rId5"/>
  </sheets>
  <definedNames>
    <definedName name="_xlnm._FilterDatabase" localSheetId="4" hidden="1">'BUDGET CALC. (REVISED Aug. ''20)'!$A$2:$J$2</definedName>
    <definedName name="_xlnm._FilterDatabase" localSheetId="3" hidden="1">'BUDGET CALC. (REVISED July ''20)'!$A$2:$AD$69</definedName>
    <definedName name="_xlnm.Print_Area" localSheetId="0">'New Revenue Summary (ORIGINAL)'!$A$1:$B$25</definedName>
    <definedName name="_xlnm.Print_Area" localSheetId="1">'New Revenue Summary (REVISED)'!$A$1:$B$25</definedName>
    <definedName name="_xlnm.Print_Titles" localSheetId="2">'BUDGET CALC. (ORIGINAL) '!$1:$1</definedName>
    <definedName name="_xlnm.Print_Titles" localSheetId="4">'BUDGET CALC. (REVISED Aug. ''20)'!$A:$A,'BUDGET CALC. (REVISED Aug. ''20)'!$1:$2</definedName>
    <definedName name="_xlnm.Print_Titles" localSheetId="3">'BUDGET CALC. (REVISED July ''20)'!$A:$A,'BUDGET CALC. (REVISED July ''20)'!$1:$2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B9" i="5" s="1"/>
  <c r="B22" i="5" s="1"/>
  <c r="B23" i="5" l="1"/>
  <c r="B15" i="5"/>
  <c r="B16" i="5"/>
  <c r="B74" i="4"/>
  <c r="C69" i="4"/>
  <c r="AE71" i="4"/>
  <c r="V71" i="4"/>
  <c r="T71" i="4"/>
  <c r="O71" i="4"/>
  <c r="N71" i="4"/>
  <c r="M71" i="4"/>
  <c r="L71" i="4"/>
  <c r="K71" i="4"/>
  <c r="F71" i="4"/>
  <c r="E71" i="4"/>
  <c r="D71" i="4"/>
  <c r="B71" i="4"/>
  <c r="Z69" i="4"/>
  <c r="I69" i="4"/>
  <c r="J69" i="4" s="1"/>
  <c r="P69" i="4" s="1"/>
  <c r="Q69" i="4" s="1"/>
  <c r="R69" i="4" s="1"/>
  <c r="S69" i="4" s="1"/>
  <c r="G69" i="4"/>
  <c r="H69" i="4" s="1"/>
  <c r="Z68" i="4"/>
  <c r="I68" i="4"/>
  <c r="J68" i="4" s="1"/>
  <c r="G68" i="4"/>
  <c r="H68" i="4" s="1"/>
  <c r="C68" i="4"/>
  <c r="X68" i="4" s="1"/>
  <c r="Z67" i="4"/>
  <c r="J67" i="4"/>
  <c r="I67" i="4"/>
  <c r="G67" i="4"/>
  <c r="H67" i="4" s="1"/>
  <c r="C67" i="4"/>
  <c r="Z66" i="4"/>
  <c r="P66" i="4"/>
  <c r="Q66" i="4" s="1"/>
  <c r="R66" i="4" s="1"/>
  <c r="S66" i="4" s="1"/>
  <c r="J66" i="4"/>
  <c r="I66" i="4"/>
  <c r="G66" i="4"/>
  <c r="H66" i="4" s="1"/>
  <c r="C66" i="4"/>
  <c r="Z65" i="4"/>
  <c r="J65" i="4"/>
  <c r="P65" i="4" s="1"/>
  <c r="Q65" i="4" s="1"/>
  <c r="R65" i="4" s="1"/>
  <c r="S65" i="4" s="1"/>
  <c r="I65" i="4"/>
  <c r="G65" i="4"/>
  <c r="H65" i="4" s="1"/>
  <c r="C65" i="4"/>
  <c r="Z64" i="4"/>
  <c r="I64" i="4"/>
  <c r="J64" i="4" s="1"/>
  <c r="P64" i="4" s="1"/>
  <c r="Q64" i="4" s="1"/>
  <c r="R64" i="4" s="1"/>
  <c r="S64" i="4" s="1"/>
  <c r="H64" i="4"/>
  <c r="G64" i="4"/>
  <c r="C64" i="4"/>
  <c r="Z63" i="4"/>
  <c r="I63" i="4"/>
  <c r="J63" i="4" s="1"/>
  <c r="G63" i="4"/>
  <c r="H63" i="4" s="1"/>
  <c r="C63" i="4"/>
  <c r="Z62" i="4"/>
  <c r="Y62" i="4"/>
  <c r="I62" i="4"/>
  <c r="J62" i="4" s="1"/>
  <c r="P62" i="4" s="1"/>
  <c r="AB62" i="4" s="1"/>
  <c r="G62" i="4"/>
  <c r="C62" i="4"/>
  <c r="H62" i="4" s="1"/>
  <c r="AB61" i="4"/>
  <c r="Z61" i="4"/>
  <c r="Y61" i="4"/>
  <c r="Q61" i="4"/>
  <c r="R61" i="4" s="1"/>
  <c r="S61" i="4" s="1"/>
  <c r="J61" i="4"/>
  <c r="I61" i="4"/>
  <c r="G61" i="4"/>
  <c r="C61" i="4"/>
  <c r="AB60" i="4"/>
  <c r="Z60" i="4"/>
  <c r="Y60" i="4"/>
  <c r="R60" i="4"/>
  <c r="S60" i="4" s="1"/>
  <c r="Q60" i="4"/>
  <c r="J60" i="4"/>
  <c r="I60" i="4"/>
  <c r="G60" i="4"/>
  <c r="C60" i="4"/>
  <c r="Z59" i="4"/>
  <c r="P59" i="4"/>
  <c r="Q59" i="4" s="1"/>
  <c r="R59" i="4" s="1"/>
  <c r="S59" i="4" s="1"/>
  <c r="J59" i="4"/>
  <c r="I59" i="4"/>
  <c r="G59" i="4"/>
  <c r="C59" i="4"/>
  <c r="Z58" i="4"/>
  <c r="J58" i="4"/>
  <c r="P58" i="4" s="1"/>
  <c r="Q58" i="4" s="1"/>
  <c r="R58" i="4" s="1"/>
  <c r="S58" i="4" s="1"/>
  <c r="I58" i="4"/>
  <c r="G58" i="4"/>
  <c r="H58" i="4" s="1"/>
  <c r="C58" i="4"/>
  <c r="Z57" i="4"/>
  <c r="I57" i="4"/>
  <c r="J57" i="4" s="1"/>
  <c r="P57" i="4" s="1"/>
  <c r="Q57" i="4" s="1"/>
  <c r="R57" i="4" s="1"/>
  <c r="S57" i="4" s="1"/>
  <c r="X57" i="4" s="1"/>
  <c r="G57" i="4"/>
  <c r="H57" i="4" s="1"/>
  <c r="C57" i="4"/>
  <c r="Z56" i="4"/>
  <c r="P56" i="4"/>
  <c r="Q56" i="4" s="1"/>
  <c r="R56" i="4" s="1"/>
  <c r="S56" i="4" s="1"/>
  <c r="J56" i="4"/>
  <c r="I56" i="4"/>
  <c r="G56" i="4"/>
  <c r="H56" i="4" s="1"/>
  <c r="C56" i="4"/>
  <c r="Z55" i="4"/>
  <c r="I55" i="4"/>
  <c r="J55" i="4" s="1"/>
  <c r="P55" i="4" s="1"/>
  <c r="Q55" i="4" s="1"/>
  <c r="R55" i="4" s="1"/>
  <c r="S55" i="4" s="1"/>
  <c r="G55" i="4"/>
  <c r="H55" i="4" s="1"/>
  <c r="C55" i="4"/>
  <c r="Z54" i="4"/>
  <c r="J54" i="4"/>
  <c r="P54" i="4" s="1"/>
  <c r="Q54" i="4" s="1"/>
  <c r="R54" i="4" s="1"/>
  <c r="S54" i="4" s="1"/>
  <c r="I54" i="4"/>
  <c r="G54" i="4"/>
  <c r="H54" i="4" s="1"/>
  <c r="C54" i="4"/>
  <c r="Z53" i="4"/>
  <c r="I53" i="4"/>
  <c r="J53" i="4" s="1"/>
  <c r="P53" i="4" s="1"/>
  <c r="Q53" i="4" s="1"/>
  <c r="R53" i="4" s="1"/>
  <c r="S53" i="4" s="1"/>
  <c r="G53" i="4"/>
  <c r="H53" i="4" s="1"/>
  <c r="C53" i="4"/>
  <c r="Z52" i="4"/>
  <c r="I52" i="4"/>
  <c r="J52" i="4" s="1"/>
  <c r="P52" i="4" s="1"/>
  <c r="Q52" i="4" s="1"/>
  <c r="R52" i="4" s="1"/>
  <c r="S52" i="4" s="1"/>
  <c r="G52" i="4"/>
  <c r="H52" i="4" s="1"/>
  <c r="C52" i="4"/>
  <c r="Z51" i="4"/>
  <c r="Y51" i="4"/>
  <c r="P51" i="4"/>
  <c r="AB51" i="4" s="1"/>
  <c r="I51" i="4"/>
  <c r="J51" i="4" s="1"/>
  <c r="G51" i="4"/>
  <c r="C51" i="4"/>
  <c r="AB50" i="4"/>
  <c r="Z50" i="4"/>
  <c r="Y50" i="4"/>
  <c r="Q50" i="4"/>
  <c r="R50" i="4" s="1"/>
  <c r="S50" i="4" s="1"/>
  <c r="I50" i="4"/>
  <c r="J50" i="4" s="1"/>
  <c r="G50" i="4"/>
  <c r="H50" i="4" s="1"/>
  <c r="C50" i="4"/>
  <c r="Z49" i="4"/>
  <c r="J49" i="4"/>
  <c r="I49" i="4"/>
  <c r="G49" i="4"/>
  <c r="C49" i="4"/>
  <c r="Z48" i="4"/>
  <c r="I48" i="4"/>
  <c r="J48" i="4" s="1"/>
  <c r="G48" i="4"/>
  <c r="C48" i="4"/>
  <c r="Z47" i="4"/>
  <c r="I47" i="4"/>
  <c r="J47" i="4" s="1"/>
  <c r="G47" i="4"/>
  <c r="C47" i="4"/>
  <c r="Z46" i="4"/>
  <c r="I46" i="4"/>
  <c r="J46" i="4" s="1"/>
  <c r="G46" i="4"/>
  <c r="C46" i="4"/>
  <c r="Z45" i="4"/>
  <c r="Y45" i="4"/>
  <c r="I45" i="4"/>
  <c r="J45" i="4" s="1"/>
  <c r="G45" i="4"/>
  <c r="C45" i="4"/>
  <c r="Z44" i="4"/>
  <c r="Y44" i="4"/>
  <c r="I44" i="4"/>
  <c r="J44" i="4" s="1"/>
  <c r="G44" i="4"/>
  <c r="P44" i="4" s="1"/>
  <c r="C44" i="4"/>
  <c r="Z43" i="4"/>
  <c r="Y43" i="4"/>
  <c r="J43" i="4"/>
  <c r="P43" i="4" s="1"/>
  <c r="I43" i="4"/>
  <c r="G43" i="4"/>
  <c r="H43" i="4" s="1"/>
  <c r="C43" i="4"/>
  <c r="Z42" i="4"/>
  <c r="I42" i="4"/>
  <c r="J42" i="4" s="1"/>
  <c r="P42" i="4" s="1"/>
  <c r="Q42" i="4" s="1"/>
  <c r="R42" i="4" s="1"/>
  <c r="S42" i="4" s="1"/>
  <c r="G42" i="4"/>
  <c r="H42" i="4" s="1"/>
  <c r="C42" i="4"/>
  <c r="Z41" i="4"/>
  <c r="I41" i="4"/>
  <c r="J41" i="4" s="1"/>
  <c r="P41" i="4" s="1"/>
  <c r="Q41" i="4" s="1"/>
  <c r="R41" i="4" s="1"/>
  <c r="S41" i="4" s="1"/>
  <c r="G41" i="4"/>
  <c r="C41" i="4"/>
  <c r="H41" i="4" s="1"/>
  <c r="Z40" i="4"/>
  <c r="I40" i="4"/>
  <c r="J40" i="4" s="1"/>
  <c r="P40" i="4" s="1"/>
  <c r="Q40" i="4" s="1"/>
  <c r="R40" i="4" s="1"/>
  <c r="S40" i="4" s="1"/>
  <c r="G40" i="4"/>
  <c r="C40" i="4"/>
  <c r="H40" i="4" s="1"/>
  <c r="Z39" i="4"/>
  <c r="I39" i="4"/>
  <c r="J39" i="4" s="1"/>
  <c r="P39" i="4" s="1"/>
  <c r="Q39" i="4" s="1"/>
  <c r="R39" i="4" s="1"/>
  <c r="S39" i="4" s="1"/>
  <c r="G39" i="4"/>
  <c r="H39" i="4" s="1"/>
  <c r="C39" i="4"/>
  <c r="Z38" i="4"/>
  <c r="J38" i="4"/>
  <c r="P38" i="4" s="1"/>
  <c r="Q38" i="4" s="1"/>
  <c r="R38" i="4" s="1"/>
  <c r="S38" i="4" s="1"/>
  <c r="I38" i="4"/>
  <c r="H38" i="4"/>
  <c r="G38" i="4"/>
  <c r="C38" i="4"/>
  <c r="AB37" i="4"/>
  <c r="Z37" i="4"/>
  <c r="Y37" i="4"/>
  <c r="R37" i="4"/>
  <c r="S37" i="4" s="1"/>
  <c r="Q37" i="4"/>
  <c r="J37" i="4"/>
  <c r="I37" i="4"/>
  <c r="G37" i="4"/>
  <c r="C37" i="4"/>
  <c r="H37" i="4" s="1"/>
  <c r="Z36" i="4"/>
  <c r="J36" i="4"/>
  <c r="I36" i="4"/>
  <c r="G36" i="4"/>
  <c r="C36" i="4"/>
  <c r="Z35" i="4"/>
  <c r="J35" i="4"/>
  <c r="I35" i="4"/>
  <c r="G35" i="4"/>
  <c r="C35" i="4"/>
  <c r="Z34" i="4"/>
  <c r="I34" i="4"/>
  <c r="J34" i="4" s="1"/>
  <c r="G34" i="4"/>
  <c r="C34" i="4"/>
  <c r="Z33" i="4"/>
  <c r="I33" i="4"/>
  <c r="J33" i="4" s="1"/>
  <c r="G33" i="4"/>
  <c r="P33" i="4" s="1"/>
  <c r="Q33" i="4" s="1"/>
  <c r="R33" i="4" s="1"/>
  <c r="S33" i="4" s="1"/>
  <c r="C33" i="4"/>
  <c r="Z32" i="4"/>
  <c r="P32" i="4"/>
  <c r="Q32" i="4" s="1"/>
  <c r="R32" i="4" s="1"/>
  <c r="S32" i="4" s="1"/>
  <c r="J32" i="4"/>
  <c r="I32" i="4"/>
  <c r="G32" i="4"/>
  <c r="C32" i="4"/>
  <c r="Z31" i="4"/>
  <c r="I31" i="4"/>
  <c r="J31" i="4" s="1"/>
  <c r="G31" i="4"/>
  <c r="C31" i="4"/>
  <c r="Z30" i="4"/>
  <c r="I30" i="4"/>
  <c r="J30" i="4" s="1"/>
  <c r="G30" i="4"/>
  <c r="C30" i="4"/>
  <c r="Z29" i="4"/>
  <c r="I29" i="4"/>
  <c r="J29" i="4" s="1"/>
  <c r="P29" i="4" s="1"/>
  <c r="Q29" i="4" s="1"/>
  <c r="R29" i="4" s="1"/>
  <c r="S29" i="4" s="1"/>
  <c r="G29" i="4"/>
  <c r="C29" i="4"/>
  <c r="Z28" i="4"/>
  <c r="I28" i="4"/>
  <c r="J28" i="4" s="1"/>
  <c r="G28" i="4"/>
  <c r="C28" i="4"/>
  <c r="Z27" i="4"/>
  <c r="I27" i="4"/>
  <c r="J27" i="4" s="1"/>
  <c r="G27" i="4"/>
  <c r="C27" i="4"/>
  <c r="Z26" i="4"/>
  <c r="I26" i="4"/>
  <c r="J26" i="4" s="1"/>
  <c r="G26" i="4"/>
  <c r="C26" i="4"/>
  <c r="Z25" i="4"/>
  <c r="I25" i="4"/>
  <c r="J25" i="4" s="1"/>
  <c r="P25" i="4" s="1"/>
  <c r="Q25" i="4" s="1"/>
  <c r="R25" i="4" s="1"/>
  <c r="S25" i="4" s="1"/>
  <c r="G25" i="4"/>
  <c r="C25" i="4"/>
  <c r="Z24" i="4"/>
  <c r="I24" i="4"/>
  <c r="J24" i="4" s="1"/>
  <c r="G24" i="4"/>
  <c r="C24" i="4"/>
  <c r="Z23" i="4"/>
  <c r="I23" i="4"/>
  <c r="J23" i="4" s="1"/>
  <c r="G23" i="4"/>
  <c r="C23" i="4"/>
  <c r="Z22" i="4"/>
  <c r="I22" i="4"/>
  <c r="J22" i="4" s="1"/>
  <c r="G22" i="4"/>
  <c r="C22" i="4"/>
  <c r="Z21" i="4"/>
  <c r="I21" i="4"/>
  <c r="J21" i="4" s="1"/>
  <c r="P21" i="4" s="1"/>
  <c r="Q21" i="4" s="1"/>
  <c r="R21" i="4" s="1"/>
  <c r="S21" i="4" s="1"/>
  <c r="G21" i="4"/>
  <c r="C21" i="4"/>
  <c r="Z20" i="4"/>
  <c r="I20" i="4"/>
  <c r="J20" i="4" s="1"/>
  <c r="G20" i="4"/>
  <c r="C20" i="4"/>
  <c r="Z19" i="4"/>
  <c r="I19" i="4"/>
  <c r="J19" i="4" s="1"/>
  <c r="G19" i="4"/>
  <c r="C19" i="4"/>
  <c r="Z18" i="4"/>
  <c r="I18" i="4"/>
  <c r="J18" i="4" s="1"/>
  <c r="G18" i="4"/>
  <c r="C18" i="4"/>
  <c r="Z17" i="4"/>
  <c r="I17" i="4"/>
  <c r="J17" i="4" s="1"/>
  <c r="P17" i="4" s="1"/>
  <c r="Q17" i="4" s="1"/>
  <c r="R17" i="4" s="1"/>
  <c r="S17" i="4" s="1"/>
  <c r="G17" i="4"/>
  <c r="C17" i="4"/>
  <c r="Z16" i="4"/>
  <c r="I16" i="4"/>
  <c r="J16" i="4" s="1"/>
  <c r="G16" i="4"/>
  <c r="C16" i="4"/>
  <c r="Z15" i="4"/>
  <c r="I15" i="4"/>
  <c r="J15" i="4" s="1"/>
  <c r="G15" i="4"/>
  <c r="C15" i="4"/>
  <c r="Z14" i="4"/>
  <c r="I14" i="4"/>
  <c r="J14" i="4" s="1"/>
  <c r="P14" i="4" s="1"/>
  <c r="Q14" i="4" s="1"/>
  <c r="R14" i="4" s="1"/>
  <c r="S14" i="4" s="1"/>
  <c r="G14" i="4"/>
  <c r="C14" i="4"/>
  <c r="X14" i="4" s="1"/>
  <c r="Z13" i="4"/>
  <c r="I13" i="4"/>
  <c r="J13" i="4" s="1"/>
  <c r="P13" i="4" s="1"/>
  <c r="Q13" i="4" s="1"/>
  <c r="R13" i="4" s="1"/>
  <c r="S13" i="4" s="1"/>
  <c r="G13" i="4"/>
  <c r="C13" i="4"/>
  <c r="Z12" i="4"/>
  <c r="Y12" i="4"/>
  <c r="I12" i="4"/>
  <c r="J12" i="4" s="1"/>
  <c r="G12" i="4"/>
  <c r="C12" i="4"/>
  <c r="H12" i="4" s="1"/>
  <c r="Z11" i="4"/>
  <c r="I11" i="4"/>
  <c r="J11" i="4" s="1"/>
  <c r="G11" i="4"/>
  <c r="C11" i="4"/>
  <c r="H11" i="4" s="1"/>
  <c r="Z10" i="4"/>
  <c r="I10" i="4"/>
  <c r="J10" i="4" s="1"/>
  <c r="G10" i="4"/>
  <c r="P10" i="4" s="1"/>
  <c r="Q10" i="4" s="1"/>
  <c r="R10" i="4" s="1"/>
  <c r="S10" i="4" s="1"/>
  <c r="C10" i="4"/>
  <c r="H10" i="4" s="1"/>
  <c r="Z9" i="4"/>
  <c r="I9" i="4"/>
  <c r="J9" i="4" s="1"/>
  <c r="G9" i="4"/>
  <c r="C9" i="4"/>
  <c r="Z8" i="4"/>
  <c r="Y8" i="4"/>
  <c r="I8" i="4"/>
  <c r="J8" i="4" s="1"/>
  <c r="G8" i="4"/>
  <c r="P8" i="4" s="1"/>
  <c r="Q8" i="4" s="1"/>
  <c r="R8" i="4" s="1"/>
  <c r="S8" i="4" s="1"/>
  <c r="C8" i="4"/>
  <c r="Z7" i="4"/>
  <c r="I7" i="4"/>
  <c r="J7" i="4" s="1"/>
  <c r="G7" i="4"/>
  <c r="P7" i="4" s="1"/>
  <c r="Q7" i="4" s="1"/>
  <c r="R7" i="4" s="1"/>
  <c r="S7" i="4" s="1"/>
  <c r="C7" i="4"/>
  <c r="Z6" i="4"/>
  <c r="Q6" i="4"/>
  <c r="R6" i="4" s="1"/>
  <c r="S6" i="4" s="1"/>
  <c r="P6" i="4"/>
  <c r="I6" i="4"/>
  <c r="J6" i="4" s="1"/>
  <c r="H6" i="4"/>
  <c r="G6" i="4"/>
  <c r="C6" i="4"/>
  <c r="AB5" i="4"/>
  <c r="Z5" i="4"/>
  <c r="Y5" i="4"/>
  <c r="R5" i="4"/>
  <c r="S5" i="4" s="1"/>
  <c r="Q5" i="4"/>
  <c r="J5" i="4"/>
  <c r="I5" i="4"/>
  <c r="G5" i="4"/>
  <c r="C5" i="4"/>
  <c r="H5" i="4" s="1"/>
  <c r="Z4" i="4"/>
  <c r="I4" i="4"/>
  <c r="J4" i="4" s="1"/>
  <c r="G4" i="4"/>
  <c r="C4" i="4"/>
  <c r="Z3" i="4"/>
  <c r="J3" i="4"/>
  <c r="I3" i="4"/>
  <c r="G3" i="4"/>
  <c r="C3" i="4"/>
  <c r="P23" i="4" l="1"/>
  <c r="Q23" i="4" s="1"/>
  <c r="R23" i="4" s="1"/>
  <c r="S23" i="4" s="1"/>
  <c r="U23" i="4" s="1"/>
  <c r="P9" i="4"/>
  <c r="Q9" i="4" s="1"/>
  <c r="R9" i="4" s="1"/>
  <c r="S9" i="4" s="1"/>
  <c r="P46" i="4"/>
  <c r="Q46" i="4" s="1"/>
  <c r="R46" i="4" s="1"/>
  <c r="S46" i="4" s="1"/>
  <c r="P36" i="4"/>
  <c r="Q36" i="4" s="1"/>
  <c r="R36" i="4" s="1"/>
  <c r="S36" i="4" s="1"/>
  <c r="X36" i="4" s="1"/>
  <c r="X29" i="4"/>
  <c r="H7" i="4"/>
  <c r="X21" i="4"/>
  <c r="G71" i="4"/>
  <c r="H71" i="4" s="1"/>
  <c r="P47" i="4"/>
  <c r="Q47" i="4" s="1"/>
  <c r="R47" i="4" s="1"/>
  <c r="S47" i="4" s="1"/>
  <c r="X47" i="4" s="1"/>
  <c r="AB47" i="4" s="1"/>
  <c r="I71" i="4"/>
  <c r="H60" i="4"/>
  <c r="X17" i="4"/>
  <c r="AB17" i="4" s="1"/>
  <c r="P18" i="4"/>
  <c r="Q18" i="4" s="1"/>
  <c r="R18" i="4" s="1"/>
  <c r="S18" i="4" s="1"/>
  <c r="X18" i="4" s="1"/>
  <c r="P22" i="4"/>
  <c r="Q22" i="4" s="1"/>
  <c r="R22" i="4" s="1"/>
  <c r="S22" i="4" s="1"/>
  <c r="U22" i="4" s="1"/>
  <c r="P26" i="4"/>
  <c r="Q26" i="4" s="1"/>
  <c r="R26" i="4" s="1"/>
  <c r="S26" i="4" s="1"/>
  <c r="X26" i="4" s="1"/>
  <c r="P30" i="4"/>
  <c r="Q30" i="4" s="1"/>
  <c r="R30" i="4" s="1"/>
  <c r="S30" i="4" s="1"/>
  <c r="Z71" i="4"/>
  <c r="AC74" i="4" s="1"/>
  <c r="AD74" i="4" s="1"/>
  <c r="AA46" i="4" s="1"/>
  <c r="P67" i="4"/>
  <c r="Q67" i="4" s="1"/>
  <c r="R67" i="4" s="1"/>
  <c r="S67" i="4" s="1"/>
  <c r="X67" i="4" s="1"/>
  <c r="H8" i="4"/>
  <c r="P11" i="4"/>
  <c r="Q11" i="4" s="1"/>
  <c r="R11" i="4" s="1"/>
  <c r="S11" i="4" s="1"/>
  <c r="W31" i="4"/>
  <c r="AB31" i="4" s="1"/>
  <c r="P48" i="4"/>
  <c r="Q48" i="4" s="1"/>
  <c r="R48" i="4" s="1"/>
  <c r="S48" i="4" s="1"/>
  <c r="X48" i="4" s="1"/>
  <c r="P27" i="4"/>
  <c r="Q27" i="4" s="1"/>
  <c r="R27" i="4" s="1"/>
  <c r="S27" i="4" s="1"/>
  <c r="U27" i="4" s="1"/>
  <c r="P31" i="4"/>
  <c r="Q31" i="4" s="1"/>
  <c r="R31" i="4" s="1"/>
  <c r="S31" i="4" s="1"/>
  <c r="P35" i="4"/>
  <c r="Q35" i="4" s="1"/>
  <c r="R35" i="4" s="1"/>
  <c r="S35" i="4" s="1"/>
  <c r="H51" i="4"/>
  <c r="P68" i="4"/>
  <c r="Q68" i="4" s="1"/>
  <c r="R68" i="4" s="1"/>
  <c r="S68" i="4" s="1"/>
  <c r="W68" i="4" s="1"/>
  <c r="Y68" i="4" s="1"/>
  <c r="X13" i="4"/>
  <c r="P4" i="4"/>
  <c r="Q4" i="4" s="1"/>
  <c r="R4" i="4" s="1"/>
  <c r="S4" i="4" s="1"/>
  <c r="X4" i="4" s="1"/>
  <c r="P45" i="4"/>
  <c r="P12" i="4"/>
  <c r="X20" i="4"/>
  <c r="X24" i="4"/>
  <c r="U68" i="4"/>
  <c r="X25" i="4"/>
  <c r="C71" i="4"/>
  <c r="P15" i="4"/>
  <c r="Q15" i="4" s="1"/>
  <c r="R15" i="4" s="1"/>
  <c r="S15" i="4" s="1"/>
  <c r="W15" i="4" s="1"/>
  <c r="P19" i="4"/>
  <c r="Q19" i="4" s="1"/>
  <c r="R19" i="4" s="1"/>
  <c r="S19" i="4" s="1"/>
  <c r="W19" i="4" s="1"/>
  <c r="P16" i="4"/>
  <c r="Q16" i="4" s="1"/>
  <c r="R16" i="4" s="1"/>
  <c r="S16" i="4" s="1"/>
  <c r="W16" i="4" s="1"/>
  <c r="P20" i="4"/>
  <c r="Q20" i="4" s="1"/>
  <c r="R20" i="4" s="1"/>
  <c r="S20" i="4" s="1"/>
  <c r="P24" i="4"/>
  <c r="Q24" i="4" s="1"/>
  <c r="R24" i="4" s="1"/>
  <c r="S24" i="4" s="1"/>
  <c r="P28" i="4"/>
  <c r="Q28" i="4" s="1"/>
  <c r="R28" i="4" s="1"/>
  <c r="S28" i="4" s="1"/>
  <c r="U28" i="4" s="1"/>
  <c r="P49" i="4"/>
  <c r="Q49" i="4" s="1"/>
  <c r="R49" i="4" s="1"/>
  <c r="S49" i="4" s="1"/>
  <c r="X49" i="4" s="1"/>
  <c r="H59" i="4"/>
  <c r="H61" i="4"/>
  <c r="X33" i="4"/>
  <c r="X38" i="4"/>
  <c r="W38" i="4"/>
  <c r="U38" i="4"/>
  <c r="U9" i="4"/>
  <c r="W9" i="4"/>
  <c r="X69" i="4"/>
  <c r="W69" i="4"/>
  <c r="U69" i="4"/>
  <c r="X64" i="4"/>
  <c r="W64" i="4"/>
  <c r="U64" i="4"/>
  <c r="X54" i="4"/>
  <c r="W54" i="4"/>
  <c r="U54" i="4"/>
  <c r="AB57" i="4"/>
  <c r="Y57" i="4"/>
  <c r="X55" i="4"/>
  <c r="W55" i="4"/>
  <c r="U55" i="4"/>
  <c r="X58" i="4"/>
  <c r="P34" i="4"/>
  <c r="Q34" i="4" s="1"/>
  <c r="R34" i="4" s="1"/>
  <c r="S34" i="4" s="1"/>
  <c r="W34" i="4" s="1"/>
  <c r="Q44" i="4"/>
  <c r="R44" i="4" s="1"/>
  <c r="S44" i="4" s="1"/>
  <c r="AB44" i="4"/>
  <c r="X39" i="4"/>
  <c r="W39" i="4"/>
  <c r="U39" i="4"/>
  <c r="Q43" i="4"/>
  <c r="R43" i="4" s="1"/>
  <c r="S43" i="4" s="1"/>
  <c r="AB43" i="4"/>
  <c r="W10" i="4"/>
  <c r="U10" i="4"/>
  <c r="X10" i="4"/>
  <c r="X30" i="4"/>
  <c r="J71" i="4"/>
  <c r="Q45" i="4"/>
  <c r="R45" i="4" s="1"/>
  <c r="S45" i="4" s="1"/>
  <c r="AB45" i="4"/>
  <c r="W11" i="4"/>
  <c r="X11" i="4"/>
  <c r="U11" i="4"/>
  <c r="X35" i="4"/>
  <c r="X42" i="4"/>
  <c r="W42" i="4"/>
  <c r="U42" i="4"/>
  <c r="X53" i="4"/>
  <c r="W53" i="4"/>
  <c r="U53" i="4"/>
  <c r="X65" i="4"/>
  <c r="W65" i="4"/>
  <c r="U65" i="4"/>
  <c r="X7" i="4"/>
  <c r="W7" i="4"/>
  <c r="U7" i="4"/>
  <c r="X52" i="4"/>
  <c r="W52" i="4"/>
  <c r="U52" i="4"/>
  <c r="Q12" i="4"/>
  <c r="R12" i="4" s="1"/>
  <c r="S12" i="4" s="1"/>
  <c r="AB12" i="4"/>
  <c r="X32" i="4"/>
  <c r="W6" i="4"/>
  <c r="U6" i="4"/>
  <c r="X59" i="4"/>
  <c r="AB68" i="4"/>
  <c r="X66" i="4"/>
  <c r="W66" i="4"/>
  <c r="U66" i="4"/>
  <c r="X41" i="4"/>
  <c r="W41" i="4"/>
  <c r="U41" i="4"/>
  <c r="X40" i="4"/>
  <c r="W40" i="4"/>
  <c r="U40" i="4"/>
  <c r="X46" i="4"/>
  <c r="X56" i="4"/>
  <c r="W56" i="4"/>
  <c r="U56" i="4"/>
  <c r="H33" i="4"/>
  <c r="H34" i="4"/>
  <c r="U58" i="4"/>
  <c r="U59" i="4"/>
  <c r="H32" i="4"/>
  <c r="W58" i="4"/>
  <c r="W59" i="4"/>
  <c r="P63" i="4"/>
  <c r="Q63" i="4" s="1"/>
  <c r="R63" i="4" s="1"/>
  <c r="S63" i="4" s="1"/>
  <c r="H4" i="4"/>
  <c r="P3" i="4"/>
  <c r="H46" i="4"/>
  <c r="H47" i="4"/>
  <c r="H48" i="4"/>
  <c r="H49" i="4"/>
  <c r="Q51" i="4"/>
  <c r="R51" i="4" s="1"/>
  <c r="S51" i="4" s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AB8" i="4"/>
  <c r="H45" i="4"/>
  <c r="Q62" i="4"/>
  <c r="R62" i="4" s="1"/>
  <c r="S62" i="4" s="1"/>
  <c r="H3" i="4"/>
  <c r="U4" i="4"/>
  <c r="U35" i="4"/>
  <c r="H36" i="4"/>
  <c r="H9" i="4"/>
  <c r="W35" i="4"/>
  <c r="W36" i="4"/>
  <c r="H35" i="4"/>
  <c r="W4" i="4"/>
  <c r="W32" i="4"/>
  <c r="W33" i="4"/>
  <c r="H44" i="4"/>
  <c r="U33" i="4"/>
  <c r="U46" i="4"/>
  <c r="U47" i="4"/>
  <c r="U48" i="4"/>
  <c r="U13" i="4"/>
  <c r="U14" i="4"/>
  <c r="AB14" i="4" s="1"/>
  <c r="U17" i="4"/>
  <c r="U18" i="4"/>
  <c r="U19" i="4"/>
  <c r="U20" i="4"/>
  <c r="U21" i="4"/>
  <c r="U24" i="4"/>
  <c r="U25" i="4"/>
  <c r="U29" i="4"/>
  <c r="U30" i="4"/>
  <c r="W46" i="4"/>
  <c r="W47" i="4"/>
  <c r="W49" i="4"/>
  <c r="W13" i="4"/>
  <c r="AB13" i="4" s="1"/>
  <c r="W14" i="4"/>
  <c r="Y14" i="4" s="1"/>
  <c r="W17" i="4"/>
  <c r="Y17" i="4" s="1"/>
  <c r="W18" i="4"/>
  <c r="W20" i="4"/>
  <c r="Y20" i="4" s="1"/>
  <c r="W21" i="4"/>
  <c r="AB21" i="4" s="1"/>
  <c r="W24" i="4"/>
  <c r="W25" i="4"/>
  <c r="W28" i="4"/>
  <c r="W29" i="4"/>
  <c r="Y29" i="4" s="1"/>
  <c r="W30" i="4"/>
  <c r="AA48" i="4" l="1"/>
  <c r="AA17" i="4"/>
  <c r="U16" i="4"/>
  <c r="AA8" i="4"/>
  <c r="AA19" i="4"/>
  <c r="AA51" i="4"/>
  <c r="X16" i="4"/>
  <c r="AA43" i="4"/>
  <c r="AA37" i="4"/>
  <c r="AA38" i="4"/>
  <c r="AA52" i="4"/>
  <c r="AA54" i="4"/>
  <c r="AA64" i="4"/>
  <c r="AA6" i="4"/>
  <c r="AA12" i="4"/>
  <c r="AA65" i="4"/>
  <c r="AA22" i="4"/>
  <c r="AA15" i="4"/>
  <c r="AA21" i="4"/>
  <c r="AA25" i="4"/>
  <c r="AA11" i="4"/>
  <c r="AA32" i="4"/>
  <c r="AA31" i="4"/>
  <c r="AA47" i="4"/>
  <c r="Y18" i="4"/>
  <c r="W27" i="4"/>
  <c r="W48" i="4"/>
  <c r="AA13" i="4"/>
  <c r="AA26" i="4"/>
  <c r="AA53" i="4"/>
  <c r="AA66" i="4"/>
  <c r="AA49" i="4"/>
  <c r="Y28" i="4"/>
  <c r="W26" i="4"/>
  <c r="U15" i="4"/>
  <c r="AA29" i="4"/>
  <c r="Y24" i="4"/>
  <c r="AA44" i="4"/>
  <c r="AA57" i="4"/>
  <c r="AA56" i="4"/>
  <c r="AA62" i="4"/>
  <c r="X28" i="4"/>
  <c r="X19" i="4"/>
  <c r="Y19" i="4" s="1"/>
  <c r="Y47" i="4"/>
  <c r="Y25" i="4"/>
  <c r="AA24" i="4"/>
  <c r="AA50" i="4"/>
  <c r="X23" i="4"/>
  <c r="W23" i="4"/>
  <c r="U36" i="4"/>
  <c r="AA60" i="4"/>
  <c r="AA58" i="4"/>
  <c r="AA23" i="4"/>
  <c r="AA3" i="4"/>
  <c r="X15" i="4"/>
  <c r="AB15" i="4" s="1"/>
  <c r="AB19" i="4"/>
  <c r="X27" i="4"/>
  <c r="AA55" i="4"/>
  <c r="W22" i="4"/>
  <c r="U49" i="4"/>
  <c r="AA18" i="4"/>
  <c r="AA59" i="4"/>
  <c r="AA7" i="4"/>
  <c r="AA4" i="4"/>
  <c r="X22" i="4"/>
  <c r="AB22" i="4" s="1"/>
  <c r="AB36" i="4"/>
  <c r="AA30" i="4"/>
  <c r="AA14" i="4"/>
  <c r="AA34" i="4"/>
  <c r="U26" i="4"/>
  <c r="AB26" i="4" s="1"/>
  <c r="Y31" i="4"/>
  <c r="AA9" i="4"/>
  <c r="AA27" i="4"/>
  <c r="AA68" i="4"/>
  <c r="AA35" i="4"/>
  <c r="AA67" i="4"/>
  <c r="Y21" i="4"/>
  <c r="AA10" i="4"/>
  <c r="AA20" i="4"/>
  <c r="AA69" i="4"/>
  <c r="AA36" i="4"/>
  <c r="W67" i="4"/>
  <c r="AB67" i="4" s="1"/>
  <c r="AA61" i="4"/>
  <c r="AA39" i="4"/>
  <c r="AA5" i="4"/>
  <c r="AA33" i="4"/>
  <c r="AA16" i="4"/>
  <c r="AA41" i="4"/>
  <c r="AA40" i="4"/>
  <c r="AA45" i="4"/>
  <c r="AB4" i="4"/>
  <c r="AA28" i="4"/>
  <c r="AA42" i="4"/>
  <c r="AA63" i="4"/>
  <c r="Y49" i="4"/>
  <c r="AB49" i="4"/>
  <c r="AB35" i="4"/>
  <c r="Y35" i="4"/>
  <c r="Y48" i="4"/>
  <c r="AB48" i="4"/>
  <c r="AB64" i="4"/>
  <c r="Y64" i="4"/>
  <c r="AB27" i="4"/>
  <c r="Y4" i="4"/>
  <c r="Y46" i="4"/>
  <c r="AB46" i="4"/>
  <c r="AB28" i="4"/>
  <c r="Y13" i="4"/>
  <c r="U34" i="4"/>
  <c r="AB34" i="4" s="1"/>
  <c r="Y32" i="4"/>
  <c r="AB32" i="4"/>
  <c r="Y36" i="4"/>
  <c r="AB55" i="4"/>
  <c r="Y55" i="4"/>
  <c r="AB69" i="4"/>
  <c r="Y69" i="4"/>
  <c r="AB42" i="4"/>
  <c r="Y42" i="4"/>
  <c r="AB7" i="4"/>
  <c r="Y7" i="4"/>
  <c r="AB24" i="4"/>
  <c r="AB11" i="4"/>
  <c r="Y11" i="4"/>
  <c r="Y30" i="4"/>
  <c r="AB30" i="4"/>
  <c r="AB23" i="4"/>
  <c r="AB9" i="4"/>
  <c r="Y9" i="4"/>
  <c r="AB56" i="4"/>
  <c r="Y56" i="4"/>
  <c r="P71" i="4"/>
  <c r="Q3" i="4"/>
  <c r="AB40" i="4"/>
  <c r="Y40" i="4"/>
  <c r="AB52" i="4"/>
  <c r="Y52" i="4"/>
  <c r="AB6" i="4"/>
  <c r="Y6" i="4"/>
  <c r="AB20" i="4"/>
  <c r="AB59" i="4"/>
  <c r="Y59" i="4"/>
  <c r="AB58" i="4"/>
  <c r="Y58" i="4"/>
  <c r="AB39" i="4"/>
  <c r="Y39" i="4"/>
  <c r="X63" i="4"/>
  <c r="W63" i="4"/>
  <c r="AB65" i="4"/>
  <c r="Y65" i="4"/>
  <c r="AB10" i="4"/>
  <c r="Y10" i="4"/>
  <c r="AB29" i="4"/>
  <c r="AB18" i="4"/>
  <c r="Y33" i="4"/>
  <c r="AB33" i="4"/>
  <c r="AB41" i="4"/>
  <c r="Y41" i="4"/>
  <c r="AB53" i="4"/>
  <c r="Y53" i="4"/>
  <c r="AB25" i="4"/>
  <c r="AB38" i="4"/>
  <c r="Y38" i="4"/>
  <c r="AB66" i="4"/>
  <c r="Y66" i="4"/>
  <c r="AB54" i="4"/>
  <c r="Y54" i="4"/>
  <c r="Y16" i="4" l="1"/>
  <c r="AB16" i="4"/>
  <c r="AA71" i="4"/>
  <c r="Y15" i="4"/>
  <c r="Y26" i="4"/>
  <c r="Y23" i="4"/>
  <c r="Y67" i="4"/>
  <c r="Y22" i="4"/>
  <c r="Y27" i="4"/>
  <c r="AB63" i="4"/>
  <c r="Y63" i="4"/>
  <c r="Q71" i="4"/>
  <c r="R3" i="4"/>
  <c r="Y34" i="4"/>
  <c r="R71" i="4" l="1"/>
  <c r="S3" i="4"/>
  <c r="S71" i="4" l="1"/>
  <c r="X3" i="4"/>
  <c r="U3" i="4"/>
  <c r="U71" i="4" s="1"/>
  <c r="W3" i="4"/>
  <c r="W71" i="4" s="1"/>
  <c r="AB3" i="4" l="1"/>
  <c r="AB71" i="4" s="1"/>
  <c r="Y3" i="4"/>
  <c r="Y71" i="4" s="1"/>
  <c r="X71" i="4"/>
  <c r="AC75" i="4" l="1"/>
  <c r="AC76" i="4" s="1"/>
  <c r="AD72" i="4"/>
  <c r="AC71" i="4"/>
  <c r="AD75" i="4" l="1"/>
  <c r="AD71" i="4"/>
  <c r="AD76" i="4" s="1"/>
  <c r="B6" i="2" l="1"/>
  <c r="B9" i="2" s="1"/>
  <c r="B22" i="2" s="1"/>
  <c r="B23" i="2" s="1"/>
  <c r="B15" i="2" l="1"/>
  <c r="B16" i="2" s="1"/>
  <c r="E70" i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3" i="1"/>
  <c r="M64" i="1"/>
  <c r="M65" i="1"/>
  <c r="M66" i="1"/>
  <c r="M67" i="1"/>
  <c r="M68" i="1"/>
  <c r="M2" i="1"/>
  <c r="O51" i="1" l="1"/>
  <c r="M62" i="1"/>
  <c r="O67" i="1"/>
  <c r="M70" i="1" l="1"/>
  <c r="L70" i="1"/>
  <c r="K70" i="1"/>
  <c r="I70" i="1"/>
  <c r="J70" i="1"/>
  <c r="H70" i="1"/>
  <c r="C70" i="1" l="1"/>
  <c r="D68" i="1"/>
  <c r="D60" i="1"/>
  <c r="D59" i="1"/>
  <c r="D48" i="1"/>
  <c r="D24" i="1"/>
  <c r="D70" i="1" l="1"/>
  <c r="F70" i="1"/>
  <c r="G70" i="1"/>
  <c r="N70" i="1"/>
  <c r="O5" i="1" l="1"/>
  <c r="O9" i="1"/>
  <c r="O13" i="1"/>
  <c r="O17" i="1"/>
  <c r="O21" i="1"/>
  <c r="O25" i="1"/>
  <c r="O29" i="1"/>
  <c r="O33" i="1"/>
  <c r="O37" i="1"/>
  <c r="O41" i="1"/>
  <c r="O45" i="1"/>
  <c r="O49" i="1"/>
  <c r="O53" i="1"/>
  <c r="O61" i="1"/>
  <c r="O65" i="1"/>
  <c r="O6" i="1"/>
  <c r="O10" i="1"/>
  <c r="O14" i="1"/>
  <c r="O18" i="1"/>
  <c r="O22" i="1"/>
  <c r="O26" i="1"/>
  <c r="O30" i="1"/>
  <c r="O34" i="1"/>
  <c r="O38" i="1"/>
  <c r="O42" i="1"/>
  <c r="O46" i="1"/>
  <c r="O50" i="1"/>
  <c r="O54" i="1"/>
  <c r="O58" i="1"/>
  <c r="O62" i="1"/>
  <c r="O66" i="1"/>
  <c r="O3" i="1"/>
  <c r="O7" i="1"/>
  <c r="O11" i="1"/>
  <c r="O15" i="1"/>
  <c r="O19" i="1"/>
  <c r="O23" i="1"/>
  <c r="O27" i="1"/>
  <c r="O31" i="1"/>
  <c r="O35" i="1"/>
  <c r="O39" i="1"/>
  <c r="O43" i="1"/>
  <c r="O47" i="1"/>
  <c r="O55" i="1"/>
  <c r="O59" i="1"/>
  <c r="O63" i="1"/>
  <c r="O4" i="1"/>
  <c r="O8" i="1"/>
  <c r="O12" i="1"/>
  <c r="O16" i="1"/>
  <c r="O20" i="1"/>
  <c r="O24" i="1"/>
  <c r="O28" i="1"/>
  <c r="O32" i="1"/>
  <c r="O36" i="1"/>
  <c r="O40" i="1"/>
  <c r="O44" i="1"/>
  <c r="O48" i="1"/>
  <c r="O52" i="1"/>
  <c r="O56" i="1"/>
  <c r="O60" i="1"/>
  <c r="O64" i="1"/>
  <c r="O68" i="1"/>
  <c r="O2" i="1" l="1"/>
  <c r="O57" i="1" l="1"/>
  <c r="O70" i="1" s="1"/>
</calcChain>
</file>

<file path=xl/sharedStrings.xml><?xml version="1.0" encoding="utf-8"?>
<sst xmlns="http://schemas.openxmlformats.org/spreadsheetml/2006/main" count="337" uniqueCount="143">
  <si>
    <t>County</t>
  </si>
  <si>
    <t>Peer
Group</t>
  </si>
  <si>
    <t>Calhoun</t>
  </si>
  <si>
    <t>Franklin</t>
  </si>
  <si>
    <t>Glades</t>
  </si>
  <si>
    <t>Jefferson</t>
  </si>
  <si>
    <t>Lafayette</t>
  </si>
  <si>
    <t>Liberty</t>
  </si>
  <si>
    <t>Dixie</t>
  </si>
  <si>
    <t>Gilchrist</t>
  </si>
  <si>
    <t>Gulf</t>
  </si>
  <si>
    <t>Hamilton</t>
  </si>
  <si>
    <t>Holmes</t>
  </si>
  <si>
    <t>Madison</t>
  </si>
  <si>
    <t>Union</t>
  </si>
  <si>
    <t>Baker</t>
  </si>
  <si>
    <t>Bradford</t>
  </si>
  <si>
    <t>DeSoto</t>
  </si>
  <si>
    <t>Hardee</t>
  </si>
  <si>
    <t>Taylor</t>
  </si>
  <si>
    <t>Wakulla</t>
  </si>
  <si>
    <t>Washington</t>
  </si>
  <si>
    <t>Gadsden</t>
  </si>
  <si>
    <t>Hendry</t>
  </si>
  <si>
    <t>Jackson</t>
  </si>
  <si>
    <t>Levy</t>
  </si>
  <si>
    <t>Okeechobee</t>
  </si>
  <si>
    <t>Suwannee</t>
  </si>
  <si>
    <t>Columbia</t>
  </si>
  <si>
    <t>Highlands</t>
  </si>
  <si>
    <t>Nassau</t>
  </si>
  <si>
    <t>Putnam</t>
  </si>
  <si>
    <t>Walton</t>
  </si>
  <si>
    <t>Citrus</t>
  </si>
  <si>
    <t>Flagler</t>
  </si>
  <si>
    <t>Indian River</t>
  </si>
  <si>
    <t>Martin</t>
  </si>
  <si>
    <t>Monroe</t>
  </si>
  <si>
    <t>Sumter</t>
  </si>
  <si>
    <t>Bay</t>
  </si>
  <si>
    <t>Charlotte</t>
  </si>
  <si>
    <t>Clay</t>
  </si>
  <si>
    <t>Hernando</t>
  </si>
  <si>
    <t>Okaloosa</t>
  </si>
  <si>
    <t>Saint Johns</t>
  </si>
  <si>
    <t>Santa Rosa</t>
  </si>
  <si>
    <t>Alachua</t>
  </si>
  <si>
    <t>Lake</t>
  </si>
  <si>
    <t>Leon</t>
  </si>
  <si>
    <t>Marion</t>
  </si>
  <si>
    <t>Collier</t>
  </si>
  <si>
    <t>Escambia</t>
  </si>
  <si>
    <t>Manatee</t>
  </si>
  <si>
    <t>Osceola</t>
  </si>
  <si>
    <t>Saint Lucie</t>
  </si>
  <si>
    <t>Sarasota</t>
  </si>
  <si>
    <t>Seminole</t>
  </si>
  <si>
    <t>Brevard</t>
  </si>
  <si>
    <t>Lee</t>
  </si>
  <si>
    <t>Pasco</t>
  </si>
  <si>
    <t>Polk</t>
  </si>
  <si>
    <t>Volusia</t>
  </si>
  <si>
    <t>Duval</t>
  </si>
  <si>
    <t>Hillsborough</t>
  </si>
  <si>
    <t>Orange</t>
  </si>
  <si>
    <t>Pinellas</t>
  </si>
  <si>
    <t>Broward</t>
  </si>
  <si>
    <t>Miami-Dade</t>
  </si>
  <si>
    <t>Palm Beach</t>
  </si>
  <si>
    <t>STATEWIDE TOTAL</t>
  </si>
  <si>
    <r>
      <rPr>
        <b/>
        <sz val="10"/>
        <color rgb="FF00B050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Three Percent Increase</t>
    </r>
  </si>
  <si>
    <r>
      <rPr>
        <b/>
        <sz val="10"/>
        <color rgb="FF00B050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Increased FTE for New Judges</t>
    </r>
  </si>
  <si>
    <r>
      <rPr>
        <b/>
        <sz val="10"/>
        <color rgb="FF00B050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Weighted Cases Allocation</t>
    </r>
  </si>
  <si>
    <t>CFY 19-20 Revenue-Limited Budget</t>
  </si>
  <si>
    <t>Jury Management
Budget
Authority</t>
  </si>
  <si>
    <r>
      <rPr>
        <b/>
        <sz val="10"/>
        <color rgb="FF00B050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Special Funding Requests</t>
    </r>
  </si>
  <si>
    <r>
      <rPr>
        <b/>
        <sz val="10"/>
        <color rgb="FF00B050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Pro Rata Distribution</t>
    </r>
  </si>
  <si>
    <t>CYF 19-20 
Total Clerks' Court-related Budget</t>
  </si>
  <si>
    <r>
      <rPr>
        <b/>
        <sz val="10"/>
        <color rgb="FFFF0000"/>
        <rFont val="Franklin Gothic Book"/>
        <family val="2"/>
      </rPr>
      <t>DEDUCT</t>
    </r>
    <r>
      <rPr>
        <b/>
        <sz val="10"/>
        <color theme="1"/>
        <rFont val="Franklin Gothic Book"/>
        <family val="2"/>
      </rPr>
      <t xml:space="preserve">
Amount Reduced to match CFY 19-20 Original Request</t>
    </r>
  </si>
  <si>
    <t>CFY 19-20
Base Budget 
(CFY 18-19
Budget without Jury)</t>
  </si>
  <si>
    <t>CFY 19-20
Original 
Request</t>
  </si>
  <si>
    <t>CFY 19-20
Request
(without Jury)</t>
  </si>
  <si>
    <t>Base Budgets + Statewide Issues</t>
  </si>
  <si>
    <t>New Revenue Summary</t>
  </si>
  <si>
    <t>Net Budget Increase</t>
  </si>
  <si>
    <r>
      <t xml:space="preserve">   * </t>
    </r>
    <r>
      <rPr>
        <i/>
        <u/>
        <sz val="16"/>
        <color theme="1"/>
        <rFont val="Franklin Gothic Book"/>
        <family val="2"/>
      </rPr>
      <t>updated [1/31/22]</t>
    </r>
  </si>
  <si>
    <r>
      <t xml:space="preserve">REC Revenue Estimate </t>
    </r>
    <r>
      <rPr>
        <sz val="14"/>
        <color theme="1"/>
        <rFont val="Franklin Gothic Book"/>
        <family val="2"/>
      </rPr>
      <t xml:space="preserve">(CFY 2019-20)  </t>
    </r>
    <r>
      <rPr>
        <u/>
        <sz val="14"/>
        <color theme="1"/>
        <rFont val="Franklin Gothic Book"/>
        <family val="2"/>
      </rPr>
      <t>[Aug. 2019</t>
    </r>
    <r>
      <rPr>
        <sz val="14"/>
        <color theme="1"/>
        <rFont val="Franklin Gothic Book"/>
        <family val="2"/>
      </rPr>
      <t>]</t>
    </r>
  </si>
  <si>
    <r>
      <t>REC Cumulative Excess Estimate - Clerks' Share of 50%</t>
    </r>
    <r>
      <rPr>
        <sz val="14"/>
        <color theme="1"/>
        <rFont val="Franklin Gothic Book"/>
        <family val="2"/>
      </rPr>
      <t xml:space="preserve"> (CFY 2018-19)  </t>
    </r>
    <r>
      <rPr>
        <u/>
        <sz val="14"/>
        <color theme="1"/>
        <rFont val="Franklin Gothic Book"/>
        <family val="2"/>
      </rPr>
      <t>[Aug. 2019]</t>
    </r>
  </si>
  <si>
    <r>
      <t xml:space="preserve">Unspent Budgeted Funds </t>
    </r>
    <r>
      <rPr>
        <sz val="14"/>
        <color theme="1"/>
        <rFont val="Franklin Gothic Book"/>
        <family val="2"/>
      </rPr>
      <t>(CFY 2018-19)</t>
    </r>
  </si>
  <si>
    <t>Actuals</t>
  </si>
  <si>
    <t>New Spending Authority as of July 1, 2020</t>
  </si>
  <si>
    <t>August Expected Revenue</t>
  </si>
  <si>
    <t>Retain, Donate, or Additional</t>
  </si>
  <si>
    <t>CFY 2019-20 Spending Authority with adjustment</t>
  </si>
  <si>
    <t>Donated Authority</t>
  </si>
  <si>
    <t>A</t>
  </si>
  <si>
    <t>D</t>
  </si>
  <si>
    <t>R</t>
  </si>
  <si>
    <t>STATEWIDE</t>
  </si>
  <si>
    <t>FINAL 
CFY 2019-20 Spending Authority</t>
  </si>
  <si>
    <t>Additional Authority</t>
  </si>
  <si>
    <t>Projections</t>
  </si>
  <si>
    <t>Year End Summary</t>
  </si>
  <si>
    <t>Avg Monthly Budget</t>
  </si>
  <si>
    <t xml:space="preserve"> 7- Month Revenue</t>
  </si>
  <si>
    <t>Pro-rata Distribution</t>
  </si>
  <si>
    <t>6 months of expenditures</t>
  </si>
  <si>
    <t>Average 8 months expenditures</t>
  </si>
  <si>
    <t>Comparison of Avg 8-month expenditures to Monthly Budget Authority</t>
  </si>
  <si>
    <t>Remaining Budget Authority</t>
  </si>
  <si>
    <t>Remaining Monthly Expenditures</t>
  </si>
  <si>
    <t xml:space="preserve">April Revenue </t>
  </si>
  <si>
    <t>April Expenditures</t>
  </si>
  <si>
    <t xml:space="preserve">May Revenue </t>
  </si>
  <si>
    <t>May Expenditures</t>
  </si>
  <si>
    <t>June Expected Revenue</t>
  </si>
  <si>
    <t>June Expected Expenditures</t>
  </si>
  <si>
    <t>Expected Expenditures through June</t>
  </si>
  <si>
    <t>Budget Authority Remaining</t>
  </si>
  <si>
    <t>Expected Expenditures for July-Sept</t>
  </si>
  <si>
    <t>July Expected Revenue</t>
  </si>
  <si>
    <t>July Expected Expenditures</t>
  </si>
  <si>
    <t>August Expected Expenditures</t>
  </si>
  <si>
    <t>September Expected Expenditures</t>
  </si>
  <si>
    <t>4th Quarter Expenditures</t>
  </si>
  <si>
    <t>CFY 2019-20 Expected Revenue</t>
  </si>
  <si>
    <t>Calculated Budget Authority Reduction to meet Expected Revenue</t>
  </si>
  <si>
    <t xml:space="preserve">CFY 2019-20 Expected Expenditures </t>
  </si>
  <si>
    <t>Self-Imposed Expenditure Reduction</t>
  </si>
  <si>
    <t xml:space="preserve">CFY 2019-20 Cumulative Expected Shortfall </t>
  </si>
  <si>
    <t>CFY 2019-20 NEW BUDGET AUTHORITY</t>
  </si>
  <si>
    <t>Potential Budget Reduction - Revenue only</t>
  </si>
  <si>
    <t>Cumulative Expected Shortfall</t>
  </si>
  <si>
    <t>Original 
Budget Authority</t>
  </si>
  <si>
    <r>
      <t xml:space="preserve">Jury Management Funding </t>
    </r>
    <r>
      <rPr>
        <sz val="14"/>
        <color theme="1"/>
        <rFont val="Franklin Gothic Book"/>
        <family val="2"/>
      </rPr>
      <t>(State GR)</t>
    </r>
  </si>
  <si>
    <t>CFY 2019-20 Total Court-Side Budget Authority</t>
  </si>
  <si>
    <t>CFY 2019-20 Revenue-Limited Budget</t>
  </si>
  <si>
    <t>Year-over-Year Total Court-Side Budget Authority Increase</t>
  </si>
  <si>
    <r>
      <t xml:space="preserve">Prior Year Total Court-Side Budget Authority </t>
    </r>
    <r>
      <rPr>
        <sz val="14"/>
        <color theme="1"/>
        <rFont val="Franklin Gothic Book"/>
        <family val="2"/>
      </rPr>
      <t>(CFY 2018-19)</t>
    </r>
  </si>
  <si>
    <r>
      <t xml:space="preserve">Prior Year Revenue-Limited Budget </t>
    </r>
    <r>
      <rPr>
        <sz val="14"/>
        <color theme="1"/>
        <rFont val="Franklin Gothic Book"/>
        <family val="2"/>
      </rPr>
      <t>(CFY 2018-19)</t>
    </r>
  </si>
  <si>
    <r>
      <t xml:space="preserve">Reduced Revenue Estimate due to Pandemic </t>
    </r>
    <r>
      <rPr>
        <sz val="14"/>
        <color theme="1"/>
        <rFont val="Franklin Gothic Book"/>
        <family val="2"/>
      </rPr>
      <t xml:space="preserve">(CFY 2019-20)  </t>
    </r>
    <r>
      <rPr>
        <u/>
        <sz val="14"/>
        <color theme="1"/>
        <rFont val="Franklin Gothic Book"/>
        <family val="2"/>
      </rPr>
      <t>[Aug. 2020</t>
    </r>
    <r>
      <rPr>
        <sz val="14"/>
        <color theme="1"/>
        <rFont val="Franklin Gothic Book"/>
        <family val="2"/>
      </rPr>
      <t>]</t>
    </r>
  </si>
  <si>
    <t>Net Budget Decrease</t>
  </si>
  <si>
    <t>Year-over-Year Total Court-Side Budget Authority 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</si>
</sst>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.00"/>
    <numFmt numFmtId="168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0"/>
      <color rgb="FF00B050"/>
      <name val="Franklin Gothic Book"/>
      <family val="2"/>
    </font>
    <font>
      <b/>
      <sz val="10"/>
      <color rgb="FFFF0000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sz val="14"/>
      <color theme="1"/>
      <name val="Franklin Gothic Book"/>
      <family val="2"/>
    </font>
    <font>
      <u/>
      <sz val="14"/>
      <color theme="1"/>
      <name val="Franklin Gothic Book"/>
      <family val="2"/>
    </font>
    <font>
      <i/>
      <sz val="16"/>
      <color theme="1"/>
      <name val="Franklin Gothic Book"/>
      <family val="2"/>
    </font>
    <font>
      <i/>
      <sz val="12"/>
      <color theme="1"/>
      <name val="Franklin Gothic Book"/>
      <family val="2"/>
    </font>
    <font>
      <i/>
      <u/>
      <sz val="16"/>
      <color theme="1"/>
      <name val="Franklin Gothic Book"/>
      <family val="2"/>
    </font>
    <font>
      <sz val="12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i/>
      <sz val="16"/>
      <color rgb="FFC00000"/>
      <name val="Franklin Gothic Book"/>
      <family val="2"/>
    </font>
    <font>
      <i/>
      <sz val="12"/>
      <color rgb="FFC00000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5" fillId="0" borderId="0"/>
    <xf numFmtId="0" fontId="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6" fontId="3" fillId="0" borderId="4" xfId="0" applyNumberFormat="1" applyFont="1" applyBorder="1" applyAlignment="1">
      <alignment vertical="top"/>
    </xf>
    <xf numFmtId="6" fontId="3" fillId="0" borderId="6" xfId="0" applyNumberFormat="1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6" fontId="3" fillId="0" borderId="7" xfId="0" applyNumberFormat="1" applyFont="1" applyBorder="1" applyAlignment="1">
      <alignment vertical="top"/>
    </xf>
    <xf numFmtId="6" fontId="3" fillId="0" borderId="9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6" fontId="3" fillId="0" borderId="10" xfId="0" applyNumberFormat="1" applyFont="1" applyBorder="1" applyAlignment="1">
      <alignment vertical="top"/>
    </xf>
    <xf numFmtId="6" fontId="3" fillId="0" borderId="12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6" fontId="3" fillId="0" borderId="13" xfId="0" applyNumberFormat="1" applyFont="1" applyBorder="1" applyAlignment="1">
      <alignment vertical="top"/>
    </xf>
    <xf numFmtId="6" fontId="3" fillId="0" borderId="15" xfId="0" applyNumberFormat="1" applyFont="1" applyBorder="1" applyAlignment="1">
      <alignment vertical="top"/>
    </xf>
    <xf numFmtId="6" fontId="3" fillId="0" borderId="0" xfId="0" applyNumberFormat="1" applyFont="1"/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6" fontId="3" fillId="0" borderId="18" xfId="0" applyNumberFormat="1" applyFont="1" applyBorder="1" applyAlignment="1">
      <alignment vertical="top"/>
    </xf>
    <xf numFmtId="6" fontId="3" fillId="0" borderId="20" xfId="0" applyNumberFormat="1" applyFont="1" applyBorder="1" applyAlignment="1">
      <alignment vertical="top"/>
    </xf>
    <xf numFmtId="6" fontId="3" fillId="0" borderId="21" xfId="0" applyNumberFormat="1" applyFont="1" applyBorder="1" applyAlignment="1">
      <alignment vertical="top"/>
    </xf>
    <xf numFmtId="6" fontId="3" fillId="0" borderId="22" xfId="0" applyNumberFormat="1" applyFont="1" applyBorder="1" applyAlignment="1">
      <alignment vertical="top"/>
    </xf>
    <xf numFmtId="6" fontId="3" fillId="0" borderId="23" xfId="0" applyNumberFormat="1" applyFont="1" applyBorder="1" applyAlignment="1">
      <alignment vertical="top"/>
    </xf>
    <xf numFmtId="6" fontId="3" fillId="0" borderId="24" xfId="0" applyNumberFormat="1" applyFont="1" applyBorder="1" applyAlignment="1">
      <alignment vertical="top"/>
    </xf>
    <xf numFmtId="6" fontId="3" fillId="0" borderId="25" xfId="0" applyNumberFormat="1" applyFont="1" applyBorder="1" applyAlignment="1">
      <alignment vertical="top"/>
    </xf>
    <xf numFmtId="6" fontId="2" fillId="0" borderId="1" xfId="0" applyNumberFormat="1" applyFont="1" applyBorder="1" applyAlignment="1">
      <alignment vertical="top"/>
    </xf>
    <xf numFmtId="0" fontId="2" fillId="0" borderId="0" xfId="0" applyFont="1"/>
    <xf numFmtId="6" fontId="2" fillId="0" borderId="6" xfId="0" applyNumberFormat="1" applyFont="1" applyBorder="1" applyAlignment="1">
      <alignment vertical="top"/>
    </xf>
    <xf numFmtId="6" fontId="2" fillId="0" borderId="9" xfId="0" applyNumberFormat="1" applyFont="1" applyBorder="1" applyAlignment="1">
      <alignment vertical="top"/>
    </xf>
    <xf numFmtId="6" fontId="2" fillId="0" borderId="12" xfId="0" applyNumberFormat="1" applyFont="1" applyBorder="1" applyAlignment="1">
      <alignment vertical="top"/>
    </xf>
    <xf numFmtId="6" fontId="2" fillId="0" borderId="20" xfId="0" applyNumberFormat="1" applyFont="1" applyBorder="1" applyAlignment="1">
      <alignment vertical="top"/>
    </xf>
    <xf numFmtId="6" fontId="2" fillId="0" borderId="15" xfId="0" applyNumberFormat="1" applyFont="1" applyBorder="1" applyAlignment="1">
      <alignment vertical="top"/>
    </xf>
    <xf numFmtId="6" fontId="2" fillId="3" borderId="1" xfId="0" applyNumberFormat="1" applyFont="1" applyFill="1" applyBorder="1" applyAlignment="1">
      <alignment vertical="top"/>
    </xf>
    <xf numFmtId="6" fontId="3" fillId="3" borderId="4" xfId="0" applyNumberFormat="1" applyFont="1" applyFill="1" applyBorder="1" applyAlignment="1">
      <alignment vertical="top"/>
    </xf>
    <xf numFmtId="6" fontId="3" fillId="3" borderId="7" xfId="0" applyNumberFormat="1" applyFont="1" applyFill="1" applyBorder="1" applyAlignment="1">
      <alignment vertical="top"/>
    </xf>
    <xf numFmtId="6" fontId="3" fillId="3" borderId="10" xfId="0" applyNumberFormat="1" applyFont="1" applyFill="1" applyBorder="1" applyAlignment="1">
      <alignment vertical="top"/>
    </xf>
    <xf numFmtId="6" fontId="3" fillId="3" borderId="18" xfId="0" applyNumberFormat="1" applyFont="1" applyFill="1" applyBorder="1" applyAlignment="1">
      <alignment vertical="top"/>
    </xf>
    <xf numFmtId="6" fontId="3" fillId="3" borderId="13" xfId="0" applyNumberFormat="1" applyFont="1" applyFill="1" applyBorder="1" applyAlignment="1">
      <alignment vertical="top"/>
    </xf>
    <xf numFmtId="6" fontId="3" fillId="4" borderId="6" xfId="0" applyNumberFormat="1" applyFont="1" applyFill="1" applyBorder="1" applyAlignment="1">
      <alignment vertical="top"/>
    </xf>
    <xf numFmtId="6" fontId="3" fillId="4" borderId="4" xfId="0" applyNumberFormat="1" applyFont="1" applyFill="1" applyBorder="1" applyAlignment="1">
      <alignment vertical="top"/>
    </xf>
    <xf numFmtId="6" fontId="3" fillId="4" borderId="9" xfId="0" applyNumberFormat="1" applyFont="1" applyFill="1" applyBorder="1" applyAlignment="1">
      <alignment vertical="top"/>
    </xf>
    <xf numFmtId="6" fontId="3" fillId="4" borderId="7" xfId="0" applyNumberFormat="1" applyFont="1" applyFill="1" applyBorder="1" applyAlignment="1">
      <alignment vertical="top"/>
    </xf>
    <xf numFmtId="6" fontId="3" fillId="4" borderId="12" xfId="0" applyNumberFormat="1" applyFont="1" applyFill="1" applyBorder="1" applyAlignment="1">
      <alignment vertical="top"/>
    </xf>
    <xf numFmtId="6" fontId="3" fillId="4" borderId="10" xfId="0" applyNumberFormat="1" applyFont="1" applyFill="1" applyBorder="1" applyAlignment="1">
      <alignment vertical="top"/>
    </xf>
    <xf numFmtId="6" fontId="3" fillId="4" borderId="20" xfId="0" applyNumberFormat="1" applyFont="1" applyFill="1" applyBorder="1" applyAlignment="1">
      <alignment vertical="top"/>
    </xf>
    <xf numFmtId="6" fontId="3" fillId="4" borderId="18" xfId="0" applyNumberFormat="1" applyFont="1" applyFill="1" applyBorder="1" applyAlignment="1">
      <alignment vertical="top"/>
    </xf>
    <xf numFmtId="6" fontId="3" fillId="4" borderId="15" xfId="0" applyNumberFormat="1" applyFont="1" applyFill="1" applyBorder="1" applyAlignment="1">
      <alignment vertical="top"/>
    </xf>
    <xf numFmtId="6" fontId="3" fillId="4" borderId="13" xfId="0" applyNumberFormat="1" applyFont="1" applyFill="1" applyBorder="1" applyAlignment="1">
      <alignment vertical="top"/>
    </xf>
    <xf numFmtId="6" fontId="2" fillId="4" borderId="1" xfId="0" applyNumberFormat="1" applyFont="1" applyFill="1" applyBorder="1" applyAlignment="1">
      <alignment vertical="top"/>
    </xf>
    <xf numFmtId="6" fontId="2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8" applyNumberFormat="1" applyFont="1"/>
    <xf numFmtId="0" fontId="9" fillId="0" borderId="0" xfId="10" applyFont="1"/>
    <xf numFmtId="165" fontId="9" fillId="0" borderId="0" xfId="11" applyNumberFormat="1" applyFont="1" applyFill="1"/>
    <xf numFmtId="165" fontId="8" fillId="0" borderId="26" xfId="11" applyNumberFormat="1" applyFont="1" applyFill="1" applyBorder="1"/>
    <xf numFmtId="165" fontId="9" fillId="0" borderId="0" xfId="11" applyNumberFormat="1" applyFont="1" applyFill="1" applyBorder="1"/>
    <xf numFmtId="0" fontId="12" fillId="0" borderId="0" xfId="10" applyFont="1"/>
    <xf numFmtId="165" fontId="12" fillId="0" borderId="0" xfId="11" applyNumberFormat="1" applyFont="1" applyFill="1"/>
    <xf numFmtId="166" fontId="13" fillId="0" borderId="0" xfId="9" applyNumberFormat="1" applyFont="1"/>
    <xf numFmtId="0" fontId="12" fillId="2" borderId="0" xfId="10" applyFont="1" applyFill="1"/>
    <xf numFmtId="165" fontId="9" fillId="0" borderId="0" xfId="10" applyNumberFormat="1" applyFont="1"/>
    <xf numFmtId="43" fontId="9" fillId="0" borderId="0" xfId="8" applyFont="1"/>
    <xf numFmtId="43" fontId="9" fillId="0" borderId="0" xfId="10" applyNumberFormat="1" applyFont="1"/>
    <xf numFmtId="43" fontId="3" fillId="0" borderId="0" xfId="8" applyFont="1"/>
    <xf numFmtId="0" fontId="2" fillId="0" borderId="17" xfId="12" applyFont="1" applyBorder="1" applyAlignment="1">
      <alignment horizontal="center" vertical="center" wrapText="1"/>
    </xf>
    <xf numFmtId="167" fontId="2" fillId="0" borderId="16" xfId="12" applyNumberFormat="1" applyFont="1" applyBorder="1" applyAlignment="1">
      <alignment horizontal="center" vertical="center" wrapText="1"/>
    </xf>
    <xf numFmtId="0" fontId="2" fillId="0" borderId="17" xfId="12" applyFont="1" applyBorder="1" applyAlignment="1">
      <alignment vertical="center" wrapText="1"/>
    </xf>
    <xf numFmtId="0" fontId="3" fillId="0" borderId="0" xfId="12" applyFont="1"/>
    <xf numFmtId="167" fontId="16" fillId="0" borderId="27" xfId="12" applyNumberFormat="1" applyFont="1" applyBorder="1" applyAlignment="1">
      <alignment horizontal="center" vertical="center" wrapText="1"/>
    </xf>
    <xf numFmtId="168" fontId="16" fillId="0" borderId="28" xfId="12" applyNumberFormat="1" applyFont="1" applyBorder="1" applyAlignment="1">
      <alignment horizontal="center" vertical="center" wrapText="1"/>
    </xf>
    <xf numFmtId="167" fontId="16" fillId="0" borderId="28" xfId="12" applyNumberFormat="1" applyFont="1" applyBorder="1" applyAlignment="1">
      <alignment horizontal="center" vertical="center" wrapText="1"/>
    </xf>
    <xf numFmtId="167" fontId="16" fillId="0" borderId="29" xfId="12" applyNumberFormat="1" applyFont="1" applyBorder="1" applyAlignment="1">
      <alignment horizontal="center" vertical="center" wrapText="1"/>
    </xf>
    <xf numFmtId="8" fontId="3" fillId="0" borderId="0" xfId="12" applyNumberFormat="1" applyFont="1"/>
    <xf numFmtId="168" fontId="17" fillId="0" borderId="31" xfId="13" applyNumberFormat="1" applyFont="1" applyBorder="1"/>
    <xf numFmtId="6" fontId="17" fillId="0" borderId="31" xfId="13" applyNumberFormat="1" applyFont="1" applyBorder="1"/>
    <xf numFmtId="6" fontId="17" fillId="0" borderId="31" xfId="13" applyNumberFormat="1" applyFont="1" applyBorder="1" applyAlignment="1">
      <alignment horizontal="center"/>
    </xf>
    <xf numFmtId="168" fontId="17" fillId="0" borderId="32" xfId="13" applyNumberFormat="1" applyFont="1" applyBorder="1"/>
    <xf numFmtId="6" fontId="3" fillId="0" borderId="0" xfId="12" applyNumberFormat="1" applyFont="1"/>
    <xf numFmtId="6" fontId="17" fillId="0" borderId="30" xfId="13" applyNumberFormat="1" applyFont="1" applyBorder="1" applyAlignment="1">
      <alignment horizontal="left" vertical="top"/>
    </xf>
    <xf numFmtId="0" fontId="3" fillId="0" borderId="0" xfId="12" applyFont="1" applyAlignment="1">
      <alignment horizontal="center"/>
    </xf>
    <xf numFmtId="0" fontId="15" fillId="0" borderId="0" xfId="12"/>
    <xf numFmtId="167" fontId="2" fillId="0" borderId="31" xfId="12" applyNumberFormat="1" applyFont="1" applyBorder="1" applyAlignment="1">
      <alignment horizontal="center" wrapText="1"/>
    </xf>
    <xf numFmtId="168" fontId="2" fillId="0" borderId="31" xfId="12" applyNumberFormat="1" applyFont="1" applyBorder="1" applyAlignment="1">
      <alignment wrapText="1"/>
    </xf>
    <xf numFmtId="167" fontId="2" fillId="0" borderId="0" xfId="12" applyNumberFormat="1" applyFont="1" applyAlignment="1">
      <alignment horizontal="center" wrapText="1"/>
    </xf>
    <xf numFmtId="168" fontId="3" fillId="0" borderId="0" xfId="12" applyNumberFormat="1" applyFont="1" applyAlignment="1">
      <alignment horizontal="center" vertical="center" wrapText="1"/>
    </xf>
    <xf numFmtId="167" fontId="2" fillId="0" borderId="0" xfId="12" applyNumberFormat="1" applyFont="1" applyAlignment="1">
      <alignment wrapText="1"/>
    </xf>
    <xf numFmtId="168" fontId="2" fillId="0" borderId="0" xfId="12" applyNumberFormat="1" applyFont="1" applyAlignment="1">
      <alignment wrapText="1"/>
    </xf>
    <xf numFmtId="44" fontId="3" fillId="0" borderId="0" xfId="14" applyFont="1" applyAlignment="1">
      <alignment horizontal="center"/>
    </xf>
    <xf numFmtId="168" fontId="3" fillId="0" borderId="0" xfId="12" applyNumberFormat="1" applyFont="1" applyAlignment="1">
      <alignment wrapText="1"/>
    </xf>
    <xf numFmtId="44" fontId="3" fillId="0" borderId="0" xfId="14" applyFont="1"/>
    <xf numFmtId="168" fontId="3" fillId="0" borderId="0" xfId="14" applyNumberFormat="1" applyFont="1"/>
    <xf numFmtId="167" fontId="3" fillId="0" borderId="0" xfId="12" applyNumberFormat="1" applyFont="1" applyAlignment="1">
      <alignment wrapText="1"/>
    </xf>
    <xf numFmtId="6" fontId="17" fillId="0" borderId="33" xfId="13" applyNumberFormat="1" applyFont="1" applyBorder="1" applyAlignment="1">
      <alignment horizontal="left" vertical="top"/>
    </xf>
    <xf numFmtId="168" fontId="17" fillId="0" borderId="34" xfId="13" applyNumberFormat="1" applyFont="1" applyBorder="1"/>
    <xf numFmtId="6" fontId="17" fillId="0" borderId="34" xfId="13" applyNumberFormat="1" applyFont="1" applyBorder="1"/>
    <xf numFmtId="6" fontId="17" fillId="0" borderId="34" xfId="13" applyNumberFormat="1" applyFont="1" applyBorder="1" applyAlignment="1">
      <alignment horizontal="center"/>
    </xf>
    <xf numFmtId="168" fontId="17" fillId="0" borderId="35" xfId="13" applyNumberFormat="1" applyFont="1" applyBorder="1"/>
    <xf numFmtId="40" fontId="17" fillId="0" borderId="31" xfId="13" applyNumberFormat="1" applyFont="1" applyBorder="1"/>
    <xf numFmtId="6" fontId="17" fillId="0" borderId="30" xfId="13" applyNumberFormat="1" applyFont="1" applyBorder="1"/>
    <xf numFmtId="167" fontId="2" fillId="0" borderId="36" xfId="12" applyNumberFormat="1" applyFont="1" applyBorder="1" applyAlignment="1">
      <alignment horizontal="center" vertical="center" wrapText="1"/>
    </xf>
    <xf numFmtId="167" fontId="2" fillId="0" borderId="17" xfId="12" applyNumberFormat="1" applyFont="1" applyBorder="1" applyAlignment="1">
      <alignment horizontal="center" vertical="center" wrapText="1"/>
    </xf>
    <xf numFmtId="0" fontId="2" fillId="0" borderId="37" xfId="12" applyFont="1" applyBorder="1" applyAlignment="1">
      <alignment vertical="center" wrapText="1"/>
    </xf>
    <xf numFmtId="167" fontId="2" fillId="0" borderId="38" xfId="12" applyNumberFormat="1" applyFont="1" applyBorder="1" applyAlignment="1">
      <alignment horizontal="center" vertical="center" wrapText="1"/>
    </xf>
    <xf numFmtId="167" fontId="2" fillId="0" borderId="39" xfId="12" applyNumberFormat="1" applyFont="1" applyBorder="1" applyAlignment="1">
      <alignment horizontal="center" vertical="center" wrapText="1"/>
    </xf>
    <xf numFmtId="10" fontId="2" fillId="0" borderId="39" xfId="15" applyNumberFormat="1" applyFont="1" applyBorder="1" applyAlignment="1">
      <alignment horizontal="center" vertical="center" wrapText="1"/>
    </xf>
    <xf numFmtId="167" fontId="2" fillId="0" borderId="40" xfId="12" applyNumberFormat="1" applyFont="1" applyBorder="1" applyAlignment="1">
      <alignment horizontal="center" vertical="center" wrapText="1"/>
    </xf>
    <xf numFmtId="167" fontId="2" fillId="0" borderId="3" xfId="12" applyNumberFormat="1" applyFont="1" applyBorder="1" applyAlignment="1">
      <alignment horizontal="center" vertical="center" wrapText="1"/>
    </xf>
    <xf numFmtId="167" fontId="2" fillId="6" borderId="40" xfId="12" applyNumberFormat="1" applyFont="1" applyFill="1" applyBorder="1" applyAlignment="1">
      <alignment horizontal="center" vertical="center" wrapText="1"/>
    </xf>
    <xf numFmtId="0" fontId="18" fillId="0" borderId="41" xfId="13" applyFont="1" applyBorder="1"/>
    <xf numFmtId="167" fontId="18" fillId="0" borderId="42" xfId="13" applyNumberFormat="1" applyFont="1" applyBorder="1"/>
    <xf numFmtId="10" fontId="18" fillId="0" borderId="42" xfId="15" applyNumberFormat="1" applyFont="1" applyBorder="1" applyAlignment="1">
      <alignment horizontal="center"/>
    </xf>
    <xf numFmtId="167" fontId="18" fillId="6" borderId="42" xfId="13" applyNumberFormat="1" applyFont="1" applyFill="1" applyBorder="1"/>
    <xf numFmtId="167" fontId="18" fillId="0" borderId="43" xfId="13" applyNumberFormat="1" applyFont="1" applyBorder="1"/>
    <xf numFmtId="0" fontId="18" fillId="5" borderId="44" xfId="13" applyFont="1" applyFill="1" applyBorder="1"/>
    <xf numFmtId="167" fontId="18" fillId="5" borderId="45" xfId="13" applyNumberFormat="1" applyFont="1" applyFill="1" applyBorder="1"/>
    <xf numFmtId="10" fontId="18" fillId="5" borderId="45" xfId="15" applyNumberFormat="1" applyFont="1" applyFill="1" applyBorder="1" applyAlignment="1">
      <alignment horizontal="center"/>
    </xf>
    <xf numFmtId="167" fontId="18" fillId="6" borderId="45" xfId="13" applyNumberFormat="1" applyFont="1" applyFill="1" applyBorder="1"/>
    <xf numFmtId="167" fontId="18" fillId="5" borderId="32" xfId="13" applyNumberFormat="1" applyFont="1" applyFill="1" applyBorder="1"/>
    <xf numFmtId="0" fontId="18" fillId="0" borderId="44" xfId="13" applyFont="1" applyBorder="1"/>
    <xf numFmtId="167" fontId="18" fillId="0" borderId="45" xfId="13" applyNumberFormat="1" applyFont="1" applyBorder="1"/>
    <xf numFmtId="10" fontId="18" fillId="0" borderId="45" xfId="15" applyNumberFormat="1" applyFont="1" applyBorder="1" applyAlignment="1">
      <alignment horizontal="center"/>
    </xf>
    <xf numFmtId="167" fontId="18" fillId="0" borderId="32" xfId="13" applyNumberFormat="1" applyFont="1" applyBorder="1"/>
    <xf numFmtId="0" fontId="18" fillId="0" borderId="46" xfId="13" applyFont="1" applyBorder="1"/>
    <xf numFmtId="167" fontId="18" fillId="0" borderId="47" xfId="13" applyNumberFormat="1" applyFont="1" applyBorder="1"/>
    <xf numFmtId="10" fontId="18" fillId="0" borderId="47" xfId="15" applyNumberFormat="1" applyFont="1" applyBorder="1" applyAlignment="1">
      <alignment horizontal="center"/>
    </xf>
    <xf numFmtId="167" fontId="18" fillId="6" borderId="47" xfId="13" applyNumberFormat="1" applyFont="1" applyFill="1" applyBorder="1"/>
    <xf numFmtId="167" fontId="18" fillId="0" borderId="35" xfId="13" applyNumberFormat="1" applyFont="1" applyBorder="1"/>
    <xf numFmtId="10" fontId="3" fillId="0" borderId="0" xfId="15" applyNumberFormat="1" applyFont="1" applyAlignment="1">
      <alignment horizontal="center"/>
    </xf>
    <xf numFmtId="167" fontId="2" fillId="0" borderId="31" xfId="12" applyNumberFormat="1" applyFont="1" applyBorder="1" applyAlignment="1">
      <alignment wrapText="1"/>
    </xf>
    <xf numFmtId="167" fontId="2" fillId="6" borderId="31" xfId="12" applyNumberFormat="1" applyFont="1" applyFill="1" applyBorder="1" applyAlignment="1">
      <alignment wrapText="1"/>
    </xf>
    <xf numFmtId="10" fontId="18" fillId="0" borderId="0" xfId="15" applyNumberFormat="1" applyFont="1" applyBorder="1" applyAlignment="1">
      <alignment horizontal="center"/>
    </xf>
    <xf numFmtId="10" fontId="2" fillId="0" borderId="0" xfId="15" applyNumberFormat="1" applyFont="1" applyBorder="1" applyAlignment="1">
      <alignment wrapText="1"/>
    </xf>
    <xf numFmtId="167" fontId="3" fillId="0" borderId="0" xfId="12" applyNumberFormat="1" applyFont="1"/>
    <xf numFmtId="167" fontId="2" fillId="0" borderId="0" xfId="12" applyNumberFormat="1" applyFont="1" applyAlignment="1">
      <alignment horizontal="center" vertical="center" wrapText="1"/>
    </xf>
    <xf numFmtId="9" fontId="3" fillId="0" borderId="0" xfId="15" applyFont="1" applyAlignment="1">
      <alignment horizontal="center" vertical="center" wrapText="1"/>
    </xf>
    <xf numFmtId="167" fontId="3" fillId="0" borderId="0" xfId="12" applyNumberFormat="1" applyFont="1" applyAlignment="1">
      <alignment horizontal="center" vertical="center" wrapText="1"/>
    </xf>
    <xf numFmtId="0" fontId="3" fillId="0" borderId="0" xfId="12" applyFont="1" applyAlignment="1">
      <alignment horizontal="center" vertical="center"/>
    </xf>
    <xf numFmtId="167" fontId="3" fillId="0" borderId="0" xfId="12" applyNumberFormat="1" applyFont="1" applyAlignment="1">
      <alignment horizontal="center" vertical="center"/>
    </xf>
    <xf numFmtId="167" fontId="2" fillId="0" borderId="0" xfId="12" applyNumberFormat="1" applyFont="1" applyAlignment="1">
      <alignment horizontal="center" vertical="center"/>
    </xf>
    <xf numFmtId="167" fontId="2" fillId="0" borderId="3" xfId="12" applyNumberFormat="1" applyFont="1" applyBorder="1" applyAlignment="1">
      <alignment horizontal="center" vertical="center"/>
    </xf>
    <xf numFmtId="10" fontId="2" fillId="0" borderId="3" xfId="15" applyNumberFormat="1" applyFont="1" applyBorder="1" applyAlignment="1">
      <alignment horizontal="center" vertical="center"/>
    </xf>
    <xf numFmtId="0" fontId="3" fillId="0" borderId="0" xfId="12" applyFont="1" applyAlignment="1">
      <alignment vertical="center"/>
    </xf>
    <xf numFmtId="10" fontId="3" fillId="0" borderId="0" xfId="15" applyNumberFormat="1" applyFont="1"/>
    <xf numFmtId="10" fontId="3" fillId="0" borderId="0" xfId="15" applyNumberFormat="1" applyFont="1" applyAlignment="1">
      <alignment horizontal="center" wrapText="1"/>
    </xf>
    <xf numFmtId="168" fontId="18" fillId="0" borderId="42" xfId="13" applyNumberFormat="1" applyFont="1" applyBorder="1"/>
    <xf numFmtId="168" fontId="18" fillId="5" borderId="45" xfId="13" applyNumberFormat="1" applyFont="1" applyFill="1" applyBorder="1"/>
    <xf numFmtId="168" fontId="18" fillId="0" borderId="45" xfId="13" applyNumberFormat="1" applyFont="1" applyBorder="1"/>
    <xf numFmtId="168" fontId="18" fillId="0" borderId="47" xfId="13" applyNumberFormat="1" applyFont="1" applyBorder="1"/>
    <xf numFmtId="168" fontId="3" fillId="0" borderId="0" xfId="12" applyNumberFormat="1" applyFont="1"/>
    <xf numFmtId="168" fontId="18" fillId="0" borderId="43" xfId="13" applyNumberFormat="1" applyFont="1" applyBorder="1"/>
    <xf numFmtId="168" fontId="18" fillId="5" borderId="32" xfId="13" applyNumberFormat="1" applyFont="1" applyFill="1" applyBorder="1"/>
    <xf numFmtId="168" fontId="18" fillId="0" borderId="32" xfId="13" applyNumberFormat="1" applyFont="1" applyBorder="1"/>
    <xf numFmtId="168" fontId="18" fillId="0" borderId="35" xfId="13" applyNumberFormat="1" applyFont="1" applyBorder="1"/>
    <xf numFmtId="0" fontId="8" fillId="0" borderId="0" xfId="1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167" fontId="2" fillId="0" borderId="16" xfId="12" applyNumberFormat="1" applyFont="1" applyBorder="1" applyAlignment="1">
      <alignment horizontal="center" vertical="center" wrapText="1"/>
    </xf>
    <xf numFmtId="167" fontId="2" fillId="0" borderId="17" xfId="12" applyNumberFormat="1" applyFont="1" applyBorder="1" applyAlignment="1">
      <alignment horizontal="center" vertical="center" wrapText="1"/>
    </xf>
    <xf numFmtId="167" fontId="2" fillId="0" borderId="37" xfId="12" applyNumberFormat="1" applyFont="1" applyBorder="1" applyAlignment="1">
      <alignment horizontal="center" vertical="center" wrapText="1"/>
    </xf>
    <xf numFmtId="49" fontId="2" fillId="0" borderId="16" xfId="12" applyNumberFormat="1" applyFont="1" applyBorder="1" applyAlignment="1">
      <alignment horizontal="center" vertical="center" wrapText="1"/>
    </xf>
    <xf numFmtId="49" fontId="2" fillId="0" borderId="17" xfId="12" applyNumberFormat="1" applyFont="1" applyBorder="1" applyAlignment="1">
      <alignment horizontal="center" vertical="center" wrapText="1"/>
    </xf>
    <xf numFmtId="49" fontId="2" fillId="0" borderId="37" xfId="12" applyNumberFormat="1" applyFont="1" applyBorder="1" applyAlignment="1">
      <alignment horizontal="center" vertical="center" wrapText="1"/>
    </xf>
    <xf numFmtId="0" fontId="2" fillId="0" borderId="16" xfId="12" applyFont="1" applyBorder="1" applyAlignment="1">
      <alignment horizontal="center" vertical="center" wrapText="1"/>
    </xf>
    <xf numFmtId="0" fontId="2" fillId="0" borderId="17" xfId="12" applyFont="1" applyBorder="1" applyAlignment="1">
      <alignment horizontal="center" vertical="center" wrapText="1"/>
    </xf>
    <xf numFmtId="0" fontId="2" fillId="0" borderId="37" xfId="12" applyFont="1" applyBorder="1" applyAlignment="1">
      <alignment horizontal="center" vertical="center" wrapText="1"/>
    </xf>
    <xf numFmtId="165" fontId="8" fillId="0" borderId="0" xfId="11" applyNumberFormat="1" applyFont="1" applyFill="1" applyBorder="1"/>
    <xf numFmtId="0" fontId="8" fillId="0" borderId="0" xfId="10" applyFont="1"/>
    <xf numFmtId="165" fontId="19" fillId="0" borderId="0" xfId="11" applyNumberFormat="1" applyFont="1" applyFill="1"/>
    <xf numFmtId="166" fontId="20" fillId="0" borderId="0" xfId="9" applyNumberFormat="1" applyFont="1"/>
  </cellXfs>
  <cellStyles count="16">
    <cellStyle name="Comma" xfId="8" builtinId="3"/>
    <cellStyle name="Comma 2" xfId="4" xr:uid="{43E51833-EFD7-4E6A-941E-F73C972D8BD3}"/>
    <cellStyle name="Currency 2" xfId="6" xr:uid="{0A680530-F7AC-4118-BAA0-48BCF8EE97F5}"/>
    <cellStyle name="Currency 3" xfId="14" xr:uid="{138C2295-60DC-4F76-80FB-43116F355132}"/>
    <cellStyle name="Currency 4" xfId="11" xr:uid="{42CB02F2-0185-4241-AE23-1859ED6C07A2}"/>
    <cellStyle name="Normal" xfId="0" builtinId="0"/>
    <cellStyle name="Normal 10 2" xfId="7" xr:uid="{BEFA3640-2F27-4C7F-B3E0-BBE3F9609FAD}"/>
    <cellStyle name="Normal 2" xfId="1" xr:uid="{9074B743-2D02-4157-99B2-82E6C82D0799}"/>
    <cellStyle name="Normal 2 2" xfId="3" xr:uid="{215E7E62-6A23-4070-ABCF-89C99DBCACB7}"/>
    <cellStyle name="Normal 2 3" xfId="13" xr:uid="{2A4846A0-065A-47DE-9C61-825E328E1A36}"/>
    <cellStyle name="Normal 3" xfId="2" xr:uid="{8D441B09-C7CF-4056-BBCE-B9048D9DF78E}"/>
    <cellStyle name="Normal 4" xfId="10" xr:uid="{AEAD1D20-CBEA-47B2-94AD-EBA7AE43F90E}"/>
    <cellStyle name="Normal 5" xfId="12" xr:uid="{D01BFBC7-14AA-445E-B5D7-626306A8BAB0}"/>
    <cellStyle name="Percent" xfId="9" builtinId="5"/>
    <cellStyle name="Percent 2" xfId="5" xr:uid="{06EED7BA-0B43-44F5-8EED-542849A12B9A}"/>
    <cellStyle name="Percent 3" xfId="15" xr:uid="{0B5B1F9D-A82A-4DB4-8B00-FDCFCB939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2035-DE09-47AB-B184-531BEE428F81}">
  <sheetPr>
    <pageSetUpPr fitToPage="1"/>
  </sheetPr>
  <dimension ref="A1:D23"/>
  <sheetViews>
    <sheetView tabSelected="1" zoomScale="90" zoomScaleNormal="90" workbookViewId="0">
      <selection activeCell="A25" sqref="A25"/>
    </sheetView>
  </sheetViews>
  <sheetFormatPr defaultRowHeight="21" x14ac:dyDescent="0.35"/>
  <cols>
    <col min="1" max="1" width="107.140625" style="62" customWidth="1"/>
    <col min="2" max="2" width="28" style="62" customWidth="1"/>
    <col min="3" max="3" width="3.85546875" style="62" customWidth="1"/>
    <col min="4" max="4" width="26.42578125" style="62" customWidth="1"/>
    <col min="5" max="16384" width="9.140625" style="62"/>
  </cols>
  <sheetData>
    <row r="1" spans="1:4" x14ac:dyDescent="0.35">
      <c r="A1" s="163" t="s">
        <v>83</v>
      </c>
      <c r="B1" s="163"/>
    </row>
    <row r="2" spans="1:4" ht="37.5" customHeight="1" x14ac:dyDescent="0.35"/>
    <row r="3" spans="1:4" x14ac:dyDescent="0.35">
      <c r="A3" s="62" t="s">
        <v>86</v>
      </c>
      <c r="B3" s="63">
        <v>431000000</v>
      </c>
    </row>
    <row r="4" spans="1:4" x14ac:dyDescent="0.35">
      <c r="A4" s="62" t="s">
        <v>87</v>
      </c>
      <c r="B4" s="63">
        <v>10000000</v>
      </c>
    </row>
    <row r="5" spans="1:4" ht="21.75" thickBot="1" x14ac:dyDescent="0.4">
      <c r="A5" s="62" t="s">
        <v>88</v>
      </c>
      <c r="B5" s="63">
        <v>5812672</v>
      </c>
    </row>
    <row r="6" spans="1:4" ht="21.75" thickTop="1" x14ac:dyDescent="0.35">
      <c r="A6" s="176" t="s">
        <v>136</v>
      </c>
      <c r="B6" s="64">
        <f>SUM(B3:B5)</f>
        <v>446812672</v>
      </c>
      <c r="D6" s="71"/>
    </row>
    <row r="7" spans="1:4" x14ac:dyDescent="0.35">
      <c r="B7" s="175"/>
      <c r="D7" s="71"/>
    </row>
    <row r="8" spans="1:4" ht="21.75" thickBot="1" x14ac:dyDescent="0.4">
      <c r="A8" s="62" t="s">
        <v>134</v>
      </c>
      <c r="B8" s="65">
        <v>11700000</v>
      </c>
      <c r="D8" s="71"/>
    </row>
    <row r="9" spans="1:4" ht="21.75" thickTop="1" x14ac:dyDescent="0.35">
      <c r="A9" s="176" t="s">
        <v>135</v>
      </c>
      <c r="B9" s="64">
        <f>SUM(B6:B8)</f>
        <v>458512672</v>
      </c>
      <c r="D9" s="71"/>
    </row>
    <row r="10" spans="1:4" x14ac:dyDescent="0.35">
      <c r="B10" s="65"/>
      <c r="D10" s="71"/>
    </row>
    <row r="11" spans="1:4" x14ac:dyDescent="0.35">
      <c r="B11" s="65"/>
      <c r="D11" s="72"/>
    </row>
    <row r="12" spans="1:4" x14ac:dyDescent="0.35">
      <c r="B12" s="65"/>
      <c r="D12" s="72"/>
    </row>
    <row r="13" spans="1:4" x14ac:dyDescent="0.35">
      <c r="A13" s="62" t="s">
        <v>139</v>
      </c>
      <c r="B13" s="63">
        <v>412892171</v>
      </c>
      <c r="D13" s="72"/>
    </row>
    <row r="14" spans="1:4" ht="11.25" customHeight="1" x14ac:dyDescent="0.35">
      <c r="B14" s="63"/>
    </row>
    <row r="15" spans="1:4" s="66" customFormat="1" x14ac:dyDescent="0.35">
      <c r="A15" s="66" t="s">
        <v>84</v>
      </c>
      <c r="B15" s="67">
        <f>B6-B13</f>
        <v>33920501</v>
      </c>
    </row>
    <row r="16" spans="1:4" x14ac:dyDescent="0.35">
      <c r="B16" s="68">
        <f>B15/B13</f>
        <v>8.2153412882221985E-2</v>
      </c>
    </row>
    <row r="18" spans="1:2" hidden="1" x14ac:dyDescent="0.35">
      <c r="A18" s="69" t="s">
        <v>85</v>
      </c>
    </row>
    <row r="19" spans="1:2" x14ac:dyDescent="0.35">
      <c r="B19" s="70"/>
    </row>
    <row r="20" spans="1:2" x14ac:dyDescent="0.35">
      <c r="A20" s="62" t="s">
        <v>138</v>
      </c>
      <c r="B20" s="63">
        <v>424592171</v>
      </c>
    </row>
    <row r="21" spans="1:2" ht="11.25" customHeight="1" x14ac:dyDescent="0.35">
      <c r="B21" s="63"/>
    </row>
    <row r="22" spans="1:2" x14ac:dyDescent="0.35">
      <c r="A22" s="66" t="s">
        <v>137</v>
      </c>
      <c r="B22" s="67">
        <f>B9-B20</f>
        <v>33920501</v>
      </c>
    </row>
    <row r="23" spans="1:2" x14ac:dyDescent="0.35">
      <c r="B23" s="68">
        <f>B22/B20</f>
        <v>7.9889605406784567E-2</v>
      </c>
    </row>
  </sheetData>
  <mergeCells count="1">
    <mergeCell ref="A1:B1"/>
  </mergeCells>
  <printOptions horizontalCentered="1"/>
  <pageMargins left="0.5" right="0.5" top="1" bottom="1" header="0.5" footer="0.5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796F-ADA5-4D8E-97E4-3AE674E1FFD5}">
  <sheetPr>
    <pageSetUpPr fitToPage="1"/>
  </sheetPr>
  <dimension ref="A1:D27"/>
  <sheetViews>
    <sheetView zoomScale="90" zoomScaleNormal="90" workbookViewId="0">
      <selection activeCell="A16" sqref="A16"/>
    </sheetView>
  </sheetViews>
  <sheetFormatPr defaultRowHeight="21" x14ac:dyDescent="0.35"/>
  <cols>
    <col min="1" max="1" width="107.140625" style="62" customWidth="1"/>
    <col min="2" max="2" width="28" style="62" customWidth="1"/>
    <col min="3" max="3" width="3.85546875" style="62" customWidth="1"/>
    <col min="4" max="4" width="26.42578125" style="62" customWidth="1"/>
    <col min="5" max="16384" width="9.140625" style="62"/>
  </cols>
  <sheetData>
    <row r="1" spans="1:4" x14ac:dyDescent="0.35">
      <c r="A1" s="163" t="s">
        <v>83</v>
      </c>
      <c r="B1" s="163"/>
    </row>
    <row r="2" spans="1:4" ht="37.5" customHeight="1" x14ac:dyDescent="0.35"/>
    <row r="3" spans="1:4" x14ac:dyDescent="0.35">
      <c r="A3" s="62" t="s">
        <v>140</v>
      </c>
      <c r="B3" s="63">
        <v>375601105</v>
      </c>
    </row>
    <row r="4" spans="1:4" x14ac:dyDescent="0.35">
      <c r="A4" s="62" t="s">
        <v>87</v>
      </c>
      <c r="B4" s="63">
        <v>10000000</v>
      </c>
    </row>
    <row r="5" spans="1:4" ht="21.75" thickBot="1" x14ac:dyDescent="0.4">
      <c r="A5" s="62" t="s">
        <v>88</v>
      </c>
      <c r="B5" s="63">
        <v>5812672</v>
      </c>
    </row>
    <row r="6" spans="1:4" ht="21.75" thickTop="1" x14ac:dyDescent="0.35">
      <c r="A6" s="176" t="s">
        <v>136</v>
      </c>
      <c r="B6" s="64">
        <f>SUM(B3:B5)</f>
        <v>391413777</v>
      </c>
      <c r="D6" s="71"/>
    </row>
    <row r="7" spans="1:4" x14ac:dyDescent="0.35">
      <c r="B7" s="175"/>
      <c r="D7" s="71"/>
    </row>
    <row r="8" spans="1:4" ht="21.75" thickBot="1" x14ac:dyDescent="0.4">
      <c r="A8" s="62" t="s">
        <v>134</v>
      </c>
      <c r="B8" s="65">
        <v>11700000</v>
      </c>
      <c r="D8" s="71"/>
    </row>
    <row r="9" spans="1:4" ht="21.75" thickTop="1" x14ac:dyDescent="0.35">
      <c r="A9" s="176" t="s">
        <v>135</v>
      </c>
      <c r="B9" s="64">
        <f>SUM(B6:B8)</f>
        <v>403113777</v>
      </c>
      <c r="D9" s="71"/>
    </row>
    <row r="10" spans="1:4" x14ac:dyDescent="0.35">
      <c r="B10" s="65"/>
      <c r="D10" s="71"/>
    </row>
    <row r="11" spans="1:4" x14ac:dyDescent="0.35">
      <c r="B11" s="65"/>
      <c r="D11" s="72"/>
    </row>
    <row r="12" spans="1:4" x14ac:dyDescent="0.35">
      <c r="B12" s="65"/>
      <c r="D12" s="72"/>
    </row>
    <row r="13" spans="1:4" x14ac:dyDescent="0.35">
      <c r="A13" s="62" t="s">
        <v>139</v>
      </c>
      <c r="B13" s="63">
        <v>412892171</v>
      </c>
      <c r="D13" s="72"/>
    </row>
    <row r="14" spans="1:4" ht="11.25" customHeight="1" x14ac:dyDescent="0.35">
      <c r="B14" s="63"/>
    </row>
    <row r="15" spans="1:4" s="66" customFormat="1" x14ac:dyDescent="0.35">
      <c r="A15" s="66" t="s">
        <v>141</v>
      </c>
      <c r="B15" s="177">
        <f>B6-B13</f>
        <v>-21478394</v>
      </c>
    </row>
    <row r="16" spans="1:4" x14ac:dyDescent="0.35">
      <c r="B16" s="178">
        <f>B15/B13</f>
        <v>-5.201937820225707E-2</v>
      </c>
    </row>
    <row r="18" spans="1:2" hidden="1" x14ac:dyDescent="0.35">
      <c r="A18" s="69" t="s">
        <v>85</v>
      </c>
    </row>
    <row r="19" spans="1:2" x14ac:dyDescent="0.35">
      <c r="B19" s="70"/>
    </row>
    <row r="20" spans="1:2" x14ac:dyDescent="0.35">
      <c r="A20" s="62" t="s">
        <v>138</v>
      </c>
      <c r="B20" s="63">
        <v>424592171</v>
      </c>
    </row>
    <row r="21" spans="1:2" ht="11.25" customHeight="1" x14ac:dyDescent="0.35">
      <c r="B21" s="63"/>
    </row>
    <row r="22" spans="1:2" x14ac:dyDescent="0.35">
      <c r="A22" s="66" t="s">
        <v>142</v>
      </c>
      <c r="B22" s="177">
        <f>B9-B20</f>
        <v>-21478394</v>
      </c>
    </row>
    <row r="23" spans="1:2" x14ac:dyDescent="0.35">
      <c r="B23" s="178">
        <f>B22/B20</f>
        <v>-5.0585939795861193E-2</v>
      </c>
    </row>
    <row r="27" spans="1:2" x14ac:dyDescent="0.35">
      <c r="B27" s="70"/>
    </row>
  </sheetData>
  <mergeCells count="1">
    <mergeCell ref="A1:B1"/>
  </mergeCells>
  <printOptions horizontalCentered="1"/>
  <pageMargins left="0.5" right="0.5" top="1" bottom="1" header="0.5" footer="0.5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879D-76B6-44D9-9A45-187534A586BF}">
  <sheetPr>
    <pageSetUpPr fitToPage="1"/>
  </sheetPr>
  <dimension ref="A1:O76"/>
  <sheetViews>
    <sheetView zoomScale="110" zoomScaleNormal="110" workbookViewId="0">
      <pane xSplit="2" ySplit="1" topLeftCell="C43" activePane="bottomRight" state="frozen"/>
      <selection pane="topRight" activeCell="C1" sqref="C1"/>
      <selection pane="bottomLeft" activeCell="A2" sqref="A2"/>
      <selection pane="bottomRight" activeCell="F72" sqref="F72"/>
    </sheetView>
  </sheetViews>
  <sheetFormatPr defaultColWidth="12.7109375" defaultRowHeight="13.5" x14ac:dyDescent="0.25"/>
  <cols>
    <col min="1" max="1" width="13.7109375" style="1" customWidth="1"/>
    <col min="2" max="2" width="6.7109375" style="1" bestFit="1" customWidth="1"/>
    <col min="3" max="3" width="16.7109375" style="1" customWidth="1"/>
    <col min="4" max="5" width="16.5703125" style="1" customWidth="1"/>
    <col min="6" max="6" width="15" style="1" customWidth="1"/>
    <col min="7" max="7" width="12.7109375" style="1" customWidth="1"/>
    <col min="8" max="8" width="15.7109375" style="1" customWidth="1"/>
    <col min="9" max="9" width="15.42578125" style="1" bestFit="1" customWidth="1"/>
    <col min="10" max="10" width="17.42578125" style="1" customWidth="1"/>
    <col min="11" max="11" width="14.42578125" style="1" customWidth="1"/>
    <col min="12" max="12" width="14.140625" style="1" customWidth="1"/>
    <col min="13" max="13" width="17.28515625" style="1" customWidth="1"/>
    <col min="14" max="14" width="15.28515625" style="1" customWidth="1"/>
    <col min="15" max="15" width="18" style="29" customWidth="1"/>
    <col min="16" max="16384" width="12.7109375" style="1"/>
  </cols>
  <sheetData>
    <row r="1" spans="1:15" s="60" customFormat="1" ht="81.75" thickBot="1" x14ac:dyDescent="0.3">
      <c r="A1" s="53" t="s">
        <v>0</v>
      </c>
      <c r="B1" s="54" t="s">
        <v>1</v>
      </c>
      <c r="C1" s="56" t="s">
        <v>80</v>
      </c>
      <c r="D1" s="57" t="s">
        <v>81</v>
      </c>
      <c r="E1" s="55" t="s">
        <v>79</v>
      </c>
      <c r="F1" s="58" t="s">
        <v>70</v>
      </c>
      <c r="G1" s="58" t="s">
        <v>71</v>
      </c>
      <c r="H1" s="53" t="s">
        <v>72</v>
      </c>
      <c r="I1" s="53" t="s">
        <v>78</v>
      </c>
      <c r="J1" s="53" t="s">
        <v>82</v>
      </c>
      <c r="K1" s="58" t="s">
        <v>75</v>
      </c>
      <c r="L1" s="58" t="s">
        <v>76</v>
      </c>
      <c r="M1" s="55" t="s">
        <v>73</v>
      </c>
      <c r="N1" s="59" t="s">
        <v>74</v>
      </c>
      <c r="O1" s="58" t="s">
        <v>77</v>
      </c>
    </row>
    <row r="2" spans="1:15" x14ac:dyDescent="0.25">
      <c r="A2" s="2" t="s">
        <v>2</v>
      </c>
      <c r="B2" s="3">
        <v>1</v>
      </c>
      <c r="C2" s="41">
        <v>495108</v>
      </c>
      <c r="D2" s="42">
        <v>481246</v>
      </c>
      <c r="E2" s="23">
        <v>406693</v>
      </c>
      <c r="F2" s="5">
        <v>12201</v>
      </c>
      <c r="G2" s="5"/>
      <c r="H2" s="4">
        <v>7652</v>
      </c>
      <c r="I2" s="4">
        <v>0</v>
      </c>
      <c r="J2" s="4">
        <v>426547</v>
      </c>
      <c r="K2" s="5"/>
      <c r="L2" s="5">
        <v>1970</v>
      </c>
      <c r="M2" s="23">
        <f>J2+K2+L2</f>
        <v>428517</v>
      </c>
      <c r="N2" s="36">
        <v>9365</v>
      </c>
      <c r="O2" s="30">
        <f t="shared" ref="O2:O33" si="0">N2+L2+K2+J2</f>
        <v>437882</v>
      </c>
    </row>
    <row r="3" spans="1:15" x14ac:dyDescent="0.25">
      <c r="A3" s="6" t="s">
        <v>3</v>
      </c>
      <c r="B3" s="7">
        <v>1</v>
      </c>
      <c r="C3" s="43">
        <v>637515</v>
      </c>
      <c r="D3" s="44">
        <v>617390</v>
      </c>
      <c r="E3" s="24">
        <v>592227</v>
      </c>
      <c r="F3" s="9">
        <v>17767</v>
      </c>
      <c r="G3" s="9"/>
      <c r="H3" s="8">
        <v>8637</v>
      </c>
      <c r="I3" s="8">
        <v>-1241</v>
      </c>
      <c r="J3" s="8">
        <v>617390</v>
      </c>
      <c r="K3" s="9"/>
      <c r="L3" s="9">
        <v>2869</v>
      </c>
      <c r="M3" s="24">
        <f t="shared" ref="M3:M66" si="1">J3+K3+L3</f>
        <v>620259</v>
      </c>
      <c r="N3" s="37">
        <v>15677</v>
      </c>
      <c r="O3" s="31">
        <f t="shared" si="0"/>
        <v>635936</v>
      </c>
    </row>
    <row r="4" spans="1:15" x14ac:dyDescent="0.25">
      <c r="A4" s="6" t="s">
        <v>4</v>
      </c>
      <c r="B4" s="7">
        <v>1</v>
      </c>
      <c r="C4" s="43">
        <v>537704</v>
      </c>
      <c r="D4" s="44">
        <v>517848</v>
      </c>
      <c r="E4" s="24">
        <v>482017</v>
      </c>
      <c r="F4" s="9">
        <v>14461</v>
      </c>
      <c r="G4" s="9"/>
      <c r="H4" s="8">
        <v>5684</v>
      </c>
      <c r="I4" s="8">
        <v>0</v>
      </c>
      <c r="J4" s="8">
        <v>502162</v>
      </c>
      <c r="K4" s="9"/>
      <c r="L4" s="9">
        <v>2335</v>
      </c>
      <c r="M4" s="24">
        <f t="shared" si="1"/>
        <v>504497</v>
      </c>
      <c r="N4" s="37">
        <v>20024</v>
      </c>
      <c r="O4" s="31">
        <f t="shared" si="0"/>
        <v>524521</v>
      </c>
    </row>
    <row r="5" spans="1:15" x14ac:dyDescent="0.25">
      <c r="A5" s="6" t="s">
        <v>5</v>
      </c>
      <c r="B5" s="7">
        <v>1</v>
      </c>
      <c r="C5" s="43">
        <v>506910</v>
      </c>
      <c r="D5" s="44">
        <v>469376</v>
      </c>
      <c r="E5" s="24">
        <v>399371</v>
      </c>
      <c r="F5" s="9">
        <v>11981</v>
      </c>
      <c r="G5" s="9"/>
      <c r="H5" s="8">
        <v>5363</v>
      </c>
      <c r="I5" s="8">
        <v>0</v>
      </c>
      <c r="J5" s="8">
        <v>416715</v>
      </c>
      <c r="K5" s="9">
        <v>53270</v>
      </c>
      <c r="L5" s="9">
        <v>1935</v>
      </c>
      <c r="M5" s="24">
        <f t="shared" si="1"/>
        <v>471920</v>
      </c>
      <c r="N5" s="37">
        <v>34274</v>
      </c>
      <c r="O5" s="31">
        <f t="shared" si="0"/>
        <v>506194</v>
      </c>
    </row>
    <row r="6" spans="1:15" x14ac:dyDescent="0.25">
      <c r="A6" s="6" t="s">
        <v>6</v>
      </c>
      <c r="B6" s="7">
        <v>1</v>
      </c>
      <c r="C6" s="43">
        <v>300808</v>
      </c>
      <c r="D6" s="44">
        <v>297534</v>
      </c>
      <c r="E6" s="24">
        <v>270644</v>
      </c>
      <c r="F6" s="9">
        <v>8119</v>
      </c>
      <c r="G6" s="9"/>
      <c r="H6" s="8">
        <v>3135</v>
      </c>
      <c r="I6" s="8">
        <v>0</v>
      </c>
      <c r="J6" s="8">
        <v>281898</v>
      </c>
      <c r="K6" s="9">
        <v>15635</v>
      </c>
      <c r="L6" s="9">
        <v>1311</v>
      </c>
      <c r="M6" s="24">
        <f t="shared" si="1"/>
        <v>298844</v>
      </c>
      <c r="N6" s="37">
        <v>4882</v>
      </c>
      <c r="O6" s="31">
        <f t="shared" si="0"/>
        <v>303726</v>
      </c>
    </row>
    <row r="7" spans="1:15" ht="14.25" thickBot="1" x14ac:dyDescent="0.3">
      <c r="A7" s="10" t="s">
        <v>7</v>
      </c>
      <c r="B7" s="11">
        <v>1</v>
      </c>
      <c r="C7" s="45">
        <v>301909</v>
      </c>
      <c r="D7" s="46">
        <v>288805</v>
      </c>
      <c r="E7" s="25">
        <v>275350</v>
      </c>
      <c r="F7" s="13">
        <v>8261</v>
      </c>
      <c r="G7" s="13"/>
      <c r="H7" s="12">
        <v>3412</v>
      </c>
      <c r="I7" s="12">
        <v>0</v>
      </c>
      <c r="J7" s="12">
        <v>287023</v>
      </c>
      <c r="K7" s="13"/>
      <c r="L7" s="13">
        <v>1334</v>
      </c>
      <c r="M7" s="25">
        <f t="shared" si="1"/>
        <v>288357</v>
      </c>
      <c r="N7" s="38">
        <v>10272</v>
      </c>
      <c r="O7" s="32">
        <f t="shared" si="0"/>
        <v>298629</v>
      </c>
    </row>
    <row r="8" spans="1:15" x14ac:dyDescent="0.25">
      <c r="A8" s="19" t="s">
        <v>8</v>
      </c>
      <c r="B8" s="20">
        <v>2</v>
      </c>
      <c r="C8" s="47">
        <v>485593</v>
      </c>
      <c r="D8" s="48">
        <v>463560</v>
      </c>
      <c r="E8" s="26">
        <v>441673</v>
      </c>
      <c r="F8" s="22">
        <v>13250</v>
      </c>
      <c r="G8" s="22"/>
      <c r="H8" s="21">
        <v>8178</v>
      </c>
      <c r="I8" s="21">
        <v>0</v>
      </c>
      <c r="J8" s="21">
        <v>463101</v>
      </c>
      <c r="K8" s="22"/>
      <c r="L8" s="22">
        <v>2140</v>
      </c>
      <c r="M8" s="26">
        <f t="shared" si="1"/>
        <v>465241</v>
      </c>
      <c r="N8" s="39">
        <v>12079</v>
      </c>
      <c r="O8" s="33">
        <f t="shared" si="0"/>
        <v>477320</v>
      </c>
    </row>
    <row r="9" spans="1:15" x14ac:dyDescent="0.25">
      <c r="A9" s="6" t="s">
        <v>9</v>
      </c>
      <c r="B9" s="7">
        <v>2</v>
      </c>
      <c r="C9" s="43">
        <v>524993</v>
      </c>
      <c r="D9" s="44">
        <v>514616</v>
      </c>
      <c r="E9" s="24">
        <v>489197</v>
      </c>
      <c r="F9" s="9">
        <v>14676</v>
      </c>
      <c r="G9" s="9"/>
      <c r="H9" s="8">
        <v>6459</v>
      </c>
      <c r="I9" s="8">
        <v>0</v>
      </c>
      <c r="J9" s="8">
        <v>510332</v>
      </c>
      <c r="K9" s="9"/>
      <c r="L9" s="9">
        <v>2370</v>
      </c>
      <c r="M9" s="24">
        <f t="shared" si="1"/>
        <v>512702</v>
      </c>
      <c r="N9" s="37">
        <v>8881</v>
      </c>
      <c r="O9" s="31">
        <f t="shared" si="0"/>
        <v>521583</v>
      </c>
    </row>
    <row r="10" spans="1:15" x14ac:dyDescent="0.25">
      <c r="A10" s="6" t="s">
        <v>10</v>
      </c>
      <c r="B10" s="7">
        <v>2</v>
      </c>
      <c r="C10" s="43">
        <v>546027</v>
      </c>
      <c r="D10" s="44">
        <v>521455</v>
      </c>
      <c r="E10" s="24">
        <v>448173</v>
      </c>
      <c r="F10" s="9">
        <v>13445</v>
      </c>
      <c r="G10" s="9"/>
      <c r="H10" s="8">
        <v>6810</v>
      </c>
      <c r="I10" s="8">
        <v>0</v>
      </c>
      <c r="J10" s="8">
        <v>468428</v>
      </c>
      <c r="K10" s="9"/>
      <c r="L10" s="9">
        <v>2171</v>
      </c>
      <c r="M10" s="24">
        <f t="shared" si="1"/>
        <v>470599</v>
      </c>
      <c r="N10" s="37">
        <v>20249</v>
      </c>
      <c r="O10" s="31">
        <f t="shared" si="0"/>
        <v>490848</v>
      </c>
    </row>
    <row r="11" spans="1:15" x14ac:dyDescent="0.25">
      <c r="A11" s="6" t="s">
        <v>11</v>
      </c>
      <c r="B11" s="7">
        <v>2</v>
      </c>
      <c r="C11" s="43">
        <v>538515</v>
      </c>
      <c r="D11" s="44">
        <v>526472</v>
      </c>
      <c r="E11" s="24">
        <v>432807</v>
      </c>
      <c r="F11" s="9">
        <v>12984</v>
      </c>
      <c r="G11" s="9"/>
      <c r="H11" s="8">
        <v>11031</v>
      </c>
      <c r="I11" s="8">
        <v>0</v>
      </c>
      <c r="J11" s="8">
        <v>456822</v>
      </c>
      <c r="K11" s="9">
        <v>40000</v>
      </c>
      <c r="L11" s="9">
        <v>2097</v>
      </c>
      <c r="M11" s="24">
        <f t="shared" si="1"/>
        <v>498919</v>
      </c>
      <c r="N11" s="37">
        <v>14689</v>
      </c>
      <c r="O11" s="31">
        <f t="shared" si="0"/>
        <v>513608</v>
      </c>
    </row>
    <row r="12" spans="1:15" x14ac:dyDescent="0.25">
      <c r="A12" s="6" t="s">
        <v>12</v>
      </c>
      <c r="B12" s="7">
        <v>2</v>
      </c>
      <c r="C12" s="43">
        <v>581299</v>
      </c>
      <c r="D12" s="44">
        <v>556257</v>
      </c>
      <c r="E12" s="24">
        <v>567484</v>
      </c>
      <c r="F12" s="9">
        <v>17025</v>
      </c>
      <c r="G12" s="9"/>
      <c r="H12" s="8">
        <v>10886</v>
      </c>
      <c r="I12" s="8">
        <v>-39138</v>
      </c>
      <c r="J12" s="8">
        <v>556257</v>
      </c>
      <c r="K12" s="9"/>
      <c r="L12" s="9">
        <v>2749</v>
      </c>
      <c r="M12" s="24">
        <f t="shared" si="1"/>
        <v>559006</v>
      </c>
      <c r="N12" s="37">
        <v>16766</v>
      </c>
      <c r="O12" s="31">
        <f t="shared" si="0"/>
        <v>575772</v>
      </c>
    </row>
    <row r="13" spans="1:15" x14ac:dyDescent="0.25">
      <c r="A13" s="6" t="s">
        <v>13</v>
      </c>
      <c r="B13" s="7">
        <v>2</v>
      </c>
      <c r="C13" s="43">
        <v>548573</v>
      </c>
      <c r="D13" s="44">
        <v>534333</v>
      </c>
      <c r="E13" s="24">
        <v>510301</v>
      </c>
      <c r="F13" s="9">
        <v>15309</v>
      </c>
      <c r="G13" s="9"/>
      <c r="H13" s="8">
        <v>9108</v>
      </c>
      <c r="I13" s="8">
        <v>-385</v>
      </c>
      <c r="J13" s="8">
        <v>534333</v>
      </c>
      <c r="K13" s="9"/>
      <c r="L13" s="9">
        <v>2472</v>
      </c>
      <c r="M13" s="24">
        <f t="shared" si="1"/>
        <v>536805</v>
      </c>
      <c r="N13" s="37">
        <v>12334</v>
      </c>
      <c r="O13" s="31">
        <f t="shared" si="0"/>
        <v>549139</v>
      </c>
    </row>
    <row r="14" spans="1:15" ht="14.25" thickBot="1" x14ac:dyDescent="0.3">
      <c r="A14" s="14" t="s">
        <v>14</v>
      </c>
      <c r="B14" s="15">
        <v>2</v>
      </c>
      <c r="C14" s="49">
        <v>472635</v>
      </c>
      <c r="D14" s="50">
        <v>461674</v>
      </c>
      <c r="E14" s="27">
        <v>412787</v>
      </c>
      <c r="F14" s="17">
        <v>12384</v>
      </c>
      <c r="G14" s="17"/>
      <c r="H14" s="16">
        <v>5419</v>
      </c>
      <c r="I14" s="16">
        <v>0</v>
      </c>
      <c r="J14" s="16">
        <v>430590</v>
      </c>
      <c r="K14" s="17">
        <v>34740</v>
      </c>
      <c r="L14" s="17">
        <v>2000</v>
      </c>
      <c r="M14" s="27">
        <f t="shared" si="1"/>
        <v>467330</v>
      </c>
      <c r="N14" s="40">
        <v>9976</v>
      </c>
      <c r="O14" s="34">
        <f t="shared" si="0"/>
        <v>477306</v>
      </c>
    </row>
    <row r="15" spans="1:15" x14ac:dyDescent="0.25">
      <c r="A15" s="2" t="s">
        <v>15</v>
      </c>
      <c r="B15" s="3">
        <v>3</v>
      </c>
      <c r="C15" s="41">
        <v>706526</v>
      </c>
      <c r="D15" s="42">
        <v>659033</v>
      </c>
      <c r="E15" s="23">
        <v>609318</v>
      </c>
      <c r="F15" s="5">
        <v>18280</v>
      </c>
      <c r="G15" s="5"/>
      <c r="H15" s="4">
        <v>14292</v>
      </c>
      <c r="I15" s="4">
        <v>0</v>
      </c>
      <c r="J15" s="4">
        <v>641890</v>
      </c>
      <c r="K15" s="5">
        <v>18187</v>
      </c>
      <c r="L15" s="5">
        <v>2952</v>
      </c>
      <c r="M15" s="23">
        <f t="shared" si="1"/>
        <v>663029</v>
      </c>
      <c r="N15" s="36">
        <v>26927</v>
      </c>
      <c r="O15" s="30">
        <f t="shared" si="0"/>
        <v>689956</v>
      </c>
    </row>
    <row r="16" spans="1:15" x14ac:dyDescent="0.25">
      <c r="A16" s="6" t="s">
        <v>16</v>
      </c>
      <c r="B16" s="7">
        <v>3</v>
      </c>
      <c r="C16" s="43">
        <v>700812</v>
      </c>
      <c r="D16" s="44">
        <v>677671</v>
      </c>
      <c r="E16" s="24">
        <v>643534</v>
      </c>
      <c r="F16" s="9">
        <v>19306</v>
      </c>
      <c r="G16" s="9"/>
      <c r="H16" s="8">
        <v>16306</v>
      </c>
      <c r="I16" s="8">
        <v>-1475</v>
      </c>
      <c r="J16" s="8">
        <v>677671</v>
      </c>
      <c r="K16" s="9"/>
      <c r="L16" s="9">
        <v>3118</v>
      </c>
      <c r="M16" s="24">
        <f t="shared" si="1"/>
        <v>680789</v>
      </c>
      <c r="N16" s="37">
        <v>29913</v>
      </c>
      <c r="O16" s="31">
        <f t="shared" si="0"/>
        <v>710702</v>
      </c>
    </row>
    <row r="17" spans="1:15" x14ac:dyDescent="0.25">
      <c r="A17" s="6" t="s">
        <v>17</v>
      </c>
      <c r="B17" s="7">
        <v>3</v>
      </c>
      <c r="C17" s="43">
        <v>810147</v>
      </c>
      <c r="D17" s="44">
        <v>759451</v>
      </c>
      <c r="E17" s="24">
        <v>727070</v>
      </c>
      <c r="F17" s="9">
        <v>21812</v>
      </c>
      <c r="G17" s="9"/>
      <c r="H17" s="8">
        <v>15702</v>
      </c>
      <c r="I17" s="8">
        <v>-5133</v>
      </c>
      <c r="J17" s="8">
        <v>759451</v>
      </c>
      <c r="K17" s="9"/>
      <c r="L17" s="9">
        <v>3522</v>
      </c>
      <c r="M17" s="24">
        <f t="shared" si="1"/>
        <v>762973</v>
      </c>
      <c r="N17" s="37">
        <v>29364</v>
      </c>
      <c r="O17" s="31">
        <f t="shared" si="0"/>
        <v>792337</v>
      </c>
    </row>
    <row r="18" spans="1:15" x14ac:dyDescent="0.25">
      <c r="A18" s="6" t="s">
        <v>18</v>
      </c>
      <c r="B18" s="7">
        <v>3</v>
      </c>
      <c r="C18" s="43">
        <v>907451</v>
      </c>
      <c r="D18" s="44">
        <v>866581</v>
      </c>
      <c r="E18" s="24">
        <v>770566</v>
      </c>
      <c r="F18" s="9">
        <v>23117</v>
      </c>
      <c r="G18" s="9"/>
      <c r="H18" s="8">
        <v>14336</v>
      </c>
      <c r="I18" s="8">
        <v>0</v>
      </c>
      <c r="J18" s="8">
        <v>808019</v>
      </c>
      <c r="K18" s="9">
        <v>51500</v>
      </c>
      <c r="L18" s="9">
        <v>3733</v>
      </c>
      <c r="M18" s="24">
        <f t="shared" si="1"/>
        <v>863252</v>
      </c>
      <c r="N18" s="37">
        <v>31561</v>
      </c>
      <c r="O18" s="31">
        <f t="shared" si="0"/>
        <v>894813</v>
      </c>
    </row>
    <row r="19" spans="1:15" x14ac:dyDescent="0.25">
      <c r="A19" s="6" t="s">
        <v>19</v>
      </c>
      <c r="B19" s="7">
        <v>3</v>
      </c>
      <c r="C19" s="43">
        <v>588000</v>
      </c>
      <c r="D19" s="44">
        <v>576579</v>
      </c>
      <c r="E19" s="24">
        <v>496913</v>
      </c>
      <c r="F19" s="9">
        <v>14907</v>
      </c>
      <c r="G19" s="9"/>
      <c r="H19" s="8">
        <v>12085</v>
      </c>
      <c r="I19" s="8">
        <v>0</v>
      </c>
      <c r="J19" s="8">
        <v>523905</v>
      </c>
      <c r="K19" s="9"/>
      <c r="L19" s="9">
        <v>2407</v>
      </c>
      <c r="M19" s="24">
        <f t="shared" si="1"/>
        <v>526312</v>
      </c>
      <c r="N19" s="37">
        <v>11748</v>
      </c>
      <c r="O19" s="31">
        <f t="shared" si="0"/>
        <v>538060</v>
      </c>
    </row>
    <row r="20" spans="1:15" x14ac:dyDescent="0.25">
      <c r="A20" s="6" t="s">
        <v>20</v>
      </c>
      <c r="B20" s="7">
        <v>3</v>
      </c>
      <c r="C20" s="43">
        <v>736096</v>
      </c>
      <c r="D20" s="44">
        <v>697762</v>
      </c>
      <c r="E20" s="24">
        <v>610086</v>
      </c>
      <c r="F20" s="9">
        <v>18303</v>
      </c>
      <c r="G20" s="9"/>
      <c r="H20" s="8">
        <v>12830</v>
      </c>
      <c r="I20" s="8">
        <v>0</v>
      </c>
      <c r="J20" s="8">
        <v>641219</v>
      </c>
      <c r="K20" s="9"/>
      <c r="L20" s="9">
        <v>2956</v>
      </c>
      <c r="M20" s="24">
        <f t="shared" si="1"/>
        <v>644175</v>
      </c>
      <c r="N20" s="37">
        <v>34229</v>
      </c>
      <c r="O20" s="31">
        <f t="shared" si="0"/>
        <v>678404</v>
      </c>
    </row>
    <row r="21" spans="1:15" ht="14.25" thickBot="1" x14ac:dyDescent="0.3">
      <c r="A21" s="10" t="s">
        <v>21</v>
      </c>
      <c r="B21" s="11">
        <v>3</v>
      </c>
      <c r="C21" s="45">
        <v>792571</v>
      </c>
      <c r="D21" s="46">
        <v>749966</v>
      </c>
      <c r="E21" s="25">
        <v>545900</v>
      </c>
      <c r="F21" s="13">
        <v>16377</v>
      </c>
      <c r="G21" s="13"/>
      <c r="H21" s="12">
        <v>11755</v>
      </c>
      <c r="I21" s="12">
        <v>0</v>
      </c>
      <c r="J21" s="12">
        <v>574032</v>
      </c>
      <c r="K21" s="13">
        <v>177972</v>
      </c>
      <c r="L21" s="13">
        <v>2645</v>
      </c>
      <c r="M21" s="25">
        <f t="shared" si="1"/>
        <v>754649</v>
      </c>
      <c r="N21" s="38">
        <v>39877</v>
      </c>
      <c r="O21" s="32">
        <f t="shared" si="0"/>
        <v>794526</v>
      </c>
    </row>
    <row r="22" spans="1:15" x14ac:dyDescent="0.25">
      <c r="A22" s="19" t="s">
        <v>22</v>
      </c>
      <c r="B22" s="20">
        <v>4</v>
      </c>
      <c r="C22" s="47">
        <v>1444466</v>
      </c>
      <c r="D22" s="48">
        <v>1381960</v>
      </c>
      <c r="E22" s="26">
        <v>1059586</v>
      </c>
      <c r="F22" s="22">
        <v>31788</v>
      </c>
      <c r="G22" s="22"/>
      <c r="H22" s="21">
        <v>21301</v>
      </c>
      <c r="I22" s="21">
        <v>0</v>
      </c>
      <c r="J22" s="21">
        <v>1112675</v>
      </c>
      <c r="K22" s="22">
        <v>126123</v>
      </c>
      <c r="L22" s="22">
        <v>5134</v>
      </c>
      <c r="M22" s="26">
        <f t="shared" si="1"/>
        <v>1243932</v>
      </c>
      <c r="N22" s="39">
        <v>55483</v>
      </c>
      <c r="O22" s="33">
        <f t="shared" si="0"/>
        <v>1299415</v>
      </c>
    </row>
    <row r="23" spans="1:15" x14ac:dyDescent="0.25">
      <c r="A23" s="6" t="s">
        <v>23</v>
      </c>
      <c r="B23" s="7">
        <v>4</v>
      </c>
      <c r="C23" s="43">
        <v>1272177</v>
      </c>
      <c r="D23" s="44">
        <v>1213177</v>
      </c>
      <c r="E23" s="24">
        <v>987157</v>
      </c>
      <c r="F23" s="9">
        <v>29615</v>
      </c>
      <c r="G23" s="9"/>
      <c r="H23" s="8">
        <v>21182</v>
      </c>
      <c r="I23" s="8">
        <v>0</v>
      </c>
      <c r="J23" s="8">
        <v>1037954</v>
      </c>
      <c r="K23" s="9">
        <v>154436</v>
      </c>
      <c r="L23" s="9">
        <v>4783</v>
      </c>
      <c r="M23" s="24">
        <f t="shared" si="1"/>
        <v>1197173</v>
      </c>
      <c r="N23" s="37">
        <v>54383</v>
      </c>
      <c r="O23" s="31">
        <f t="shared" si="0"/>
        <v>1251556</v>
      </c>
    </row>
    <row r="24" spans="1:15" x14ac:dyDescent="0.25">
      <c r="A24" s="6" t="s">
        <v>24</v>
      </c>
      <c r="B24" s="7">
        <v>4</v>
      </c>
      <c r="C24" s="43">
        <v>1087299</v>
      </c>
      <c r="D24" s="44">
        <f>1042693+8868</f>
        <v>1051561</v>
      </c>
      <c r="E24" s="24">
        <v>995231</v>
      </c>
      <c r="F24" s="9">
        <v>29857</v>
      </c>
      <c r="G24" s="9"/>
      <c r="H24" s="8">
        <v>22411</v>
      </c>
      <c r="I24" s="8">
        <v>0</v>
      </c>
      <c r="J24" s="8">
        <v>1047499</v>
      </c>
      <c r="K24" s="9"/>
      <c r="L24" s="9">
        <v>4822</v>
      </c>
      <c r="M24" s="24">
        <f t="shared" si="1"/>
        <v>1052321</v>
      </c>
      <c r="N24" s="37">
        <v>25891</v>
      </c>
      <c r="O24" s="31">
        <f t="shared" si="0"/>
        <v>1078212</v>
      </c>
    </row>
    <row r="25" spans="1:15" x14ac:dyDescent="0.25">
      <c r="A25" s="6" t="s">
        <v>25</v>
      </c>
      <c r="B25" s="7">
        <v>4</v>
      </c>
      <c r="C25" s="43">
        <v>1090596</v>
      </c>
      <c r="D25" s="44">
        <v>1019602</v>
      </c>
      <c r="E25" s="24">
        <v>870756</v>
      </c>
      <c r="F25" s="9">
        <v>26123</v>
      </c>
      <c r="G25" s="9"/>
      <c r="H25" s="8">
        <v>25219</v>
      </c>
      <c r="I25" s="8">
        <v>0</v>
      </c>
      <c r="J25" s="8">
        <v>922098</v>
      </c>
      <c r="K25" s="9">
        <v>104537</v>
      </c>
      <c r="L25" s="9">
        <v>4219</v>
      </c>
      <c r="M25" s="24">
        <f t="shared" si="1"/>
        <v>1030854</v>
      </c>
      <c r="N25" s="37">
        <v>66273</v>
      </c>
      <c r="O25" s="31">
        <f t="shared" si="0"/>
        <v>1097127</v>
      </c>
    </row>
    <row r="26" spans="1:15" x14ac:dyDescent="0.25">
      <c r="A26" s="6" t="s">
        <v>26</v>
      </c>
      <c r="B26" s="7">
        <v>4</v>
      </c>
      <c r="C26" s="43">
        <v>1340611</v>
      </c>
      <c r="D26" s="44">
        <v>1259850</v>
      </c>
      <c r="E26" s="24">
        <v>1187722</v>
      </c>
      <c r="F26" s="9">
        <v>35632</v>
      </c>
      <c r="G26" s="9"/>
      <c r="H26" s="8">
        <v>21897</v>
      </c>
      <c r="I26" s="8">
        <v>0</v>
      </c>
      <c r="J26" s="8">
        <v>1245251</v>
      </c>
      <c r="K26" s="9"/>
      <c r="L26" s="9">
        <v>5754</v>
      </c>
      <c r="M26" s="24">
        <f t="shared" si="1"/>
        <v>1251005</v>
      </c>
      <c r="N26" s="37">
        <v>75389</v>
      </c>
      <c r="O26" s="31">
        <f t="shared" si="0"/>
        <v>1326394</v>
      </c>
    </row>
    <row r="27" spans="1:15" ht="14.25" thickBot="1" x14ac:dyDescent="0.3">
      <c r="A27" s="14" t="s">
        <v>27</v>
      </c>
      <c r="B27" s="15">
        <v>4</v>
      </c>
      <c r="C27" s="49">
        <v>1138306</v>
      </c>
      <c r="D27" s="50">
        <v>1105488</v>
      </c>
      <c r="E27" s="27">
        <v>994218</v>
      </c>
      <c r="F27" s="17">
        <v>29827</v>
      </c>
      <c r="G27" s="17"/>
      <c r="H27" s="16">
        <v>20428</v>
      </c>
      <c r="I27" s="16">
        <v>0</v>
      </c>
      <c r="J27" s="16">
        <v>1044473</v>
      </c>
      <c r="K27" s="17">
        <v>48891</v>
      </c>
      <c r="L27" s="17">
        <v>4817</v>
      </c>
      <c r="M27" s="27">
        <f t="shared" si="1"/>
        <v>1098181</v>
      </c>
      <c r="N27" s="40">
        <v>25886</v>
      </c>
      <c r="O27" s="34">
        <f t="shared" si="0"/>
        <v>1124067</v>
      </c>
    </row>
    <row r="28" spans="1:15" x14ac:dyDescent="0.25">
      <c r="A28" s="2" t="s">
        <v>28</v>
      </c>
      <c r="B28" s="3">
        <v>5</v>
      </c>
      <c r="C28" s="41">
        <v>1520459</v>
      </c>
      <c r="D28" s="42">
        <v>1464661</v>
      </c>
      <c r="E28" s="23">
        <v>1408086</v>
      </c>
      <c r="F28" s="5">
        <v>42243</v>
      </c>
      <c r="G28" s="5"/>
      <c r="H28" s="4">
        <v>35857</v>
      </c>
      <c r="I28" s="4">
        <v>-21525</v>
      </c>
      <c r="J28" s="4">
        <v>1464661</v>
      </c>
      <c r="K28" s="5">
        <v>38530</v>
      </c>
      <c r="L28" s="5">
        <v>6822</v>
      </c>
      <c r="M28" s="23">
        <f t="shared" si="1"/>
        <v>1510013</v>
      </c>
      <c r="N28" s="36">
        <v>56184</v>
      </c>
      <c r="O28" s="30">
        <f t="shared" si="0"/>
        <v>1566197</v>
      </c>
    </row>
    <row r="29" spans="1:15" x14ac:dyDescent="0.25">
      <c r="A29" s="6" t="s">
        <v>29</v>
      </c>
      <c r="B29" s="7">
        <v>5</v>
      </c>
      <c r="C29" s="43">
        <v>1935604</v>
      </c>
      <c r="D29" s="44">
        <v>1831533</v>
      </c>
      <c r="E29" s="24">
        <v>1686635</v>
      </c>
      <c r="F29" s="9">
        <v>50599</v>
      </c>
      <c r="G29" s="9"/>
      <c r="H29" s="8">
        <v>44432</v>
      </c>
      <c r="I29" s="8">
        <v>0</v>
      </c>
      <c r="J29" s="8">
        <v>1781666</v>
      </c>
      <c r="K29" s="9">
        <v>82394</v>
      </c>
      <c r="L29" s="9">
        <v>8171</v>
      </c>
      <c r="M29" s="24">
        <f t="shared" si="1"/>
        <v>1872231</v>
      </c>
      <c r="N29" s="37">
        <v>89064</v>
      </c>
      <c r="O29" s="31">
        <f t="shared" si="0"/>
        <v>1961295</v>
      </c>
    </row>
    <row r="30" spans="1:15" x14ac:dyDescent="0.25">
      <c r="A30" s="6" t="s">
        <v>30</v>
      </c>
      <c r="B30" s="7">
        <v>5</v>
      </c>
      <c r="C30" s="43">
        <v>1619240</v>
      </c>
      <c r="D30" s="44">
        <v>1540859</v>
      </c>
      <c r="E30" s="24">
        <v>1430675</v>
      </c>
      <c r="F30" s="9">
        <v>42920</v>
      </c>
      <c r="G30" s="9"/>
      <c r="H30" s="8">
        <v>38141</v>
      </c>
      <c r="I30" s="8">
        <v>0</v>
      </c>
      <c r="J30" s="8">
        <v>1511736</v>
      </c>
      <c r="K30" s="9">
        <v>44162</v>
      </c>
      <c r="L30" s="9">
        <v>6931</v>
      </c>
      <c r="M30" s="24">
        <f t="shared" si="1"/>
        <v>1562829</v>
      </c>
      <c r="N30" s="37">
        <v>68428</v>
      </c>
      <c r="O30" s="31">
        <f t="shared" si="0"/>
        <v>1631257</v>
      </c>
    </row>
    <row r="31" spans="1:15" x14ac:dyDescent="0.25">
      <c r="A31" s="6" t="s">
        <v>31</v>
      </c>
      <c r="B31" s="7">
        <v>5</v>
      </c>
      <c r="C31" s="43">
        <v>2105781</v>
      </c>
      <c r="D31" s="44">
        <v>1980711</v>
      </c>
      <c r="E31" s="24">
        <v>1737655</v>
      </c>
      <c r="F31" s="9">
        <v>52130</v>
      </c>
      <c r="G31" s="9"/>
      <c r="H31" s="8">
        <v>45075</v>
      </c>
      <c r="I31" s="8">
        <v>0</v>
      </c>
      <c r="J31" s="8">
        <v>1834860</v>
      </c>
      <c r="K31" s="9">
        <v>150000</v>
      </c>
      <c r="L31" s="9">
        <v>8419</v>
      </c>
      <c r="M31" s="24">
        <f t="shared" si="1"/>
        <v>1993279</v>
      </c>
      <c r="N31" s="37">
        <v>102391</v>
      </c>
      <c r="O31" s="31">
        <f t="shared" si="0"/>
        <v>2095670</v>
      </c>
    </row>
    <row r="32" spans="1:15" ht="14.25" thickBot="1" x14ac:dyDescent="0.3">
      <c r="A32" s="14" t="s">
        <v>32</v>
      </c>
      <c r="B32" s="15">
        <v>5</v>
      </c>
      <c r="C32" s="49">
        <v>1932638</v>
      </c>
      <c r="D32" s="50">
        <v>1861964</v>
      </c>
      <c r="E32" s="27">
        <v>1512483</v>
      </c>
      <c r="F32" s="17">
        <v>45374</v>
      </c>
      <c r="G32" s="17"/>
      <c r="H32" s="16">
        <v>37165</v>
      </c>
      <c r="I32" s="16">
        <v>0</v>
      </c>
      <c r="J32" s="16">
        <v>1595022</v>
      </c>
      <c r="K32" s="17">
        <v>30198</v>
      </c>
      <c r="L32" s="17">
        <v>7328</v>
      </c>
      <c r="M32" s="27">
        <f t="shared" si="1"/>
        <v>1632548</v>
      </c>
      <c r="N32" s="40">
        <v>58394</v>
      </c>
      <c r="O32" s="34">
        <f t="shared" si="0"/>
        <v>1690942</v>
      </c>
    </row>
    <row r="33" spans="1:15" x14ac:dyDescent="0.25">
      <c r="A33" s="2" t="s">
        <v>33</v>
      </c>
      <c r="B33" s="3">
        <v>6</v>
      </c>
      <c r="C33" s="41">
        <v>2980243</v>
      </c>
      <c r="D33" s="42">
        <v>2896048</v>
      </c>
      <c r="E33" s="23">
        <v>2191658</v>
      </c>
      <c r="F33" s="5">
        <v>65750</v>
      </c>
      <c r="G33" s="5">
        <v>51007</v>
      </c>
      <c r="H33" s="4">
        <v>56402</v>
      </c>
      <c r="I33" s="4">
        <v>0</v>
      </c>
      <c r="J33" s="4">
        <v>2364817</v>
      </c>
      <c r="K33" s="5">
        <v>602336</v>
      </c>
      <c r="L33" s="5">
        <v>10618</v>
      </c>
      <c r="M33" s="23">
        <f t="shared" si="1"/>
        <v>2977771</v>
      </c>
      <c r="N33" s="36">
        <v>72561</v>
      </c>
      <c r="O33" s="30">
        <f t="shared" si="0"/>
        <v>3050332</v>
      </c>
    </row>
    <row r="34" spans="1:15" x14ac:dyDescent="0.25">
      <c r="A34" s="6" t="s">
        <v>34</v>
      </c>
      <c r="B34" s="7">
        <v>6</v>
      </c>
      <c r="C34" s="43">
        <v>1876163.9999999998</v>
      </c>
      <c r="D34" s="44">
        <v>1811277</v>
      </c>
      <c r="E34" s="24">
        <v>1595211</v>
      </c>
      <c r="F34" s="9">
        <v>47856.33</v>
      </c>
      <c r="G34" s="9">
        <v>63804</v>
      </c>
      <c r="H34" s="8">
        <v>48929</v>
      </c>
      <c r="I34" s="8">
        <v>0</v>
      </c>
      <c r="J34" s="8">
        <v>1755800</v>
      </c>
      <c r="K34" s="9">
        <v>59903</v>
      </c>
      <c r="L34" s="9">
        <v>7728</v>
      </c>
      <c r="M34" s="24">
        <f t="shared" si="1"/>
        <v>1823431</v>
      </c>
      <c r="N34" s="37">
        <v>62515</v>
      </c>
      <c r="O34" s="31">
        <f t="shared" ref="O34:O65" si="2">N34+L34+K34+J34</f>
        <v>1885946</v>
      </c>
    </row>
    <row r="35" spans="1:15" x14ac:dyDescent="0.25">
      <c r="A35" s="6" t="s">
        <v>35</v>
      </c>
      <c r="B35" s="7">
        <v>6</v>
      </c>
      <c r="C35" s="43">
        <v>3171193</v>
      </c>
      <c r="D35" s="44">
        <v>3002142</v>
      </c>
      <c r="E35" s="24">
        <v>2839503</v>
      </c>
      <c r="F35" s="9">
        <v>85185</v>
      </c>
      <c r="G35" s="9"/>
      <c r="H35" s="8">
        <v>60620</v>
      </c>
      <c r="I35" s="8">
        <v>0</v>
      </c>
      <c r="J35" s="8">
        <v>2985308</v>
      </c>
      <c r="K35" s="9">
        <v>16900</v>
      </c>
      <c r="L35" s="9">
        <v>13757</v>
      </c>
      <c r="M35" s="24">
        <f t="shared" si="1"/>
        <v>3015965</v>
      </c>
      <c r="N35" s="37">
        <v>165690</v>
      </c>
      <c r="O35" s="31">
        <f t="shared" si="2"/>
        <v>3181655</v>
      </c>
    </row>
    <row r="36" spans="1:15" x14ac:dyDescent="0.25">
      <c r="A36" s="6" t="s">
        <v>36</v>
      </c>
      <c r="B36" s="7">
        <v>6</v>
      </c>
      <c r="C36" s="43">
        <v>3857218</v>
      </c>
      <c r="D36" s="44">
        <v>3701399</v>
      </c>
      <c r="E36" s="24">
        <v>3196230</v>
      </c>
      <c r="F36" s="9">
        <v>95887</v>
      </c>
      <c r="G36" s="9"/>
      <c r="H36" s="8">
        <v>66277</v>
      </c>
      <c r="I36" s="8">
        <v>0</v>
      </c>
      <c r="J36" s="8">
        <v>3358394</v>
      </c>
      <c r="K36" s="9">
        <v>227640</v>
      </c>
      <c r="L36" s="9">
        <v>15485</v>
      </c>
      <c r="M36" s="24">
        <f t="shared" si="1"/>
        <v>3601519</v>
      </c>
      <c r="N36" s="37">
        <v>144910</v>
      </c>
      <c r="O36" s="31">
        <f t="shared" si="2"/>
        <v>3746429</v>
      </c>
    </row>
    <row r="37" spans="1:15" x14ac:dyDescent="0.25">
      <c r="A37" s="6" t="s">
        <v>37</v>
      </c>
      <c r="B37" s="7">
        <v>6</v>
      </c>
      <c r="C37" s="43">
        <v>3650562</v>
      </c>
      <c r="D37" s="44">
        <v>3458263</v>
      </c>
      <c r="E37" s="24">
        <v>3282275</v>
      </c>
      <c r="F37" s="9">
        <v>98468</v>
      </c>
      <c r="G37" s="9"/>
      <c r="H37" s="8">
        <v>59205</v>
      </c>
      <c r="I37" s="8">
        <v>0</v>
      </c>
      <c r="J37" s="8">
        <v>3439948</v>
      </c>
      <c r="K37" s="9">
        <v>225154</v>
      </c>
      <c r="L37" s="9">
        <v>15902</v>
      </c>
      <c r="M37" s="24">
        <f t="shared" si="1"/>
        <v>3681004</v>
      </c>
      <c r="N37" s="37">
        <v>134323</v>
      </c>
      <c r="O37" s="31">
        <f t="shared" si="2"/>
        <v>3815327</v>
      </c>
    </row>
    <row r="38" spans="1:15" ht="14.25" thickBot="1" x14ac:dyDescent="0.3">
      <c r="A38" s="10" t="s">
        <v>38</v>
      </c>
      <c r="B38" s="11">
        <v>6</v>
      </c>
      <c r="C38" s="45">
        <v>2291906</v>
      </c>
      <c r="D38" s="46">
        <v>2211906</v>
      </c>
      <c r="E38" s="25">
        <v>1647397</v>
      </c>
      <c r="F38" s="13">
        <v>49422</v>
      </c>
      <c r="G38" s="13"/>
      <c r="H38" s="12">
        <v>38147</v>
      </c>
      <c r="I38" s="12">
        <v>0</v>
      </c>
      <c r="J38" s="12">
        <v>1734966</v>
      </c>
      <c r="K38" s="13">
        <v>121688</v>
      </c>
      <c r="L38" s="13">
        <v>7981</v>
      </c>
      <c r="M38" s="25">
        <f t="shared" si="1"/>
        <v>1864635</v>
      </c>
      <c r="N38" s="38">
        <v>75897</v>
      </c>
      <c r="O38" s="32">
        <f t="shared" si="2"/>
        <v>1940532</v>
      </c>
    </row>
    <row r="39" spans="1:15" x14ac:dyDescent="0.25">
      <c r="A39" s="19" t="s">
        <v>39</v>
      </c>
      <c r="B39" s="20">
        <v>7</v>
      </c>
      <c r="C39" s="47">
        <v>3940375</v>
      </c>
      <c r="D39" s="48">
        <v>3718334</v>
      </c>
      <c r="E39" s="26">
        <v>3390963</v>
      </c>
      <c r="F39" s="22">
        <v>101729</v>
      </c>
      <c r="G39" s="22"/>
      <c r="H39" s="21">
        <v>154188</v>
      </c>
      <c r="I39" s="21">
        <v>0</v>
      </c>
      <c r="J39" s="21">
        <v>3646880</v>
      </c>
      <c r="K39" s="22"/>
      <c r="L39" s="22">
        <v>16428</v>
      </c>
      <c r="M39" s="26">
        <f t="shared" si="1"/>
        <v>3663308</v>
      </c>
      <c r="N39" s="39">
        <v>162224</v>
      </c>
      <c r="O39" s="33">
        <f t="shared" si="2"/>
        <v>3825532</v>
      </c>
    </row>
    <row r="40" spans="1:15" x14ac:dyDescent="0.25">
      <c r="A40" s="6" t="s">
        <v>40</v>
      </c>
      <c r="B40" s="7">
        <v>7</v>
      </c>
      <c r="C40" s="43">
        <v>3550119</v>
      </c>
      <c r="D40" s="44">
        <v>3388658</v>
      </c>
      <c r="E40" s="24">
        <v>3284698</v>
      </c>
      <c r="F40" s="9">
        <v>98541</v>
      </c>
      <c r="G40" s="9"/>
      <c r="H40" s="8">
        <v>97868</v>
      </c>
      <c r="I40" s="8">
        <v>-92449</v>
      </c>
      <c r="J40" s="8">
        <v>3388658</v>
      </c>
      <c r="K40" s="9">
        <v>160395</v>
      </c>
      <c r="L40" s="9">
        <v>15914</v>
      </c>
      <c r="M40" s="24">
        <f t="shared" si="1"/>
        <v>3564967</v>
      </c>
      <c r="N40" s="37">
        <v>146699</v>
      </c>
      <c r="O40" s="31">
        <f t="shared" si="2"/>
        <v>3711666</v>
      </c>
    </row>
    <row r="41" spans="1:15" x14ac:dyDescent="0.25">
      <c r="A41" s="6" t="s">
        <v>41</v>
      </c>
      <c r="B41" s="7">
        <v>7</v>
      </c>
      <c r="C41" s="43">
        <v>3807049</v>
      </c>
      <c r="D41" s="44">
        <v>3746836</v>
      </c>
      <c r="E41" s="24">
        <v>3171152</v>
      </c>
      <c r="F41" s="9">
        <v>95135</v>
      </c>
      <c r="G41" s="9"/>
      <c r="H41" s="8">
        <v>73662</v>
      </c>
      <c r="I41" s="8">
        <v>0</v>
      </c>
      <c r="J41" s="8">
        <v>3339949</v>
      </c>
      <c r="K41" s="9">
        <v>320284</v>
      </c>
      <c r="L41" s="9">
        <v>15364</v>
      </c>
      <c r="M41" s="24">
        <f t="shared" si="1"/>
        <v>3675597</v>
      </c>
      <c r="N41" s="37">
        <v>61388</v>
      </c>
      <c r="O41" s="31">
        <f t="shared" si="2"/>
        <v>3736985</v>
      </c>
    </row>
    <row r="42" spans="1:15" x14ac:dyDescent="0.25">
      <c r="A42" s="6" t="s">
        <v>42</v>
      </c>
      <c r="B42" s="7">
        <v>7</v>
      </c>
      <c r="C42" s="43">
        <v>3857923</v>
      </c>
      <c r="D42" s="44">
        <v>3681807</v>
      </c>
      <c r="E42" s="24">
        <v>3209853</v>
      </c>
      <c r="F42" s="9">
        <v>96296</v>
      </c>
      <c r="G42" s="9"/>
      <c r="H42" s="8">
        <v>93736</v>
      </c>
      <c r="I42" s="8">
        <v>0</v>
      </c>
      <c r="J42" s="8">
        <v>3399885</v>
      </c>
      <c r="K42" s="9"/>
      <c r="L42" s="9">
        <v>15551</v>
      </c>
      <c r="M42" s="24">
        <f t="shared" si="1"/>
        <v>3415436</v>
      </c>
      <c r="N42" s="37">
        <v>152904</v>
      </c>
      <c r="O42" s="31">
        <f t="shared" si="2"/>
        <v>3568340</v>
      </c>
    </row>
    <row r="43" spans="1:15" x14ac:dyDescent="0.25">
      <c r="A43" s="6" t="s">
        <v>43</v>
      </c>
      <c r="B43" s="7">
        <v>7</v>
      </c>
      <c r="C43" s="43">
        <v>3716764</v>
      </c>
      <c r="D43" s="44">
        <v>3593452</v>
      </c>
      <c r="E43" s="24">
        <v>3402079</v>
      </c>
      <c r="F43" s="9">
        <v>102062</v>
      </c>
      <c r="G43" s="9"/>
      <c r="H43" s="8">
        <v>111272</v>
      </c>
      <c r="I43" s="8">
        <v>-21961</v>
      </c>
      <c r="J43" s="8">
        <v>3593452</v>
      </c>
      <c r="K43" s="9">
        <v>74853</v>
      </c>
      <c r="L43" s="9">
        <v>16482</v>
      </c>
      <c r="M43" s="24">
        <f t="shared" si="1"/>
        <v>3684787</v>
      </c>
      <c r="N43" s="37">
        <v>95229</v>
      </c>
      <c r="O43" s="31">
        <f t="shared" si="2"/>
        <v>3780016</v>
      </c>
    </row>
    <row r="44" spans="1:15" x14ac:dyDescent="0.25">
      <c r="A44" s="6" t="s">
        <v>44</v>
      </c>
      <c r="B44" s="7">
        <v>7</v>
      </c>
      <c r="C44" s="43">
        <v>3638954</v>
      </c>
      <c r="D44" s="44">
        <v>3549454</v>
      </c>
      <c r="E44" s="24">
        <v>3404737</v>
      </c>
      <c r="F44" s="9">
        <v>102142</v>
      </c>
      <c r="G44" s="9"/>
      <c r="H44" s="8">
        <v>82737</v>
      </c>
      <c r="I44" s="8">
        <v>-40162</v>
      </c>
      <c r="J44" s="8">
        <v>3549454</v>
      </c>
      <c r="K44" s="9"/>
      <c r="L44" s="9">
        <v>16495</v>
      </c>
      <c r="M44" s="24">
        <f t="shared" si="1"/>
        <v>3565949</v>
      </c>
      <c r="N44" s="37">
        <v>78068</v>
      </c>
      <c r="O44" s="31">
        <f t="shared" si="2"/>
        <v>3644017</v>
      </c>
    </row>
    <row r="45" spans="1:15" ht="14.25" thickBot="1" x14ac:dyDescent="0.3">
      <c r="A45" s="14" t="s">
        <v>45</v>
      </c>
      <c r="B45" s="15">
        <v>7</v>
      </c>
      <c r="C45" s="49">
        <v>4368391</v>
      </c>
      <c r="D45" s="50">
        <v>4240532</v>
      </c>
      <c r="E45" s="27">
        <v>2830132</v>
      </c>
      <c r="F45" s="17">
        <v>84904</v>
      </c>
      <c r="G45" s="17"/>
      <c r="H45" s="16">
        <v>71466</v>
      </c>
      <c r="I45" s="16">
        <v>0</v>
      </c>
      <c r="J45" s="16">
        <v>2986502</v>
      </c>
      <c r="K45" s="17">
        <v>167615</v>
      </c>
      <c r="L45" s="17">
        <v>13711</v>
      </c>
      <c r="M45" s="27">
        <f t="shared" si="1"/>
        <v>3167828</v>
      </c>
      <c r="N45" s="40">
        <v>163857</v>
      </c>
      <c r="O45" s="34">
        <f t="shared" si="2"/>
        <v>3331685</v>
      </c>
    </row>
    <row r="46" spans="1:15" x14ac:dyDescent="0.25">
      <c r="A46" s="2" t="s">
        <v>46</v>
      </c>
      <c r="B46" s="3">
        <v>8</v>
      </c>
      <c r="C46" s="41">
        <v>5996309</v>
      </c>
      <c r="D46" s="42">
        <v>5816309</v>
      </c>
      <c r="E46" s="23">
        <v>5634478</v>
      </c>
      <c r="F46" s="5">
        <v>169034</v>
      </c>
      <c r="G46" s="5"/>
      <c r="H46" s="4">
        <v>116034</v>
      </c>
      <c r="I46" s="4">
        <v>-103237</v>
      </c>
      <c r="J46" s="4">
        <v>5816309</v>
      </c>
      <c r="K46" s="5">
        <v>257400</v>
      </c>
      <c r="L46" s="5">
        <v>27298</v>
      </c>
      <c r="M46" s="23">
        <f t="shared" si="1"/>
        <v>6101007</v>
      </c>
      <c r="N46" s="36">
        <v>188518</v>
      </c>
      <c r="O46" s="30">
        <f t="shared" si="2"/>
        <v>6289525</v>
      </c>
    </row>
    <row r="47" spans="1:15" x14ac:dyDescent="0.25">
      <c r="A47" s="6" t="s">
        <v>47</v>
      </c>
      <c r="B47" s="7">
        <v>8</v>
      </c>
      <c r="C47" s="43">
        <v>6882313</v>
      </c>
      <c r="D47" s="44">
        <v>6608992</v>
      </c>
      <c r="E47" s="24">
        <v>5407078</v>
      </c>
      <c r="F47" s="9">
        <v>162212</v>
      </c>
      <c r="G47" s="9"/>
      <c r="H47" s="8">
        <v>134393</v>
      </c>
      <c r="I47" s="8">
        <v>0</v>
      </c>
      <c r="J47" s="8">
        <v>5703683</v>
      </c>
      <c r="K47" s="9">
        <v>450285</v>
      </c>
      <c r="L47" s="9">
        <v>26196</v>
      </c>
      <c r="M47" s="24">
        <f t="shared" si="1"/>
        <v>6180164</v>
      </c>
      <c r="N47" s="37">
        <v>213781</v>
      </c>
      <c r="O47" s="31">
        <f t="shared" si="2"/>
        <v>6393945</v>
      </c>
    </row>
    <row r="48" spans="1:15" x14ac:dyDescent="0.25">
      <c r="A48" s="6" t="s">
        <v>48</v>
      </c>
      <c r="B48" s="7">
        <v>8</v>
      </c>
      <c r="C48" s="43">
        <v>6246089</v>
      </c>
      <c r="D48" s="44">
        <f>5771512+220568</f>
        <v>5992080</v>
      </c>
      <c r="E48" s="24">
        <v>5472079</v>
      </c>
      <c r="F48" s="9">
        <v>164162</v>
      </c>
      <c r="G48" s="9"/>
      <c r="H48" s="8">
        <v>149551</v>
      </c>
      <c r="I48" s="8">
        <v>0</v>
      </c>
      <c r="J48" s="8">
        <v>5785792</v>
      </c>
      <c r="K48" s="9">
        <v>114682</v>
      </c>
      <c r="L48" s="9">
        <v>26511</v>
      </c>
      <c r="M48" s="24">
        <f t="shared" si="1"/>
        <v>5926985</v>
      </c>
      <c r="N48" s="37">
        <v>256531</v>
      </c>
      <c r="O48" s="31">
        <f t="shared" si="2"/>
        <v>6183516</v>
      </c>
    </row>
    <row r="49" spans="1:15" ht="14.25" thickBot="1" x14ac:dyDescent="0.3">
      <c r="A49" s="10" t="s">
        <v>49</v>
      </c>
      <c r="B49" s="11">
        <v>8</v>
      </c>
      <c r="C49" s="45">
        <v>6820554</v>
      </c>
      <c r="D49" s="46">
        <v>6607078</v>
      </c>
      <c r="E49" s="25">
        <v>6033563</v>
      </c>
      <c r="F49" s="13">
        <v>181007</v>
      </c>
      <c r="G49" s="13"/>
      <c r="H49" s="12">
        <v>161221</v>
      </c>
      <c r="I49" s="12">
        <v>0</v>
      </c>
      <c r="J49" s="12">
        <v>6375791</v>
      </c>
      <c r="K49" s="13">
        <v>221217</v>
      </c>
      <c r="L49" s="13">
        <v>29231</v>
      </c>
      <c r="M49" s="25">
        <f t="shared" si="1"/>
        <v>6626239</v>
      </c>
      <c r="N49" s="38">
        <v>215981</v>
      </c>
      <c r="O49" s="32">
        <f t="shared" si="2"/>
        <v>6842220</v>
      </c>
    </row>
    <row r="50" spans="1:15" x14ac:dyDescent="0.25">
      <c r="A50" s="19" t="s">
        <v>50</v>
      </c>
      <c r="B50" s="20">
        <v>9</v>
      </c>
      <c r="C50" s="47">
        <v>6893808</v>
      </c>
      <c r="D50" s="48">
        <v>6643208</v>
      </c>
      <c r="E50" s="26">
        <v>6187449</v>
      </c>
      <c r="F50" s="22">
        <v>185623</v>
      </c>
      <c r="G50" s="22"/>
      <c r="H50" s="21">
        <v>125259</v>
      </c>
      <c r="I50" s="21">
        <v>0</v>
      </c>
      <c r="J50" s="21">
        <v>6498331</v>
      </c>
      <c r="K50" s="22"/>
      <c r="L50" s="22">
        <v>29977</v>
      </c>
      <c r="M50" s="26">
        <f t="shared" si="1"/>
        <v>6528308</v>
      </c>
      <c r="N50" s="39">
        <v>227309</v>
      </c>
      <c r="O50" s="33">
        <f t="shared" si="2"/>
        <v>6755617</v>
      </c>
    </row>
    <row r="51" spans="1:15" x14ac:dyDescent="0.25">
      <c r="A51" s="6" t="s">
        <v>51</v>
      </c>
      <c r="B51" s="7">
        <v>9</v>
      </c>
      <c r="C51" s="43">
        <v>7286672</v>
      </c>
      <c r="D51" s="44">
        <v>6963800</v>
      </c>
      <c r="E51" s="24">
        <v>6244314</v>
      </c>
      <c r="F51" s="9">
        <v>187329</v>
      </c>
      <c r="G51" s="9"/>
      <c r="H51" s="8">
        <v>200097</v>
      </c>
      <c r="I51" s="8">
        <v>0</v>
      </c>
      <c r="J51" s="8">
        <v>6631740</v>
      </c>
      <c r="K51" s="9">
        <v>264900</v>
      </c>
      <c r="L51" s="9">
        <v>30252</v>
      </c>
      <c r="M51" s="24">
        <f t="shared" si="1"/>
        <v>6926892</v>
      </c>
      <c r="N51" s="37">
        <v>287692</v>
      </c>
      <c r="O51" s="31">
        <f t="shared" si="2"/>
        <v>7214584</v>
      </c>
    </row>
    <row r="52" spans="1:15" x14ac:dyDescent="0.25">
      <c r="A52" s="6" t="s">
        <v>52</v>
      </c>
      <c r="B52" s="7">
        <v>9</v>
      </c>
      <c r="C52" s="43">
        <v>6102298</v>
      </c>
      <c r="D52" s="44">
        <v>5956080</v>
      </c>
      <c r="E52" s="24">
        <v>5738374</v>
      </c>
      <c r="F52" s="9">
        <v>172151</v>
      </c>
      <c r="G52" s="9">
        <v>61729</v>
      </c>
      <c r="H52" s="8">
        <v>147616</v>
      </c>
      <c r="I52" s="8">
        <v>-163790</v>
      </c>
      <c r="J52" s="8">
        <v>5956080</v>
      </c>
      <c r="K52" s="9"/>
      <c r="L52" s="9">
        <v>27801</v>
      </c>
      <c r="M52" s="24">
        <f t="shared" si="1"/>
        <v>5983881</v>
      </c>
      <c r="N52" s="37">
        <v>144127</v>
      </c>
      <c r="O52" s="31">
        <f t="shared" si="2"/>
        <v>6128008</v>
      </c>
    </row>
    <row r="53" spans="1:15" x14ac:dyDescent="0.25">
      <c r="A53" s="6" t="s">
        <v>53</v>
      </c>
      <c r="B53" s="7">
        <v>9</v>
      </c>
      <c r="C53" s="43">
        <v>8066849</v>
      </c>
      <c r="D53" s="44">
        <v>7702170</v>
      </c>
      <c r="E53" s="24">
        <v>6535519</v>
      </c>
      <c r="F53" s="9">
        <v>196066</v>
      </c>
      <c r="G53" s="9"/>
      <c r="H53" s="8">
        <v>162195</v>
      </c>
      <c r="I53" s="8">
        <v>0</v>
      </c>
      <c r="J53" s="8">
        <v>6893780</v>
      </c>
      <c r="K53" s="9">
        <v>402250</v>
      </c>
      <c r="L53" s="9">
        <v>31663</v>
      </c>
      <c r="M53" s="24">
        <f t="shared" si="1"/>
        <v>7327693</v>
      </c>
      <c r="N53" s="37">
        <v>273642</v>
      </c>
      <c r="O53" s="31">
        <f t="shared" si="2"/>
        <v>7601335</v>
      </c>
    </row>
    <row r="54" spans="1:15" x14ac:dyDescent="0.25">
      <c r="A54" s="6" t="s">
        <v>54</v>
      </c>
      <c r="B54" s="7">
        <v>9</v>
      </c>
      <c r="C54" s="43">
        <v>7193546</v>
      </c>
      <c r="D54" s="46">
        <v>6876834</v>
      </c>
      <c r="E54" s="25">
        <v>6445895</v>
      </c>
      <c r="F54" s="13">
        <v>193377</v>
      </c>
      <c r="G54" s="13"/>
      <c r="H54" s="12">
        <v>134384</v>
      </c>
      <c r="I54" s="12">
        <v>0</v>
      </c>
      <c r="J54" s="12">
        <v>6773656</v>
      </c>
      <c r="K54" s="13"/>
      <c r="L54" s="13">
        <v>31229</v>
      </c>
      <c r="M54" s="25">
        <f t="shared" si="1"/>
        <v>6804885</v>
      </c>
      <c r="N54" s="38">
        <v>289885</v>
      </c>
      <c r="O54" s="32">
        <f t="shared" si="2"/>
        <v>7094770</v>
      </c>
    </row>
    <row r="55" spans="1:15" x14ac:dyDescent="0.25">
      <c r="A55" s="6" t="s">
        <v>55</v>
      </c>
      <c r="B55" s="7">
        <v>9</v>
      </c>
      <c r="C55" s="43">
        <v>8770151</v>
      </c>
      <c r="D55" s="44">
        <v>8358423</v>
      </c>
      <c r="E55" s="24">
        <v>7561998</v>
      </c>
      <c r="F55" s="9">
        <v>226860</v>
      </c>
      <c r="G55" s="9"/>
      <c r="H55" s="8">
        <v>183372</v>
      </c>
      <c r="I55" s="8">
        <v>0</v>
      </c>
      <c r="J55" s="8">
        <v>7972230</v>
      </c>
      <c r="K55" s="9">
        <v>219370</v>
      </c>
      <c r="L55" s="9">
        <v>36636</v>
      </c>
      <c r="M55" s="24">
        <f t="shared" si="1"/>
        <v>8228236</v>
      </c>
      <c r="N55" s="37">
        <v>349384</v>
      </c>
      <c r="O55" s="31">
        <f t="shared" si="2"/>
        <v>8577620</v>
      </c>
    </row>
    <row r="56" spans="1:15" ht="14.25" thickBot="1" x14ac:dyDescent="0.3">
      <c r="A56" s="14" t="s">
        <v>56</v>
      </c>
      <c r="B56" s="15">
        <v>9</v>
      </c>
      <c r="C56" s="49">
        <v>9068119</v>
      </c>
      <c r="D56" s="50">
        <v>8854388</v>
      </c>
      <c r="E56" s="27">
        <v>8324931</v>
      </c>
      <c r="F56" s="17">
        <v>249748</v>
      </c>
      <c r="G56" s="17"/>
      <c r="H56" s="16">
        <v>176455</v>
      </c>
      <c r="I56" s="16">
        <v>0</v>
      </c>
      <c r="J56" s="16">
        <v>8751134</v>
      </c>
      <c r="K56" s="17">
        <v>109954</v>
      </c>
      <c r="L56" s="17">
        <v>40332</v>
      </c>
      <c r="M56" s="27">
        <f t="shared" si="1"/>
        <v>8901420</v>
      </c>
      <c r="N56" s="40">
        <v>211703</v>
      </c>
      <c r="O56" s="34">
        <f t="shared" si="2"/>
        <v>9113123</v>
      </c>
    </row>
    <row r="57" spans="1:15" x14ac:dyDescent="0.25">
      <c r="A57" s="2" t="s">
        <v>57</v>
      </c>
      <c r="B57" s="3">
        <v>10</v>
      </c>
      <c r="C57" s="41">
        <v>11822815</v>
      </c>
      <c r="D57" s="42">
        <v>11408315</v>
      </c>
      <c r="E57" s="23">
        <v>11115588</v>
      </c>
      <c r="F57" s="5">
        <v>333468</v>
      </c>
      <c r="G57" s="5"/>
      <c r="H57" s="4">
        <v>267100</v>
      </c>
      <c r="I57" s="4">
        <v>-307841</v>
      </c>
      <c r="J57" s="4">
        <v>11408315</v>
      </c>
      <c r="K57" s="5"/>
      <c r="L57" s="5">
        <v>53852</v>
      </c>
      <c r="M57" s="23">
        <f t="shared" si="1"/>
        <v>11462167</v>
      </c>
      <c r="N57" s="36">
        <v>452522</v>
      </c>
      <c r="O57" s="30">
        <f t="shared" si="2"/>
        <v>11914689</v>
      </c>
    </row>
    <row r="58" spans="1:15" x14ac:dyDescent="0.25">
      <c r="A58" s="6" t="s">
        <v>58</v>
      </c>
      <c r="B58" s="7">
        <v>10</v>
      </c>
      <c r="C58" s="43">
        <v>12134128</v>
      </c>
      <c r="D58" s="44">
        <v>11797703</v>
      </c>
      <c r="E58" s="24">
        <v>10911289</v>
      </c>
      <c r="F58" s="9">
        <v>327339</v>
      </c>
      <c r="G58" s="9"/>
      <c r="H58" s="8">
        <v>308151</v>
      </c>
      <c r="I58" s="8">
        <v>0</v>
      </c>
      <c r="J58" s="8">
        <v>11546779</v>
      </c>
      <c r="K58" s="9">
        <v>250797</v>
      </c>
      <c r="L58" s="9">
        <v>52863</v>
      </c>
      <c r="M58" s="24">
        <f t="shared" si="1"/>
        <v>11850439</v>
      </c>
      <c r="N58" s="37">
        <v>252682</v>
      </c>
      <c r="O58" s="31">
        <f t="shared" si="2"/>
        <v>12103121</v>
      </c>
    </row>
    <row r="59" spans="1:15" x14ac:dyDescent="0.25">
      <c r="A59" s="6" t="s">
        <v>59</v>
      </c>
      <c r="B59" s="7">
        <v>10</v>
      </c>
      <c r="C59" s="43">
        <v>11200820</v>
      </c>
      <c r="D59" s="44">
        <f>10789608+121691</f>
        <v>10911299</v>
      </c>
      <c r="E59" s="24">
        <v>10434730</v>
      </c>
      <c r="F59" s="9">
        <v>313042</v>
      </c>
      <c r="G59" s="9"/>
      <c r="H59" s="8">
        <v>245745</v>
      </c>
      <c r="I59" s="8">
        <v>-82218</v>
      </c>
      <c r="J59" s="8">
        <v>10911299</v>
      </c>
      <c r="K59" s="9">
        <v>800000</v>
      </c>
      <c r="L59" s="9">
        <v>50554</v>
      </c>
      <c r="M59" s="24">
        <f t="shared" si="1"/>
        <v>11761853</v>
      </c>
      <c r="N59" s="37">
        <v>220648</v>
      </c>
      <c r="O59" s="31">
        <f t="shared" si="2"/>
        <v>11982501</v>
      </c>
    </row>
    <row r="60" spans="1:15" x14ac:dyDescent="0.25">
      <c r="A60" s="6" t="s">
        <v>60</v>
      </c>
      <c r="B60" s="7">
        <v>10</v>
      </c>
      <c r="C60" s="43">
        <v>12625912</v>
      </c>
      <c r="D60" s="44">
        <f>12261769+23068</f>
        <v>12284837</v>
      </c>
      <c r="E60" s="24">
        <v>11573392</v>
      </c>
      <c r="F60" s="9">
        <v>347202</v>
      </c>
      <c r="G60" s="9"/>
      <c r="H60" s="8">
        <v>376460</v>
      </c>
      <c r="I60" s="8">
        <v>-12217</v>
      </c>
      <c r="J60" s="8">
        <v>12284837</v>
      </c>
      <c r="K60" s="9"/>
      <c r="L60" s="9">
        <v>56070</v>
      </c>
      <c r="M60" s="24">
        <f t="shared" si="1"/>
        <v>12340907</v>
      </c>
      <c r="N60" s="37">
        <v>346667</v>
      </c>
      <c r="O60" s="31">
        <f t="shared" si="2"/>
        <v>12687574</v>
      </c>
    </row>
    <row r="61" spans="1:15" ht="14.25" thickBot="1" x14ac:dyDescent="0.3">
      <c r="A61" s="14" t="s">
        <v>61</v>
      </c>
      <c r="B61" s="15">
        <v>10</v>
      </c>
      <c r="C61" s="49">
        <v>11877436</v>
      </c>
      <c r="D61" s="50">
        <v>11601836</v>
      </c>
      <c r="E61" s="27">
        <v>10545633</v>
      </c>
      <c r="F61" s="17">
        <v>316369</v>
      </c>
      <c r="G61" s="17"/>
      <c r="H61" s="16">
        <v>351687</v>
      </c>
      <c r="I61" s="16">
        <v>0</v>
      </c>
      <c r="J61" s="16">
        <v>11213689</v>
      </c>
      <c r="K61" s="17">
        <v>388500</v>
      </c>
      <c r="L61" s="17">
        <v>51091</v>
      </c>
      <c r="M61" s="27">
        <f t="shared" si="1"/>
        <v>11653280</v>
      </c>
      <c r="N61" s="40">
        <v>276066</v>
      </c>
      <c r="O61" s="34">
        <f t="shared" si="2"/>
        <v>11929346</v>
      </c>
    </row>
    <row r="62" spans="1:15" x14ac:dyDescent="0.25">
      <c r="A62" s="19" t="s">
        <v>62</v>
      </c>
      <c r="B62" s="20">
        <v>11</v>
      </c>
      <c r="C62" s="47">
        <v>23792479</v>
      </c>
      <c r="D62" s="48">
        <v>23182848</v>
      </c>
      <c r="E62" s="26">
        <v>17588394</v>
      </c>
      <c r="F62" s="22">
        <v>527652</v>
      </c>
      <c r="G62" s="22"/>
      <c r="H62" s="21">
        <v>594730</v>
      </c>
      <c r="I62" s="21">
        <v>0</v>
      </c>
      <c r="J62" s="21">
        <v>18710776</v>
      </c>
      <c r="K62" s="22">
        <v>691715</v>
      </c>
      <c r="L62" s="22">
        <v>85212</v>
      </c>
      <c r="M62" s="26">
        <f t="shared" si="1"/>
        <v>19487703</v>
      </c>
      <c r="N62" s="39">
        <v>446743</v>
      </c>
      <c r="O62" s="33">
        <f t="shared" si="2"/>
        <v>19934446</v>
      </c>
    </row>
    <row r="63" spans="1:15" x14ac:dyDescent="0.25">
      <c r="A63" s="6" t="s">
        <v>63</v>
      </c>
      <c r="B63" s="7">
        <v>11</v>
      </c>
      <c r="C63" s="43">
        <v>30930750</v>
      </c>
      <c r="D63" s="44">
        <v>30329834</v>
      </c>
      <c r="E63" s="24">
        <v>28055057</v>
      </c>
      <c r="F63" s="9">
        <v>841652</v>
      </c>
      <c r="G63" s="9"/>
      <c r="H63" s="8">
        <v>850233</v>
      </c>
      <c r="I63" s="8">
        <v>0</v>
      </c>
      <c r="J63" s="8">
        <v>29746942</v>
      </c>
      <c r="K63" s="9"/>
      <c r="L63" s="9">
        <v>135920</v>
      </c>
      <c r="M63" s="24">
        <f t="shared" si="1"/>
        <v>29882862</v>
      </c>
      <c r="N63" s="37">
        <v>488729</v>
      </c>
      <c r="O63" s="31">
        <f t="shared" si="2"/>
        <v>30371591</v>
      </c>
    </row>
    <row r="64" spans="1:15" x14ac:dyDescent="0.25">
      <c r="A64" s="6" t="s">
        <v>64</v>
      </c>
      <c r="B64" s="7">
        <v>11</v>
      </c>
      <c r="C64" s="43">
        <v>29544458</v>
      </c>
      <c r="D64" s="44">
        <v>28828238</v>
      </c>
      <c r="E64" s="24">
        <v>27006971</v>
      </c>
      <c r="F64" s="9">
        <v>810209</v>
      </c>
      <c r="G64" s="9">
        <v>63964</v>
      </c>
      <c r="H64" s="8">
        <v>703657</v>
      </c>
      <c r="I64" s="8">
        <v>0</v>
      </c>
      <c r="J64" s="8">
        <v>28584801</v>
      </c>
      <c r="K64" s="9">
        <v>319560</v>
      </c>
      <c r="L64" s="9">
        <v>130842</v>
      </c>
      <c r="M64" s="24">
        <f t="shared" si="1"/>
        <v>29035203</v>
      </c>
      <c r="N64" s="37">
        <v>708331</v>
      </c>
      <c r="O64" s="31">
        <f t="shared" si="2"/>
        <v>29743534</v>
      </c>
    </row>
    <row r="65" spans="1:15" ht="14.25" thickBot="1" x14ac:dyDescent="0.3">
      <c r="A65" s="14" t="s">
        <v>65</v>
      </c>
      <c r="B65" s="15">
        <v>11</v>
      </c>
      <c r="C65" s="49">
        <v>25146248</v>
      </c>
      <c r="D65" s="50">
        <v>24392221</v>
      </c>
      <c r="E65" s="27">
        <v>21402811</v>
      </c>
      <c r="F65" s="17">
        <v>642084</v>
      </c>
      <c r="G65" s="17"/>
      <c r="H65" s="16">
        <v>515217</v>
      </c>
      <c r="I65" s="16">
        <v>0</v>
      </c>
      <c r="J65" s="16">
        <v>22560112</v>
      </c>
      <c r="K65" s="17">
        <v>488694</v>
      </c>
      <c r="L65" s="17">
        <v>103691</v>
      </c>
      <c r="M65" s="27">
        <f t="shared" si="1"/>
        <v>23152497</v>
      </c>
      <c r="N65" s="40">
        <v>625735</v>
      </c>
      <c r="O65" s="34">
        <f t="shared" si="2"/>
        <v>23778232</v>
      </c>
    </row>
    <row r="66" spans="1:15" x14ac:dyDescent="0.25">
      <c r="A66" s="2" t="s">
        <v>66</v>
      </c>
      <c r="B66" s="3">
        <v>12</v>
      </c>
      <c r="C66" s="41">
        <v>40727675</v>
      </c>
      <c r="D66" s="42">
        <v>39846743</v>
      </c>
      <c r="E66" s="23">
        <v>36705664</v>
      </c>
      <c r="F66" s="5">
        <v>1101170</v>
      </c>
      <c r="G66" s="5"/>
      <c r="H66" s="4">
        <v>991170</v>
      </c>
      <c r="I66" s="4">
        <v>0</v>
      </c>
      <c r="J66" s="4">
        <v>38798004</v>
      </c>
      <c r="K66" s="5">
        <v>1331620</v>
      </c>
      <c r="L66" s="5">
        <v>177830</v>
      </c>
      <c r="M66" s="23">
        <f t="shared" si="1"/>
        <v>40307454</v>
      </c>
      <c r="N66" s="36">
        <v>782113</v>
      </c>
      <c r="O66" s="30">
        <f t="shared" ref="O66:O68" si="3">N66+L66+K66+J66</f>
        <v>41089567</v>
      </c>
    </row>
    <row r="67" spans="1:15" x14ac:dyDescent="0.25">
      <c r="A67" s="6" t="s">
        <v>67</v>
      </c>
      <c r="B67" s="7">
        <v>12</v>
      </c>
      <c r="C67" s="43">
        <v>75274148</v>
      </c>
      <c r="D67" s="44">
        <v>74141164</v>
      </c>
      <c r="E67" s="24">
        <v>67696403</v>
      </c>
      <c r="F67" s="9">
        <v>2030892</v>
      </c>
      <c r="G67" s="9"/>
      <c r="H67" s="8">
        <v>1490447</v>
      </c>
      <c r="I67" s="8">
        <v>0</v>
      </c>
      <c r="J67" s="8">
        <v>71217742</v>
      </c>
      <c r="K67" s="9"/>
      <c r="L67" s="9">
        <v>327973</v>
      </c>
      <c r="M67" s="24">
        <f t="shared" ref="M67:M68" si="4">J67+K67+L67</f>
        <v>71545715</v>
      </c>
      <c r="N67" s="37">
        <v>1052725</v>
      </c>
      <c r="O67" s="31">
        <f>N67+L67+K67+J67</f>
        <v>72598440</v>
      </c>
    </row>
    <row r="68" spans="1:15" ht="14.25" thickBot="1" x14ac:dyDescent="0.3">
      <c r="A68" s="14" t="s">
        <v>68</v>
      </c>
      <c r="B68" s="15">
        <v>12</v>
      </c>
      <c r="C68" s="49">
        <v>31218761</v>
      </c>
      <c r="D68" s="50">
        <f>30173921+184952</f>
        <v>30358873</v>
      </c>
      <c r="E68" s="27">
        <v>28822358</v>
      </c>
      <c r="F68" s="17">
        <v>864671</v>
      </c>
      <c r="G68" s="17"/>
      <c r="H68" s="16">
        <v>738332</v>
      </c>
      <c r="I68" s="16">
        <v>-66488</v>
      </c>
      <c r="J68" s="16">
        <v>30358873</v>
      </c>
      <c r="K68" s="17">
        <v>133634</v>
      </c>
      <c r="L68" s="17">
        <v>139637</v>
      </c>
      <c r="M68" s="27">
        <f t="shared" si="4"/>
        <v>30632144</v>
      </c>
      <c r="N68" s="40">
        <v>801368</v>
      </c>
      <c r="O68" s="34">
        <f t="shared" si="3"/>
        <v>31433512</v>
      </c>
    </row>
    <row r="69" spans="1:15" ht="14.25" thickBot="1" x14ac:dyDescent="0.3"/>
    <row r="70" spans="1:15" s="29" customFormat="1" ht="14.25" thickBot="1" x14ac:dyDescent="0.3">
      <c r="A70" s="164" t="s">
        <v>69</v>
      </c>
      <c r="B70" s="165"/>
      <c r="C70" s="51">
        <f t="shared" ref="C70:O70" si="5">SUM(C2:C68)</f>
        <v>468535568</v>
      </c>
      <c r="D70" s="51">
        <f t="shared" si="5"/>
        <v>455412356</v>
      </c>
      <c r="E70" s="28">
        <f t="shared" ref="E70" si="6">SUM(E2:E68)</f>
        <v>412892171</v>
      </c>
      <c r="F70" s="28">
        <f t="shared" si="5"/>
        <v>12386769.33</v>
      </c>
      <c r="G70" s="28">
        <f t="shared" si="5"/>
        <v>240504</v>
      </c>
      <c r="H70" s="28">
        <f t="shared" si="5"/>
        <v>10660203</v>
      </c>
      <c r="I70" s="28">
        <f t="shared" si="5"/>
        <v>-959260</v>
      </c>
      <c r="J70" s="28">
        <f t="shared" si="5"/>
        <v>435220388</v>
      </c>
      <c r="K70" s="28">
        <f t="shared" si="5"/>
        <v>9591921</v>
      </c>
      <c r="L70" s="28">
        <f t="shared" si="5"/>
        <v>2000363</v>
      </c>
      <c r="M70" s="28">
        <f t="shared" si="5"/>
        <v>446812672</v>
      </c>
      <c r="N70" s="35">
        <f t="shared" si="5"/>
        <v>11700000</v>
      </c>
      <c r="O70" s="52">
        <f t="shared" si="5"/>
        <v>458512672</v>
      </c>
    </row>
    <row r="71" spans="1:15" x14ac:dyDescent="0.25">
      <c r="E71" s="18"/>
    </row>
    <row r="72" spans="1:15" x14ac:dyDescent="0.25">
      <c r="F72" s="18"/>
      <c r="L72" s="73"/>
      <c r="M72" s="73"/>
      <c r="N72" s="73"/>
      <c r="O72" s="73"/>
    </row>
    <row r="73" spans="1:15" x14ac:dyDescent="0.25">
      <c r="E73" s="18"/>
      <c r="M73" s="18"/>
    </row>
    <row r="74" spans="1:15" x14ac:dyDescent="0.25">
      <c r="E74" s="18"/>
    </row>
    <row r="75" spans="1:15" x14ac:dyDescent="0.25">
      <c r="M75" s="61"/>
      <c r="N75" s="18"/>
    </row>
    <row r="76" spans="1:15" x14ac:dyDescent="0.25">
      <c r="M76" s="61"/>
      <c r="N76" s="18"/>
    </row>
  </sheetData>
  <sortState xmlns:xlrd2="http://schemas.microsoft.com/office/spreadsheetml/2017/richdata2" ref="A2:O68">
    <sortCondition ref="B2:B68"/>
    <sortCondition ref="A2:A68"/>
  </sortState>
  <mergeCells count="1">
    <mergeCell ref="A70:B70"/>
  </mergeCells>
  <pageMargins left="0.25" right="0.25" top="0.75" bottom="0.75" header="0.3" footer="0.3"/>
  <pageSetup paperSize="5" scale="78" fitToHeight="0" orientation="landscape" r:id="rId1"/>
  <rowBreaks count="2" manualBreakCount="2">
    <brk id="32" max="16383" man="1"/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AA00-10D1-4B2E-B9D2-64C693C0F89C}">
  <sheetPr>
    <pageSetUpPr fitToPage="1"/>
  </sheetPr>
  <dimension ref="A1:AE97"/>
  <sheetViews>
    <sheetView zoomScale="70" zoomScaleNormal="70" zoomScaleSheetLayoutView="70" zoomScalePageLayoutView="55" workbookViewId="0">
      <pane xSplit="2" ySplit="2" topLeftCell="L39" activePane="bottomRight" state="frozen"/>
      <selection pane="topRight" activeCell="C1" sqref="C1"/>
      <selection pane="bottomLeft" activeCell="A4" sqref="A4"/>
      <selection pane="bottomRight" activeCell="C63" sqref="C63"/>
    </sheetView>
  </sheetViews>
  <sheetFormatPr defaultColWidth="11.28515625" defaultRowHeight="13.5" x14ac:dyDescent="0.25"/>
  <cols>
    <col min="1" max="1" width="12.7109375" style="95" bestFit="1" customWidth="1"/>
    <col min="2" max="2" width="15.7109375" style="101" customWidth="1"/>
    <col min="3" max="6" width="18.5703125" style="101" customWidth="1"/>
    <col min="7" max="8" width="20.42578125" style="153" customWidth="1"/>
    <col min="9" max="9" width="18.5703125" style="101" customWidth="1"/>
    <col min="10" max="11" width="17.28515625" style="101" customWidth="1"/>
    <col min="12" max="14" width="17.85546875" style="101" customWidth="1"/>
    <col min="15" max="15" width="18.28515625" style="101" customWidth="1"/>
    <col min="16" max="16" width="17.85546875" style="101" customWidth="1"/>
    <col min="17" max="17" width="18.5703125" style="101" customWidth="1"/>
    <col min="18" max="18" width="18.28515625" style="101" customWidth="1"/>
    <col min="19" max="19" width="17.28515625" style="101" customWidth="1"/>
    <col min="20" max="20" width="18.42578125" style="101" customWidth="1"/>
    <col min="21" max="21" width="17.85546875" style="101" customWidth="1"/>
    <col min="22" max="22" width="17.28515625" style="77" customWidth="1"/>
    <col min="23" max="25" width="19.7109375" style="77" customWidth="1"/>
    <col min="26" max="27" width="18.5703125" style="77" customWidth="1"/>
    <col min="28" max="28" width="19.7109375" style="77" customWidth="1"/>
    <col min="29" max="29" width="18.5703125" style="77" customWidth="1"/>
    <col min="30" max="30" width="20.28515625" style="77" customWidth="1"/>
    <col min="31" max="31" width="18" style="77" customWidth="1"/>
    <col min="32" max="16384" width="11.28515625" style="77"/>
  </cols>
  <sheetData>
    <row r="1" spans="1:31" ht="14.25" thickBot="1" x14ac:dyDescent="0.3">
      <c r="A1" s="109"/>
      <c r="B1" s="166" t="s">
        <v>89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  <c r="O1" s="169" t="s">
        <v>101</v>
      </c>
      <c r="P1" s="170"/>
      <c r="Q1" s="170"/>
      <c r="R1" s="170"/>
      <c r="S1" s="170"/>
      <c r="T1" s="170"/>
      <c r="U1" s="170"/>
      <c r="V1" s="170"/>
      <c r="W1" s="170"/>
      <c r="X1" s="170"/>
      <c r="Y1" s="171"/>
      <c r="Z1" s="172" t="s">
        <v>102</v>
      </c>
      <c r="AA1" s="173"/>
      <c r="AB1" s="174"/>
      <c r="AC1" s="76"/>
      <c r="AD1" s="111"/>
      <c r="AE1" s="111"/>
    </row>
    <row r="2" spans="1:31" ht="68.25" thickBot="1" x14ac:dyDescent="0.3">
      <c r="A2" s="75" t="s">
        <v>0</v>
      </c>
      <c r="B2" s="112" t="s">
        <v>133</v>
      </c>
      <c r="C2" s="113" t="s">
        <v>103</v>
      </c>
      <c r="D2" s="113" t="s">
        <v>104</v>
      </c>
      <c r="E2" s="113" t="s">
        <v>105</v>
      </c>
      <c r="F2" s="113" t="s">
        <v>106</v>
      </c>
      <c r="G2" s="113" t="s">
        <v>107</v>
      </c>
      <c r="H2" s="114" t="s">
        <v>108</v>
      </c>
      <c r="I2" s="113" t="s">
        <v>109</v>
      </c>
      <c r="J2" s="115" t="s">
        <v>110</v>
      </c>
      <c r="K2" s="116" t="s">
        <v>111</v>
      </c>
      <c r="L2" s="110" t="s">
        <v>112</v>
      </c>
      <c r="M2" s="110" t="s">
        <v>113</v>
      </c>
      <c r="N2" s="110" t="s">
        <v>114</v>
      </c>
      <c r="O2" s="112" t="s">
        <v>115</v>
      </c>
      <c r="P2" s="115" t="s">
        <v>116</v>
      </c>
      <c r="Q2" s="117" t="s">
        <v>117</v>
      </c>
      <c r="R2" s="117" t="s">
        <v>118</v>
      </c>
      <c r="S2" s="117" t="s">
        <v>119</v>
      </c>
      <c r="T2" s="113" t="s">
        <v>120</v>
      </c>
      <c r="U2" s="113" t="s">
        <v>121</v>
      </c>
      <c r="V2" s="113" t="s">
        <v>91</v>
      </c>
      <c r="W2" s="113" t="s">
        <v>122</v>
      </c>
      <c r="X2" s="113" t="s">
        <v>123</v>
      </c>
      <c r="Y2" s="112" t="s">
        <v>124</v>
      </c>
      <c r="Z2" s="113" t="s">
        <v>125</v>
      </c>
      <c r="AA2" s="113" t="s">
        <v>126</v>
      </c>
      <c r="AB2" s="115" t="s">
        <v>127</v>
      </c>
      <c r="AC2" s="113" t="s">
        <v>128</v>
      </c>
      <c r="AD2" s="115" t="s">
        <v>129</v>
      </c>
      <c r="AE2" s="115" t="s">
        <v>130</v>
      </c>
    </row>
    <row r="3" spans="1:31" x14ac:dyDescent="0.25">
      <c r="A3" s="118" t="s">
        <v>46</v>
      </c>
      <c r="B3" s="154">
        <v>6101007</v>
      </c>
      <c r="C3" s="119">
        <f t="shared" ref="C3:C66" si="0">B3/12</f>
        <v>508417.25</v>
      </c>
      <c r="D3" s="119">
        <v>2403281.7400000002</v>
      </c>
      <c r="E3" s="119">
        <v>215914</v>
      </c>
      <c r="F3" s="119">
        <v>2824941.7199999997</v>
      </c>
      <c r="G3" s="119">
        <f t="shared" ref="G3:G66" si="1">(F3+N3+L3)/8</f>
        <v>460659.87749999994</v>
      </c>
      <c r="H3" s="120">
        <f t="shared" ref="H3:H66" si="2">G3/C3</f>
        <v>0.90606657720602501</v>
      </c>
      <c r="I3" s="119">
        <f t="shared" ref="I3:I66" si="3">B3-F3-L3-N3</f>
        <v>2415727.9800000004</v>
      </c>
      <c r="J3" s="119">
        <f t="shared" ref="J3:J66" si="4">I3/4</f>
        <v>603931.99500000011</v>
      </c>
      <c r="K3" s="119">
        <v>237755.18000000005</v>
      </c>
      <c r="L3" s="119">
        <v>419849.86</v>
      </c>
      <c r="M3" s="119">
        <v>184847.92999999993</v>
      </c>
      <c r="N3" s="119">
        <v>440487.44</v>
      </c>
      <c r="O3" s="119">
        <v>261263.22</v>
      </c>
      <c r="P3" s="119">
        <f>MIN($G3,$J3)</f>
        <v>460659.87749999994</v>
      </c>
      <c r="Q3" s="121">
        <f t="shared" ref="Q3:Q66" si="5">P3+N3+L3+F3</f>
        <v>4145938.8974999995</v>
      </c>
      <c r="R3" s="121">
        <f t="shared" ref="R3:R66" si="6">B3-Q3</f>
        <v>1955068.1025000005</v>
      </c>
      <c r="S3" s="121">
        <f t="shared" ref="S3:S66" si="7">ROUND((R3/3),2)</f>
        <v>651689.37</v>
      </c>
      <c r="T3" s="119">
        <v>273680.15999999997</v>
      </c>
      <c r="U3" s="119">
        <f>MIN($C3,$S3)</f>
        <v>508417.25</v>
      </c>
      <c r="V3" s="119">
        <v>273680.15999999997</v>
      </c>
      <c r="W3" s="119">
        <f>MIN($C3,$S3)</f>
        <v>508417.25</v>
      </c>
      <c r="X3" s="119">
        <f>MIN($C3,$S3)</f>
        <v>508417.25</v>
      </c>
      <c r="Y3" s="119">
        <f t="shared" ref="Y3:Y66" si="8">X3+W3+U3</f>
        <v>1525251.75</v>
      </c>
      <c r="Z3" s="119">
        <f t="shared" ref="Z3:Z66" si="9">V3+T3+O3+M3+K3+D3+E3</f>
        <v>3850422.39</v>
      </c>
      <c r="AA3" s="119">
        <f t="shared" ref="AA3:AA66" si="10">ROUND((B3*$AD$74),2)</f>
        <v>-809008.69</v>
      </c>
      <c r="AB3" s="119">
        <f t="shared" ref="AB3:AB66" si="11">X3+W3+U3+P3+N3+L3+F3</f>
        <v>5671190.647499999</v>
      </c>
      <c r="AC3" s="119"/>
      <c r="AD3" s="122"/>
      <c r="AE3" s="159">
        <v>5291998</v>
      </c>
    </row>
    <row r="4" spans="1:31" x14ac:dyDescent="0.25">
      <c r="A4" s="123" t="s">
        <v>15</v>
      </c>
      <c r="B4" s="155">
        <v>663029</v>
      </c>
      <c r="C4" s="124">
        <f t="shared" si="0"/>
        <v>55252.416666666664</v>
      </c>
      <c r="D4" s="124">
        <v>273029.99</v>
      </c>
      <c r="E4" s="124">
        <v>23464</v>
      </c>
      <c r="F4" s="124">
        <v>294055.40999999997</v>
      </c>
      <c r="G4" s="124">
        <f t="shared" si="1"/>
        <v>48617.513749999998</v>
      </c>
      <c r="H4" s="125">
        <f t="shared" si="2"/>
        <v>0.87991651194744125</v>
      </c>
      <c r="I4" s="124">
        <f t="shared" si="3"/>
        <v>274088.89</v>
      </c>
      <c r="J4" s="124">
        <f t="shared" si="4"/>
        <v>68522.222500000003</v>
      </c>
      <c r="K4" s="124">
        <v>31986.550000000003</v>
      </c>
      <c r="L4" s="124">
        <v>46062.45</v>
      </c>
      <c r="M4" s="124">
        <v>28746.15</v>
      </c>
      <c r="N4" s="124">
        <v>48822.25</v>
      </c>
      <c r="O4" s="124">
        <v>26004.22</v>
      </c>
      <c r="P4" s="124">
        <f>MIN($G4,$J4)</f>
        <v>48617.513749999998</v>
      </c>
      <c r="Q4" s="126">
        <f t="shared" si="5"/>
        <v>437557.62374999997</v>
      </c>
      <c r="R4" s="126">
        <f t="shared" si="6"/>
        <v>225471.37625000003</v>
      </c>
      <c r="S4" s="126">
        <f t="shared" si="7"/>
        <v>75157.13</v>
      </c>
      <c r="T4" s="124">
        <v>23134.560000000001</v>
      </c>
      <c r="U4" s="124">
        <f>MIN($C4,$S4)</f>
        <v>55252.416666666664</v>
      </c>
      <c r="V4" s="124">
        <v>23134.560000000001</v>
      </c>
      <c r="W4" s="124">
        <f>MIN($C4,$S4)</f>
        <v>55252.416666666664</v>
      </c>
      <c r="X4" s="124">
        <f>MIN($C4,$S4)</f>
        <v>55252.416666666664</v>
      </c>
      <c r="Y4" s="124">
        <f t="shared" si="8"/>
        <v>165757.25</v>
      </c>
      <c r="Z4" s="124">
        <f t="shared" si="9"/>
        <v>429500.02999999997</v>
      </c>
      <c r="AA4" s="124">
        <f t="shared" si="10"/>
        <v>-87919.29</v>
      </c>
      <c r="AB4" s="124">
        <f t="shared" si="11"/>
        <v>603314.87375000003</v>
      </c>
      <c r="AC4" s="124"/>
      <c r="AD4" s="127"/>
      <c r="AE4" s="160">
        <v>575110</v>
      </c>
    </row>
    <row r="5" spans="1:31" x14ac:dyDescent="0.25">
      <c r="A5" s="128" t="s">
        <v>39</v>
      </c>
      <c r="B5" s="156">
        <v>3663308</v>
      </c>
      <c r="C5" s="129">
        <f t="shared" si="0"/>
        <v>305275.66666666669</v>
      </c>
      <c r="D5" s="129">
        <v>2819012.1</v>
      </c>
      <c r="E5" s="129">
        <v>129645</v>
      </c>
      <c r="F5" s="129">
        <v>1826926.62</v>
      </c>
      <c r="G5" s="129">
        <f t="shared" si="1"/>
        <v>296918.79125000001</v>
      </c>
      <c r="H5" s="130">
        <f t="shared" si="2"/>
        <v>0.97262515054699195</v>
      </c>
      <c r="I5" s="129">
        <f t="shared" si="3"/>
        <v>1287957.67</v>
      </c>
      <c r="J5" s="129">
        <f t="shared" si="4"/>
        <v>321989.41749999998</v>
      </c>
      <c r="K5" s="129">
        <v>289486.06</v>
      </c>
      <c r="L5" s="129">
        <v>276305.09000000003</v>
      </c>
      <c r="M5" s="129">
        <v>247531.83000000005</v>
      </c>
      <c r="N5" s="129">
        <v>272118.62</v>
      </c>
      <c r="O5" s="129">
        <v>285000</v>
      </c>
      <c r="P5" s="129">
        <v>273000</v>
      </c>
      <c r="Q5" s="126">
        <f t="shared" si="5"/>
        <v>2648350.33</v>
      </c>
      <c r="R5" s="126">
        <f t="shared" si="6"/>
        <v>1014957.6699999999</v>
      </c>
      <c r="S5" s="126">
        <f t="shared" si="7"/>
        <v>338319.22</v>
      </c>
      <c r="T5" s="129">
        <v>290000</v>
      </c>
      <c r="U5" s="129">
        <v>380000</v>
      </c>
      <c r="V5" s="129">
        <v>290000</v>
      </c>
      <c r="W5" s="129">
        <v>273000</v>
      </c>
      <c r="X5" s="129">
        <v>361400</v>
      </c>
      <c r="Y5" s="129">
        <f t="shared" si="8"/>
        <v>1014400</v>
      </c>
      <c r="Z5" s="129">
        <f t="shared" si="9"/>
        <v>4350674.99</v>
      </c>
      <c r="AA5" s="129">
        <f t="shared" si="10"/>
        <v>-485763.75</v>
      </c>
      <c r="AB5" s="129">
        <f t="shared" si="11"/>
        <v>3662750.33</v>
      </c>
      <c r="AC5" s="129"/>
      <c r="AD5" s="131"/>
      <c r="AE5" s="161">
        <v>3177544</v>
      </c>
    </row>
    <row r="6" spans="1:31" x14ac:dyDescent="0.25">
      <c r="A6" s="123" t="s">
        <v>16</v>
      </c>
      <c r="B6" s="155">
        <v>680789</v>
      </c>
      <c r="C6" s="124">
        <f t="shared" si="0"/>
        <v>56732.416666666664</v>
      </c>
      <c r="D6" s="124">
        <v>499864.75000000012</v>
      </c>
      <c r="E6" s="124">
        <v>24094</v>
      </c>
      <c r="F6" s="124">
        <v>340018.14</v>
      </c>
      <c r="G6" s="124">
        <f t="shared" si="1"/>
        <v>55885.257500000007</v>
      </c>
      <c r="H6" s="125">
        <f t="shared" si="2"/>
        <v>0.98506745849301347</v>
      </c>
      <c r="I6" s="124">
        <f t="shared" si="3"/>
        <v>233706.94</v>
      </c>
      <c r="J6" s="124">
        <f t="shared" si="4"/>
        <v>58426.735000000001</v>
      </c>
      <c r="K6" s="124">
        <v>47173.17</v>
      </c>
      <c r="L6" s="124">
        <v>53979.72</v>
      </c>
      <c r="M6" s="124">
        <v>53335.560000000005</v>
      </c>
      <c r="N6" s="124">
        <v>53084.2</v>
      </c>
      <c r="O6" s="124">
        <v>57790.12</v>
      </c>
      <c r="P6" s="124">
        <f>L6+27676.19</f>
        <v>81655.91</v>
      </c>
      <c r="Q6" s="126">
        <f t="shared" si="5"/>
        <v>528737.97</v>
      </c>
      <c r="R6" s="126">
        <f t="shared" si="6"/>
        <v>152051.03000000003</v>
      </c>
      <c r="S6" s="126">
        <f t="shared" si="7"/>
        <v>50683.68</v>
      </c>
      <c r="T6" s="124">
        <v>49558.6</v>
      </c>
      <c r="U6" s="124">
        <f>MIN($C6,$S6)</f>
        <v>50683.68</v>
      </c>
      <c r="V6" s="124">
        <v>49558.6</v>
      </c>
      <c r="W6" s="124">
        <f>MIN($C6,$S6)</f>
        <v>50683.68</v>
      </c>
      <c r="X6" s="124">
        <v>61000</v>
      </c>
      <c r="Y6" s="124">
        <f t="shared" si="8"/>
        <v>162367.35999999999</v>
      </c>
      <c r="Z6" s="124">
        <f t="shared" si="9"/>
        <v>781374.8</v>
      </c>
      <c r="AA6" s="124">
        <f t="shared" si="10"/>
        <v>-90274.31</v>
      </c>
      <c r="AB6" s="124">
        <f t="shared" si="11"/>
        <v>691105.33</v>
      </c>
      <c r="AC6" s="124"/>
      <c r="AD6" s="127"/>
      <c r="AE6" s="160">
        <v>590515</v>
      </c>
    </row>
    <row r="7" spans="1:31" x14ac:dyDescent="0.25">
      <c r="A7" s="128" t="s">
        <v>57</v>
      </c>
      <c r="B7" s="156">
        <v>11462167</v>
      </c>
      <c r="C7" s="129">
        <f t="shared" si="0"/>
        <v>955180.58333333337</v>
      </c>
      <c r="D7" s="129">
        <v>5602108.4699999997</v>
      </c>
      <c r="E7" s="129">
        <v>405646</v>
      </c>
      <c r="F7" s="129">
        <v>5693268.1900000004</v>
      </c>
      <c r="G7" s="129">
        <f t="shared" si="1"/>
        <v>949465.35250000004</v>
      </c>
      <c r="H7" s="130">
        <f t="shared" si="2"/>
        <v>0.99401659651268381</v>
      </c>
      <c r="I7" s="129">
        <f t="shared" si="3"/>
        <v>3866444.1799999997</v>
      </c>
      <c r="J7" s="129">
        <f t="shared" si="4"/>
        <v>966611.04499999993</v>
      </c>
      <c r="K7" s="129">
        <v>483292.25000000006</v>
      </c>
      <c r="L7" s="129">
        <v>911884.16</v>
      </c>
      <c r="M7" s="129">
        <v>527158.43999999994</v>
      </c>
      <c r="N7" s="129">
        <v>990570.47</v>
      </c>
      <c r="O7" s="129">
        <v>621948.9</v>
      </c>
      <c r="P7" s="129">
        <f t="shared" ref="P7:P36" si="12">MIN($G7,$J7)</f>
        <v>949465.35250000004</v>
      </c>
      <c r="Q7" s="126">
        <f t="shared" si="5"/>
        <v>8545188.1724999994</v>
      </c>
      <c r="R7" s="126">
        <f t="shared" si="6"/>
        <v>2916978.8275000006</v>
      </c>
      <c r="S7" s="126">
        <f t="shared" si="7"/>
        <v>972326.28</v>
      </c>
      <c r="T7" s="129">
        <v>568433.96</v>
      </c>
      <c r="U7" s="129">
        <f>MIN($C7,$S7)</f>
        <v>955180.58333333337</v>
      </c>
      <c r="V7" s="129">
        <v>568433.96</v>
      </c>
      <c r="W7" s="129">
        <f>MIN($C7,$S7)</f>
        <v>955180.58333333337</v>
      </c>
      <c r="X7" s="129">
        <f>MIN($C7,$S7)</f>
        <v>955180.58333333337</v>
      </c>
      <c r="Y7" s="129">
        <f t="shared" si="8"/>
        <v>2865541.75</v>
      </c>
      <c r="Z7" s="129">
        <f t="shared" si="9"/>
        <v>8777021.9800000004</v>
      </c>
      <c r="AA7" s="129">
        <f t="shared" si="10"/>
        <v>-1519911.83</v>
      </c>
      <c r="AB7" s="129">
        <f t="shared" si="11"/>
        <v>11410729.922499999</v>
      </c>
      <c r="AC7" s="129"/>
      <c r="AD7" s="131"/>
      <c r="AE7" s="161">
        <v>9942255</v>
      </c>
    </row>
    <row r="8" spans="1:31" x14ac:dyDescent="0.25">
      <c r="A8" s="123" t="s">
        <v>66</v>
      </c>
      <c r="B8" s="155">
        <v>40307454</v>
      </c>
      <c r="C8" s="124">
        <f t="shared" si="0"/>
        <v>3358954.5</v>
      </c>
      <c r="D8" s="124">
        <v>20241406.140000001</v>
      </c>
      <c r="E8" s="124">
        <v>1426478</v>
      </c>
      <c r="F8" s="124">
        <v>16790426.289999999</v>
      </c>
      <c r="G8" s="124">
        <f t="shared" si="1"/>
        <v>2936275.9775</v>
      </c>
      <c r="H8" s="125">
        <f t="shared" si="2"/>
        <v>0.8741636653607544</v>
      </c>
      <c r="I8" s="124">
        <f t="shared" si="3"/>
        <v>16817246.18</v>
      </c>
      <c r="J8" s="124">
        <f t="shared" si="4"/>
        <v>4204311.5449999999</v>
      </c>
      <c r="K8" s="124">
        <v>1756804.6800000002</v>
      </c>
      <c r="L8" s="124">
        <v>2846333.99</v>
      </c>
      <c r="M8" s="124">
        <v>1846065.0099999991</v>
      </c>
      <c r="N8" s="124">
        <v>3853447.54</v>
      </c>
      <c r="O8" s="124">
        <v>2052090.14</v>
      </c>
      <c r="P8" s="124">
        <f t="shared" si="12"/>
        <v>2936275.9775</v>
      </c>
      <c r="Q8" s="126">
        <f t="shared" si="5"/>
        <v>26426483.797499999</v>
      </c>
      <c r="R8" s="126">
        <f t="shared" si="6"/>
        <v>13880970.202500001</v>
      </c>
      <c r="S8" s="126">
        <f t="shared" si="7"/>
        <v>4626990.07</v>
      </c>
      <c r="T8" s="124">
        <v>2192943.2599999998</v>
      </c>
      <c r="U8" s="124">
        <v>2936276</v>
      </c>
      <c r="V8" s="124">
        <v>2192943.2599999998</v>
      </c>
      <c r="W8" s="124">
        <v>2936276</v>
      </c>
      <c r="X8" s="124">
        <v>2936276</v>
      </c>
      <c r="Y8" s="124">
        <f t="shared" si="8"/>
        <v>8808828</v>
      </c>
      <c r="Z8" s="124">
        <f t="shared" si="9"/>
        <v>31708730.489999998</v>
      </c>
      <c r="AA8" s="124">
        <f t="shared" si="10"/>
        <v>-5344868.58</v>
      </c>
      <c r="AB8" s="124">
        <f t="shared" si="11"/>
        <v>35235311.797499999</v>
      </c>
      <c r="AC8" s="124"/>
      <c r="AD8" s="127"/>
      <c r="AE8" s="160">
        <v>34962585</v>
      </c>
    </row>
    <row r="9" spans="1:31" x14ac:dyDescent="0.25">
      <c r="A9" s="128" t="s">
        <v>2</v>
      </c>
      <c r="B9" s="156">
        <v>428517</v>
      </c>
      <c r="C9" s="129">
        <f t="shared" si="0"/>
        <v>35709.75</v>
      </c>
      <c r="D9" s="129">
        <v>135467.82</v>
      </c>
      <c r="E9" s="129">
        <v>15166</v>
      </c>
      <c r="F9" s="129">
        <v>197707.14</v>
      </c>
      <c r="G9" s="129">
        <f t="shared" si="1"/>
        <v>33739.934999999998</v>
      </c>
      <c r="H9" s="130">
        <f t="shared" si="2"/>
        <v>0.94483817444815488</v>
      </c>
      <c r="I9" s="129">
        <f t="shared" si="3"/>
        <v>158597.51999999999</v>
      </c>
      <c r="J9" s="129">
        <f t="shared" si="4"/>
        <v>39649.379999999997</v>
      </c>
      <c r="K9" s="129">
        <v>11649.779999999999</v>
      </c>
      <c r="L9" s="129">
        <v>43216.75</v>
      </c>
      <c r="M9" s="129">
        <v>10043.870000000001</v>
      </c>
      <c r="N9" s="129">
        <v>28995.59</v>
      </c>
      <c r="O9" s="129">
        <v>12588.12</v>
      </c>
      <c r="P9" s="124">
        <f t="shared" si="12"/>
        <v>33739.934999999998</v>
      </c>
      <c r="Q9" s="126">
        <f t="shared" si="5"/>
        <v>303659.41500000004</v>
      </c>
      <c r="R9" s="126">
        <f t="shared" si="6"/>
        <v>124857.58499999996</v>
      </c>
      <c r="S9" s="126">
        <f t="shared" si="7"/>
        <v>41619.199999999997</v>
      </c>
      <c r="T9" s="129">
        <v>10823.81</v>
      </c>
      <c r="U9" s="129">
        <f>MIN($C9,$S9)</f>
        <v>35709.75</v>
      </c>
      <c r="V9" s="129">
        <v>10823.81</v>
      </c>
      <c r="W9" s="129">
        <f>MIN($C9,$S9)</f>
        <v>35709.75</v>
      </c>
      <c r="X9" s="129">
        <v>49000</v>
      </c>
      <c r="Y9" s="129">
        <f t="shared" si="8"/>
        <v>120419.5</v>
      </c>
      <c r="Z9" s="129">
        <f t="shared" si="9"/>
        <v>206563.21000000002</v>
      </c>
      <c r="AA9" s="129">
        <f t="shared" si="10"/>
        <v>-56822.42</v>
      </c>
      <c r="AB9" s="129">
        <f t="shared" si="11"/>
        <v>424078.91500000004</v>
      </c>
      <c r="AC9" s="129"/>
      <c r="AD9" s="131"/>
      <c r="AE9" s="161">
        <v>371695</v>
      </c>
    </row>
    <row r="10" spans="1:31" x14ac:dyDescent="0.25">
      <c r="A10" s="123" t="s">
        <v>40</v>
      </c>
      <c r="B10" s="155">
        <v>3564967</v>
      </c>
      <c r="C10" s="124">
        <f t="shared" si="0"/>
        <v>297080.58333333331</v>
      </c>
      <c r="D10" s="124">
        <v>1985466.6500000001</v>
      </c>
      <c r="E10" s="124">
        <v>126164</v>
      </c>
      <c r="F10" s="124">
        <v>1633248.4800000002</v>
      </c>
      <c r="G10" s="124">
        <f t="shared" si="1"/>
        <v>281000.60625000001</v>
      </c>
      <c r="H10" s="125">
        <f t="shared" si="2"/>
        <v>0.94587334889775987</v>
      </c>
      <c r="I10" s="124">
        <f t="shared" si="3"/>
        <v>1316962.1499999997</v>
      </c>
      <c r="J10" s="124">
        <f t="shared" si="4"/>
        <v>329240.53749999992</v>
      </c>
      <c r="K10" s="124">
        <v>162233.31</v>
      </c>
      <c r="L10" s="124">
        <v>271264.15000000002</v>
      </c>
      <c r="M10" s="124">
        <v>190708.24999999997</v>
      </c>
      <c r="N10" s="124">
        <v>343492.22</v>
      </c>
      <c r="O10" s="124">
        <v>230805.62</v>
      </c>
      <c r="P10" s="124">
        <f t="shared" si="12"/>
        <v>281000.60625000001</v>
      </c>
      <c r="Q10" s="126">
        <f t="shared" si="5"/>
        <v>2529005.4562500003</v>
      </c>
      <c r="R10" s="126">
        <f t="shared" si="6"/>
        <v>1035961.5437499997</v>
      </c>
      <c r="S10" s="126">
        <f t="shared" si="7"/>
        <v>345320.51</v>
      </c>
      <c r="T10" s="124">
        <v>207766.92</v>
      </c>
      <c r="U10" s="124">
        <f>MIN($C10,$S10)</f>
        <v>297080.58333333331</v>
      </c>
      <c r="V10" s="124">
        <v>207766.92</v>
      </c>
      <c r="W10" s="124">
        <f>MIN($C10,$S10)</f>
        <v>297080.58333333331</v>
      </c>
      <c r="X10" s="124">
        <f>MIN($C10,$S10)</f>
        <v>297080.58333333331</v>
      </c>
      <c r="Y10" s="124">
        <f t="shared" si="8"/>
        <v>891241.75</v>
      </c>
      <c r="Z10" s="124">
        <f t="shared" si="9"/>
        <v>3110911.67</v>
      </c>
      <c r="AA10" s="124">
        <f t="shared" si="10"/>
        <v>-472723.48</v>
      </c>
      <c r="AB10" s="124">
        <f t="shared" si="11"/>
        <v>3420247.2062499998</v>
      </c>
      <c r="AC10" s="124"/>
      <c r="AD10" s="127"/>
      <c r="AE10" s="160">
        <v>3092243</v>
      </c>
    </row>
    <row r="11" spans="1:31" x14ac:dyDescent="0.25">
      <c r="A11" s="128" t="s">
        <v>33</v>
      </c>
      <c r="B11" s="156">
        <v>2977771</v>
      </c>
      <c r="C11" s="129">
        <f t="shared" si="0"/>
        <v>248147.58333333334</v>
      </c>
      <c r="D11" s="129">
        <v>1589787.9899999998</v>
      </c>
      <c r="E11" s="129">
        <v>105383</v>
      </c>
      <c r="F11" s="129">
        <v>1226764.8900000001</v>
      </c>
      <c r="G11" s="129">
        <f t="shared" si="1"/>
        <v>208999.82500000001</v>
      </c>
      <c r="H11" s="130">
        <f t="shared" si="2"/>
        <v>0.84224001778511515</v>
      </c>
      <c r="I11" s="129">
        <f t="shared" si="3"/>
        <v>1305772.3999999997</v>
      </c>
      <c r="J11" s="129">
        <f t="shared" si="4"/>
        <v>326443.09999999992</v>
      </c>
      <c r="K11" s="129">
        <v>136098.22000000003</v>
      </c>
      <c r="L11" s="129">
        <v>224837.64</v>
      </c>
      <c r="M11" s="129">
        <v>161766.82</v>
      </c>
      <c r="N11" s="129">
        <v>220396.07</v>
      </c>
      <c r="O11" s="129">
        <v>184811</v>
      </c>
      <c r="P11" s="129">
        <f t="shared" si="12"/>
        <v>208999.82500000001</v>
      </c>
      <c r="Q11" s="126">
        <f t="shared" si="5"/>
        <v>1880998.4250000003</v>
      </c>
      <c r="R11" s="126">
        <f t="shared" si="6"/>
        <v>1096772.5749999997</v>
      </c>
      <c r="S11" s="126">
        <f t="shared" si="7"/>
        <v>365590.86</v>
      </c>
      <c r="T11" s="129">
        <v>177565.47</v>
      </c>
      <c r="U11" s="129">
        <f>MIN($C11,$S11)</f>
        <v>248147.58333333334</v>
      </c>
      <c r="V11" s="129">
        <v>177565.47</v>
      </c>
      <c r="W11" s="129">
        <f>MIN($C11,$S11)</f>
        <v>248147.58333333334</v>
      </c>
      <c r="X11" s="129">
        <f>MIN($C11,$S11)</f>
        <v>248147.58333333334</v>
      </c>
      <c r="Y11" s="129">
        <f t="shared" si="8"/>
        <v>744442.75</v>
      </c>
      <c r="Z11" s="129">
        <f t="shared" si="9"/>
        <v>2532977.9699999997</v>
      </c>
      <c r="AA11" s="129">
        <f t="shared" si="10"/>
        <v>-394859.84</v>
      </c>
      <c r="AB11" s="129">
        <f t="shared" si="11"/>
        <v>2625441.1750000003</v>
      </c>
      <c r="AC11" s="129"/>
      <c r="AD11" s="131"/>
      <c r="AE11" s="161">
        <v>2582911</v>
      </c>
    </row>
    <row r="12" spans="1:31" x14ac:dyDescent="0.25">
      <c r="A12" s="123" t="s">
        <v>41</v>
      </c>
      <c r="B12" s="155">
        <v>3675597</v>
      </c>
      <c r="C12" s="124">
        <f t="shared" si="0"/>
        <v>306299.75</v>
      </c>
      <c r="D12" s="124">
        <v>2299168.63</v>
      </c>
      <c r="E12" s="124">
        <v>130080</v>
      </c>
      <c r="F12" s="124">
        <v>1513197.3</v>
      </c>
      <c r="G12" s="124">
        <f t="shared" si="1"/>
        <v>272592.94750000001</v>
      </c>
      <c r="H12" s="125">
        <f t="shared" si="2"/>
        <v>0.8899548481511983</v>
      </c>
      <c r="I12" s="124">
        <f t="shared" si="3"/>
        <v>1494853.4200000002</v>
      </c>
      <c r="J12" s="124">
        <f t="shared" si="4"/>
        <v>373713.35500000004</v>
      </c>
      <c r="K12" s="124">
        <v>224549.15</v>
      </c>
      <c r="L12" s="124">
        <v>391007.5</v>
      </c>
      <c r="M12" s="124">
        <v>221632.13999999998</v>
      </c>
      <c r="N12" s="124">
        <v>276538.78000000003</v>
      </c>
      <c r="O12" s="124">
        <v>280000</v>
      </c>
      <c r="P12" s="129">
        <f t="shared" si="12"/>
        <v>272592.94750000001</v>
      </c>
      <c r="Q12" s="126">
        <f t="shared" si="5"/>
        <v>2453336.5274999999</v>
      </c>
      <c r="R12" s="126">
        <f t="shared" si="6"/>
        <v>1222260.4725000001</v>
      </c>
      <c r="S12" s="126">
        <f t="shared" si="7"/>
        <v>407420.15999999997</v>
      </c>
      <c r="T12" s="124">
        <v>280000</v>
      </c>
      <c r="U12" s="124">
        <v>270000</v>
      </c>
      <c r="V12" s="124">
        <v>280000</v>
      </c>
      <c r="W12" s="124">
        <v>270000</v>
      </c>
      <c r="X12" s="124">
        <v>450000</v>
      </c>
      <c r="Y12" s="124">
        <f t="shared" si="8"/>
        <v>990000</v>
      </c>
      <c r="Z12" s="124">
        <f t="shared" si="9"/>
        <v>3715429.92</v>
      </c>
      <c r="AA12" s="124">
        <f t="shared" si="10"/>
        <v>-487393.3</v>
      </c>
      <c r="AB12" s="124">
        <f t="shared" si="11"/>
        <v>3443336.5274999999</v>
      </c>
      <c r="AC12" s="124"/>
      <c r="AD12" s="127"/>
      <c r="AE12" s="160">
        <v>3188203</v>
      </c>
    </row>
    <row r="13" spans="1:31" x14ac:dyDescent="0.25">
      <c r="A13" s="128" t="s">
        <v>50</v>
      </c>
      <c r="B13" s="156">
        <v>6528308</v>
      </c>
      <c r="C13" s="129">
        <f t="shared" si="0"/>
        <v>544025.66666666663</v>
      </c>
      <c r="D13" s="129">
        <v>4121452.0999999996</v>
      </c>
      <c r="E13" s="129">
        <v>231036</v>
      </c>
      <c r="F13" s="129">
        <v>2606872.92</v>
      </c>
      <c r="G13" s="129">
        <f t="shared" si="1"/>
        <v>455758.13124999998</v>
      </c>
      <c r="H13" s="130">
        <f t="shared" si="2"/>
        <v>0.83775115619544915</v>
      </c>
      <c r="I13" s="129">
        <f t="shared" si="3"/>
        <v>2882242.95</v>
      </c>
      <c r="J13" s="129">
        <f t="shared" si="4"/>
        <v>720560.73750000005</v>
      </c>
      <c r="K13" s="129">
        <v>339170.81999999995</v>
      </c>
      <c r="L13" s="129">
        <v>604711.79</v>
      </c>
      <c r="M13" s="129">
        <v>387781.18000000005</v>
      </c>
      <c r="N13" s="129">
        <v>434480.34</v>
      </c>
      <c r="O13" s="129">
        <v>483309.76</v>
      </c>
      <c r="P13" s="129">
        <f t="shared" si="12"/>
        <v>455758.13124999998</v>
      </c>
      <c r="Q13" s="126">
        <f t="shared" si="5"/>
        <v>4101823.1812499999</v>
      </c>
      <c r="R13" s="126">
        <f t="shared" si="6"/>
        <v>2426484.8187500001</v>
      </c>
      <c r="S13" s="126">
        <f t="shared" si="7"/>
        <v>808828.27</v>
      </c>
      <c r="T13" s="129">
        <v>496228.15</v>
      </c>
      <c r="U13" s="129">
        <f t="shared" ref="U13:U30" si="13">MIN($C13,$S13)</f>
        <v>544025.66666666663</v>
      </c>
      <c r="V13" s="129">
        <v>496228.15</v>
      </c>
      <c r="W13" s="129">
        <f t="shared" ref="W13:X30" si="14">MIN($C13,$S13)</f>
        <v>544025.66666666663</v>
      </c>
      <c r="X13" s="129">
        <f t="shared" si="14"/>
        <v>544025.66666666663</v>
      </c>
      <c r="Y13" s="129">
        <f t="shared" si="8"/>
        <v>1632077</v>
      </c>
      <c r="Z13" s="129">
        <f t="shared" si="9"/>
        <v>6555206.1600000001</v>
      </c>
      <c r="AA13" s="129">
        <f t="shared" si="10"/>
        <v>-865669.87</v>
      </c>
      <c r="AB13" s="129">
        <f t="shared" si="11"/>
        <v>5733900.1812500004</v>
      </c>
      <c r="AC13" s="129"/>
      <c r="AD13" s="131"/>
      <c r="AE13" s="161">
        <v>5662638</v>
      </c>
    </row>
    <row r="14" spans="1:31" x14ac:dyDescent="0.25">
      <c r="A14" s="123" t="s">
        <v>28</v>
      </c>
      <c r="B14" s="155">
        <v>1510013</v>
      </c>
      <c r="C14" s="124">
        <f t="shared" si="0"/>
        <v>125834.41666666667</v>
      </c>
      <c r="D14" s="124">
        <v>835972.02</v>
      </c>
      <c r="E14" s="124">
        <v>53439</v>
      </c>
      <c r="F14" s="124">
        <v>660949.51</v>
      </c>
      <c r="G14" s="124">
        <f t="shared" si="1"/>
        <v>107489.84875</v>
      </c>
      <c r="H14" s="125">
        <f t="shared" si="2"/>
        <v>0.85421660939342903</v>
      </c>
      <c r="I14" s="124">
        <f t="shared" si="3"/>
        <v>650094.21</v>
      </c>
      <c r="J14" s="124">
        <f t="shared" si="4"/>
        <v>162523.55249999999</v>
      </c>
      <c r="K14" s="124">
        <v>63383.78</v>
      </c>
      <c r="L14" s="124">
        <v>98622.49</v>
      </c>
      <c r="M14" s="124">
        <v>81749.110000000015</v>
      </c>
      <c r="N14" s="124">
        <v>100346.79</v>
      </c>
      <c r="O14" s="124">
        <v>64096.21</v>
      </c>
      <c r="P14" s="124">
        <f t="shared" si="12"/>
        <v>107489.84875</v>
      </c>
      <c r="Q14" s="126">
        <f t="shared" si="5"/>
        <v>967408.63874999993</v>
      </c>
      <c r="R14" s="126">
        <f t="shared" si="6"/>
        <v>542604.36125000007</v>
      </c>
      <c r="S14" s="126">
        <f t="shared" si="7"/>
        <v>180868.12</v>
      </c>
      <c r="T14" s="124">
        <v>99164.63</v>
      </c>
      <c r="U14" s="124">
        <f t="shared" si="13"/>
        <v>125834.41666666667</v>
      </c>
      <c r="V14" s="124">
        <v>99164.63</v>
      </c>
      <c r="W14" s="124">
        <f t="shared" si="14"/>
        <v>125834.41666666667</v>
      </c>
      <c r="X14" s="124">
        <f t="shared" si="14"/>
        <v>125834.41666666667</v>
      </c>
      <c r="Y14" s="124">
        <f t="shared" si="8"/>
        <v>377503.25</v>
      </c>
      <c r="Z14" s="124">
        <f t="shared" si="9"/>
        <v>1296969.3800000001</v>
      </c>
      <c r="AA14" s="124">
        <f t="shared" si="10"/>
        <v>-200231.48</v>
      </c>
      <c r="AB14" s="124">
        <f t="shared" si="11"/>
        <v>1344911.8887499999</v>
      </c>
      <c r="AC14" s="124"/>
      <c r="AD14" s="127"/>
      <c r="AE14" s="160">
        <v>1309782</v>
      </c>
    </row>
    <row r="15" spans="1:31" x14ac:dyDescent="0.25">
      <c r="A15" s="128" t="s">
        <v>17</v>
      </c>
      <c r="B15" s="156">
        <v>762973</v>
      </c>
      <c r="C15" s="129">
        <f t="shared" si="0"/>
        <v>63581.083333333336</v>
      </c>
      <c r="D15" s="129">
        <v>330493.32</v>
      </c>
      <c r="E15" s="129">
        <v>27002</v>
      </c>
      <c r="F15" s="129">
        <v>413710.75</v>
      </c>
      <c r="G15" s="129">
        <f t="shared" si="1"/>
        <v>66446.45</v>
      </c>
      <c r="H15" s="130">
        <f t="shared" si="2"/>
        <v>1.0450663391758293</v>
      </c>
      <c r="I15" s="129">
        <f t="shared" si="3"/>
        <v>231401.40000000002</v>
      </c>
      <c r="J15" s="129">
        <f t="shared" si="4"/>
        <v>57850.350000000006</v>
      </c>
      <c r="K15" s="129">
        <v>31989.98</v>
      </c>
      <c r="L15" s="129">
        <v>53851.35</v>
      </c>
      <c r="M15" s="129">
        <v>25505.309999999994</v>
      </c>
      <c r="N15" s="129">
        <v>64009.5</v>
      </c>
      <c r="O15" s="129">
        <v>45995.5</v>
      </c>
      <c r="P15" s="129">
        <f t="shared" si="12"/>
        <v>57850.350000000006</v>
      </c>
      <c r="Q15" s="126">
        <f t="shared" si="5"/>
        <v>589421.94999999995</v>
      </c>
      <c r="R15" s="126">
        <f t="shared" si="6"/>
        <v>173551.05000000005</v>
      </c>
      <c r="S15" s="126">
        <f t="shared" si="7"/>
        <v>57850.35</v>
      </c>
      <c r="T15" s="129">
        <v>39862.58</v>
      </c>
      <c r="U15" s="129">
        <f t="shared" si="13"/>
        <v>57850.35</v>
      </c>
      <c r="V15" s="129">
        <v>39862.58</v>
      </c>
      <c r="W15" s="129">
        <f t="shared" si="14"/>
        <v>57850.35</v>
      </c>
      <c r="X15" s="129">
        <f t="shared" si="14"/>
        <v>57850.35</v>
      </c>
      <c r="Y15" s="129">
        <f t="shared" si="8"/>
        <v>173551.05</v>
      </c>
      <c r="Z15" s="129">
        <f t="shared" si="9"/>
        <v>540711.27</v>
      </c>
      <c r="AA15" s="129">
        <f t="shared" si="10"/>
        <v>-101172.12</v>
      </c>
      <c r="AB15" s="129">
        <f t="shared" si="11"/>
        <v>762973</v>
      </c>
      <c r="AC15" s="129"/>
      <c r="AD15" s="131"/>
      <c r="AE15" s="161">
        <v>661801</v>
      </c>
    </row>
    <row r="16" spans="1:31" x14ac:dyDescent="0.25">
      <c r="A16" s="123" t="s">
        <v>8</v>
      </c>
      <c r="B16" s="155">
        <v>465241</v>
      </c>
      <c r="C16" s="124">
        <f t="shared" si="0"/>
        <v>38770.083333333336</v>
      </c>
      <c r="D16" s="124">
        <v>162479.15</v>
      </c>
      <c r="E16" s="124">
        <v>16464</v>
      </c>
      <c r="F16" s="124">
        <v>157658.37</v>
      </c>
      <c r="G16" s="124">
        <f t="shared" si="1"/>
        <v>26276.394999999997</v>
      </c>
      <c r="H16" s="125">
        <f t="shared" si="2"/>
        <v>0.67774925253793183</v>
      </c>
      <c r="I16" s="124">
        <f t="shared" si="3"/>
        <v>255029.84</v>
      </c>
      <c r="J16" s="124">
        <f t="shared" si="4"/>
        <v>63757.46</v>
      </c>
      <c r="K16" s="124">
        <v>25741</v>
      </c>
      <c r="L16" s="124">
        <v>26276.395</v>
      </c>
      <c r="M16" s="124">
        <v>12000</v>
      </c>
      <c r="N16" s="124">
        <v>26276.394999999997</v>
      </c>
      <c r="O16" s="124">
        <v>12000</v>
      </c>
      <c r="P16" s="124">
        <f t="shared" si="12"/>
        <v>26276.394999999997</v>
      </c>
      <c r="Q16" s="126">
        <f t="shared" si="5"/>
        <v>236487.55499999999</v>
      </c>
      <c r="R16" s="126">
        <f t="shared" si="6"/>
        <v>228753.44500000001</v>
      </c>
      <c r="S16" s="126">
        <f t="shared" si="7"/>
        <v>76251.149999999994</v>
      </c>
      <c r="T16" s="124">
        <v>21231.24</v>
      </c>
      <c r="U16" s="124">
        <f t="shared" si="13"/>
        <v>38770.083333333336</v>
      </c>
      <c r="V16" s="124">
        <v>21231.24</v>
      </c>
      <c r="W16" s="124">
        <f t="shared" si="14"/>
        <v>38770.083333333336</v>
      </c>
      <c r="X16" s="124">
        <f t="shared" si="14"/>
        <v>38770.083333333336</v>
      </c>
      <c r="Y16" s="124">
        <f t="shared" si="8"/>
        <v>116310.25</v>
      </c>
      <c r="Z16" s="124">
        <f t="shared" si="9"/>
        <v>271146.63</v>
      </c>
      <c r="AA16" s="124">
        <f t="shared" si="10"/>
        <v>-61692.11</v>
      </c>
      <c r="AB16" s="124">
        <f t="shared" si="11"/>
        <v>352797.80499999993</v>
      </c>
      <c r="AC16" s="124"/>
      <c r="AD16" s="127"/>
      <c r="AE16" s="160">
        <v>403549</v>
      </c>
    </row>
    <row r="17" spans="1:31" x14ac:dyDescent="0.25">
      <c r="A17" s="128" t="s">
        <v>62</v>
      </c>
      <c r="B17" s="156">
        <v>19487703</v>
      </c>
      <c r="C17" s="129">
        <f t="shared" si="0"/>
        <v>1623975.25</v>
      </c>
      <c r="D17" s="129">
        <v>11760243.18</v>
      </c>
      <c r="E17" s="129">
        <v>689668</v>
      </c>
      <c r="F17" s="129">
        <v>8216144.04</v>
      </c>
      <c r="G17" s="129">
        <f t="shared" si="1"/>
        <v>1470069.3162499999</v>
      </c>
      <c r="H17" s="130">
        <f t="shared" si="2"/>
        <v>0.90522889203514645</v>
      </c>
      <c r="I17" s="129">
        <f t="shared" si="3"/>
        <v>7727148.4700000007</v>
      </c>
      <c r="J17" s="129">
        <f t="shared" si="4"/>
        <v>1931787.1175000002</v>
      </c>
      <c r="K17" s="129">
        <v>951641.37000000011</v>
      </c>
      <c r="L17" s="129">
        <v>1446561.77</v>
      </c>
      <c r="M17" s="129">
        <v>781095.68000000017</v>
      </c>
      <c r="N17" s="129">
        <v>2097848.7200000002</v>
      </c>
      <c r="O17" s="129">
        <v>852653.34</v>
      </c>
      <c r="P17" s="129">
        <f t="shared" si="12"/>
        <v>1470069.3162499999</v>
      </c>
      <c r="Q17" s="126">
        <f t="shared" si="5"/>
        <v>13230623.846250001</v>
      </c>
      <c r="R17" s="126">
        <f t="shared" si="6"/>
        <v>6257079.1537499987</v>
      </c>
      <c r="S17" s="126">
        <f t="shared" si="7"/>
        <v>2085693.05</v>
      </c>
      <c r="T17" s="129">
        <v>1129366.99</v>
      </c>
      <c r="U17" s="129">
        <f t="shared" si="13"/>
        <v>1623975.25</v>
      </c>
      <c r="V17" s="129">
        <v>1129366.99</v>
      </c>
      <c r="W17" s="129">
        <f t="shared" si="14"/>
        <v>1623975.25</v>
      </c>
      <c r="X17" s="129">
        <f t="shared" si="14"/>
        <v>1623975.25</v>
      </c>
      <c r="Y17" s="129">
        <f t="shared" si="8"/>
        <v>4871925.75</v>
      </c>
      <c r="Z17" s="129">
        <f t="shared" si="9"/>
        <v>17294035.550000001</v>
      </c>
      <c r="AA17" s="129">
        <f t="shared" si="10"/>
        <v>-2584117.85</v>
      </c>
      <c r="AB17" s="129">
        <f t="shared" si="11"/>
        <v>18102549.596250001</v>
      </c>
      <c r="AC17" s="129"/>
      <c r="AD17" s="131"/>
      <c r="AE17" s="161">
        <v>16903585</v>
      </c>
    </row>
    <row r="18" spans="1:31" x14ac:dyDescent="0.25">
      <c r="A18" s="123" t="s">
        <v>51</v>
      </c>
      <c r="B18" s="155">
        <v>6926892</v>
      </c>
      <c r="C18" s="124">
        <f t="shared" si="0"/>
        <v>577241</v>
      </c>
      <c r="D18" s="124">
        <v>3608813.35</v>
      </c>
      <c r="E18" s="124">
        <v>245142</v>
      </c>
      <c r="F18" s="124">
        <v>2518863.3699999996</v>
      </c>
      <c r="G18" s="124">
        <f t="shared" si="1"/>
        <v>450836.45124999993</v>
      </c>
      <c r="H18" s="125">
        <f t="shared" si="2"/>
        <v>0.78101945504563941</v>
      </c>
      <c r="I18" s="124">
        <f t="shared" si="3"/>
        <v>3320200.3900000011</v>
      </c>
      <c r="J18" s="124">
        <f t="shared" si="4"/>
        <v>830050.09750000027</v>
      </c>
      <c r="K18" s="124">
        <v>301336.23</v>
      </c>
      <c r="L18" s="124">
        <v>489777.9</v>
      </c>
      <c r="M18" s="124">
        <v>333809.42000000004</v>
      </c>
      <c r="N18" s="124">
        <v>598050.34</v>
      </c>
      <c r="O18" s="124">
        <v>391587.34</v>
      </c>
      <c r="P18" s="124">
        <f t="shared" si="12"/>
        <v>450836.45124999993</v>
      </c>
      <c r="Q18" s="126">
        <f t="shared" si="5"/>
        <v>4057528.0612499993</v>
      </c>
      <c r="R18" s="126">
        <f t="shared" si="6"/>
        <v>2869363.9387500007</v>
      </c>
      <c r="S18" s="126">
        <f t="shared" si="7"/>
        <v>956454.65</v>
      </c>
      <c r="T18" s="124">
        <v>404029.12</v>
      </c>
      <c r="U18" s="124">
        <f t="shared" si="13"/>
        <v>577241</v>
      </c>
      <c r="V18" s="124">
        <v>404029.12</v>
      </c>
      <c r="W18" s="124">
        <f t="shared" si="14"/>
        <v>577241</v>
      </c>
      <c r="X18" s="124">
        <f t="shared" si="14"/>
        <v>577241</v>
      </c>
      <c r="Y18" s="124">
        <f t="shared" si="8"/>
        <v>1731723</v>
      </c>
      <c r="Z18" s="124">
        <f t="shared" si="9"/>
        <v>5688746.5800000001</v>
      </c>
      <c r="AA18" s="124">
        <f t="shared" si="10"/>
        <v>-918523.1</v>
      </c>
      <c r="AB18" s="124">
        <f t="shared" si="11"/>
        <v>5789251.0612499993</v>
      </c>
      <c r="AC18" s="124"/>
      <c r="AD18" s="127"/>
      <c r="AE18" s="160">
        <v>6008368</v>
      </c>
    </row>
    <row r="19" spans="1:31" x14ac:dyDescent="0.25">
      <c r="A19" s="128" t="s">
        <v>34</v>
      </c>
      <c r="B19" s="156">
        <v>1823431</v>
      </c>
      <c r="C19" s="129">
        <f t="shared" si="0"/>
        <v>151952.58333333334</v>
      </c>
      <c r="D19" s="129">
        <v>1064627.3399999999</v>
      </c>
      <c r="E19" s="129">
        <v>64531</v>
      </c>
      <c r="F19" s="129">
        <v>831086.61</v>
      </c>
      <c r="G19" s="129">
        <f t="shared" si="1"/>
        <v>136690.28</v>
      </c>
      <c r="H19" s="130">
        <f t="shared" si="2"/>
        <v>0.89955877683334318</v>
      </c>
      <c r="I19" s="129">
        <f t="shared" si="3"/>
        <v>729908.76</v>
      </c>
      <c r="J19" s="129">
        <f t="shared" si="4"/>
        <v>182477.19</v>
      </c>
      <c r="K19" s="129">
        <v>87038.33</v>
      </c>
      <c r="L19" s="129">
        <v>122032.46</v>
      </c>
      <c r="M19" s="129">
        <v>108718.05</v>
      </c>
      <c r="N19" s="129">
        <v>140403.17000000001</v>
      </c>
      <c r="O19" s="129">
        <v>102267.56</v>
      </c>
      <c r="P19" s="129">
        <f t="shared" si="12"/>
        <v>136690.28</v>
      </c>
      <c r="Q19" s="126">
        <f t="shared" si="5"/>
        <v>1230212.52</v>
      </c>
      <c r="R19" s="126">
        <f t="shared" si="6"/>
        <v>593218.48</v>
      </c>
      <c r="S19" s="126">
        <f t="shared" si="7"/>
        <v>197739.49</v>
      </c>
      <c r="T19" s="129">
        <v>104080.74</v>
      </c>
      <c r="U19" s="129">
        <f t="shared" si="13"/>
        <v>151952.58333333334</v>
      </c>
      <c r="V19" s="129">
        <v>104080.74</v>
      </c>
      <c r="W19" s="129">
        <f t="shared" si="14"/>
        <v>151952.58333333334</v>
      </c>
      <c r="X19" s="129">
        <f t="shared" si="14"/>
        <v>151952.58333333334</v>
      </c>
      <c r="Y19" s="129">
        <f t="shared" si="8"/>
        <v>455857.75</v>
      </c>
      <c r="Z19" s="129">
        <f t="shared" si="9"/>
        <v>1635343.7599999998</v>
      </c>
      <c r="AA19" s="129">
        <f t="shared" si="10"/>
        <v>-241791.48</v>
      </c>
      <c r="AB19" s="129">
        <f t="shared" si="11"/>
        <v>1686070.27</v>
      </c>
      <c r="AC19" s="129"/>
      <c r="AD19" s="131"/>
      <c r="AE19" s="161">
        <v>1581640</v>
      </c>
    </row>
    <row r="20" spans="1:31" x14ac:dyDescent="0.25">
      <c r="A20" s="123" t="s">
        <v>3</v>
      </c>
      <c r="B20" s="155">
        <v>620259</v>
      </c>
      <c r="C20" s="124">
        <f t="shared" si="0"/>
        <v>51688.25</v>
      </c>
      <c r="D20" s="124">
        <v>99835.390000000014</v>
      </c>
      <c r="E20" s="124">
        <v>21951</v>
      </c>
      <c r="F20" s="124">
        <v>303471.31</v>
      </c>
      <c r="G20" s="124">
        <f t="shared" si="1"/>
        <v>49862.642500000002</v>
      </c>
      <c r="H20" s="125">
        <f t="shared" si="2"/>
        <v>0.96468041576180275</v>
      </c>
      <c r="I20" s="124">
        <f t="shared" si="3"/>
        <v>221357.86000000002</v>
      </c>
      <c r="J20" s="124">
        <f t="shared" si="4"/>
        <v>55339.465000000004</v>
      </c>
      <c r="K20" s="124">
        <v>9971.6099999999988</v>
      </c>
      <c r="L20" s="124">
        <v>50117.81</v>
      </c>
      <c r="M20" s="124">
        <v>10457.469999999999</v>
      </c>
      <c r="N20" s="124">
        <v>45312.02</v>
      </c>
      <c r="O20" s="124">
        <v>15927.4</v>
      </c>
      <c r="P20" s="124">
        <f t="shared" si="12"/>
        <v>49862.642500000002</v>
      </c>
      <c r="Q20" s="126">
        <f t="shared" si="5"/>
        <v>448763.78249999997</v>
      </c>
      <c r="R20" s="126">
        <f t="shared" si="6"/>
        <v>171495.21750000003</v>
      </c>
      <c r="S20" s="126">
        <f t="shared" si="7"/>
        <v>57165.07</v>
      </c>
      <c r="T20" s="124">
        <v>18371.88</v>
      </c>
      <c r="U20" s="124">
        <f t="shared" si="13"/>
        <v>51688.25</v>
      </c>
      <c r="V20" s="124">
        <v>18371.88</v>
      </c>
      <c r="W20" s="124">
        <f t="shared" si="14"/>
        <v>51688.25</v>
      </c>
      <c r="X20" s="124">
        <f t="shared" si="14"/>
        <v>51688.25</v>
      </c>
      <c r="Y20" s="124">
        <f t="shared" si="8"/>
        <v>155064.75</v>
      </c>
      <c r="Z20" s="124">
        <f t="shared" si="9"/>
        <v>194886.63</v>
      </c>
      <c r="AA20" s="124">
        <f t="shared" si="10"/>
        <v>-82247.88</v>
      </c>
      <c r="AB20" s="124">
        <f t="shared" si="11"/>
        <v>603828.53249999997</v>
      </c>
      <c r="AC20" s="124"/>
      <c r="AD20" s="127"/>
      <c r="AE20" s="160">
        <v>538012</v>
      </c>
    </row>
    <row r="21" spans="1:31" x14ac:dyDescent="0.25">
      <c r="A21" s="128" t="s">
        <v>22</v>
      </c>
      <c r="B21" s="156">
        <v>1243932</v>
      </c>
      <c r="C21" s="129">
        <f t="shared" si="0"/>
        <v>103661</v>
      </c>
      <c r="D21" s="129">
        <v>411415.23000000004</v>
      </c>
      <c r="E21" s="129">
        <v>44023</v>
      </c>
      <c r="F21" s="129">
        <v>551768.1100000001</v>
      </c>
      <c r="G21" s="129">
        <f t="shared" si="1"/>
        <v>91863.775000000009</v>
      </c>
      <c r="H21" s="130">
        <f t="shared" si="2"/>
        <v>0.88619418103240377</v>
      </c>
      <c r="I21" s="129">
        <f t="shared" si="3"/>
        <v>509021.79999999993</v>
      </c>
      <c r="J21" s="129">
        <f t="shared" si="4"/>
        <v>127255.44999999998</v>
      </c>
      <c r="K21" s="129">
        <v>32739.449999999997</v>
      </c>
      <c r="L21" s="129">
        <v>89001.74</v>
      </c>
      <c r="M21" s="129">
        <v>41906.5</v>
      </c>
      <c r="N21" s="129">
        <v>94140.35</v>
      </c>
      <c r="O21" s="129">
        <v>46353.52</v>
      </c>
      <c r="P21" s="129">
        <f t="shared" si="12"/>
        <v>91863.775000000009</v>
      </c>
      <c r="Q21" s="126">
        <f t="shared" si="5"/>
        <v>826773.97500000009</v>
      </c>
      <c r="R21" s="126">
        <f t="shared" si="6"/>
        <v>417158.02499999991</v>
      </c>
      <c r="S21" s="126">
        <f t="shared" si="7"/>
        <v>139052.68</v>
      </c>
      <c r="T21" s="129">
        <v>59018.61</v>
      </c>
      <c r="U21" s="129">
        <f t="shared" si="13"/>
        <v>103661</v>
      </c>
      <c r="V21" s="129">
        <v>59018.61</v>
      </c>
      <c r="W21" s="129">
        <f t="shared" si="14"/>
        <v>103661</v>
      </c>
      <c r="X21" s="129">
        <f t="shared" si="14"/>
        <v>103661</v>
      </c>
      <c r="Y21" s="129">
        <f t="shared" si="8"/>
        <v>310983</v>
      </c>
      <c r="Z21" s="129">
        <f t="shared" si="9"/>
        <v>694474.92</v>
      </c>
      <c r="AA21" s="129">
        <f t="shared" si="10"/>
        <v>-164948.47</v>
      </c>
      <c r="AB21" s="129">
        <f t="shared" si="11"/>
        <v>1137756.9750000001</v>
      </c>
      <c r="AC21" s="129"/>
      <c r="AD21" s="131"/>
      <c r="AE21" s="161">
        <v>1078984</v>
      </c>
    </row>
    <row r="22" spans="1:31" x14ac:dyDescent="0.25">
      <c r="A22" s="123" t="s">
        <v>9</v>
      </c>
      <c r="B22" s="155">
        <v>512702</v>
      </c>
      <c r="C22" s="124">
        <f t="shared" si="0"/>
        <v>42725.166666666664</v>
      </c>
      <c r="D22" s="124">
        <v>140774.88</v>
      </c>
      <c r="E22" s="124">
        <v>18145</v>
      </c>
      <c r="F22" s="124">
        <v>241325.69</v>
      </c>
      <c r="G22" s="124">
        <f t="shared" si="1"/>
        <v>40576.191250000003</v>
      </c>
      <c r="H22" s="125">
        <f t="shared" si="2"/>
        <v>0.9497023514634233</v>
      </c>
      <c r="I22" s="124">
        <f t="shared" si="3"/>
        <v>188092.47</v>
      </c>
      <c r="J22" s="124">
        <f t="shared" si="4"/>
        <v>47023.1175</v>
      </c>
      <c r="K22" s="124">
        <v>11996.199999999999</v>
      </c>
      <c r="L22" s="124">
        <v>43981.5</v>
      </c>
      <c r="M22" s="124">
        <v>14525.769999999999</v>
      </c>
      <c r="N22" s="124">
        <v>39302.339999999997</v>
      </c>
      <c r="O22" s="124">
        <v>18569.580000000002</v>
      </c>
      <c r="P22" s="124">
        <f t="shared" si="12"/>
        <v>40576.191250000003</v>
      </c>
      <c r="Q22" s="126">
        <f t="shared" si="5"/>
        <v>365185.72125</v>
      </c>
      <c r="R22" s="126">
        <f t="shared" si="6"/>
        <v>147516.27875</v>
      </c>
      <c r="S22" s="126">
        <f t="shared" si="7"/>
        <v>49172.09</v>
      </c>
      <c r="T22" s="124">
        <v>16905.95</v>
      </c>
      <c r="U22" s="124">
        <f t="shared" si="13"/>
        <v>42725.166666666664</v>
      </c>
      <c r="V22" s="124">
        <v>16905.95</v>
      </c>
      <c r="W22" s="124">
        <f t="shared" si="14"/>
        <v>42725.166666666664</v>
      </c>
      <c r="X22" s="124">
        <f t="shared" si="14"/>
        <v>42725.166666666664</v>
      </c>
      <c r="Y22" s="124">
        <f t="shared" si="8"/>
        <v>128175.5</v>
      </c>
      <c r="Z22" s="124">
        <f t="shared" si="9"/>
        <v>237823.33000000002</v>
      </c>
      <c r="AA22" s="124">
        <f t="shared" si="10"/>
        <v>-67985.56</v>
      </c>
      <c r="AB22" s="124">
        <f t="shared" si="11"/>
        <v>493361.22125</v>
      </c>
      <c r="AC22" s="124"/>
      <c r="AD22" s="127"/>
      <c r="AE22" s="160">
        <v>444717</v>
      </c>
    </row>
    <row r="23" spans="1:31" x14ac:dyDescent="0.25">
      <c r="A23" s="128" t="s">
        <v>4</v>
      </c>
      <c r="B23" s="156">
        <v>504497</v>
      </c>
      <c r="C23" s="129">
        <f t="shared" si="0"/>
        <v>42041.416666666664</v>
      </c>
      <c r="D23" s="129">
        <v>309278.01999999996</v>
      </c>
      <c r="E23" s="129">
        <v>17854</v>
      </c>
      <c r="F23" s="129">
        <v>227225.93</v>
      </c>
      <c r="G23" s="129">
        <f t="shared" si="1"/>
        <v>36040.89875</v>
      </c>
      <c r="H23" s="130">
        <f t="shared" si="2"/>
        <v>0.8572712721780309</v>
      </c>
      <c r="I23" s="129">
        <f t="shared" si="3"/>
        <v>216169.81</v>
      </c>
      <c r="J23" s="129">
        <f t="shared" si="4"/>
        <v>54042.452499999999</v>
      </c>
      <c r="K23" s="129">
        <v>43183.439999999995</v>
      </c>
      <c r="L23" s="129">
        <v>32306.43</v>
      </c>
      <c r="M23" s="129">
        <v>42695.53</v>
      </c>
      <c r="N23" s="129">
        <v>28794.83</v>
      </c>
      <c r="O23" s="129">
        <v>19521</v>
      </c>
      <c r="P23" s="129">
        <f t="shared" si="12"/>
        <v>36040.89875</v>
      </c>
      <c r="Q23" s="126">
        <f t="shared" si="5"/>
        <v>324368.08875</v>
      </c>
      <c r="R23" s="126">
        <f t="shared" si="6"/>
        <v>180128.91125</v>
      </c>
      <c r="S23" s="126">
        <f t="shared" si="7"/>
        <v>60042.97</v>
      </c>
      <c r="T23" s="129">
        <v>35041.29</v>
      </c>
      <c r="U23" s="129">
        <f t="shared" si="13"/>
        <v>42041.416666666664</v>
      </c>
      <c r="V23" s="129">
        <v>35041.29</v>
      </c>
      <c r="W23" s="129">
        <f t="shared" si="14"/>
        <v>42041.416666666664</v>
      </c>
      <c r="X23" s="129">
        <f t="shared" si="14"/>
        <v>42041.416666666664</v>
      </c>
      <c r="Y23" s="129">
        <f t="shared" si="8"/>
        <v>126124.25</v>
      </c>
      <c r="Z23" s="129">
        <f t="shared" si="9"/>
        <v>502614.56999999995</v>
      </c>
      <c r="AA23" s="129">
        <f t="shared" si="10"/>
        <v>-66897.56</v>
      </c>
      <c r="AB23" s="129">
        <f t="shared" si="11"/>
        <v>450492.33875</v>
      </c>
      <c r="AC23" s="129"/>
      <c r="AD23" s="131"/>
      <c r="AE23" s="161">
        <v>437600</v>
      </c>
    </row>
    <row r="24" spans="1:31" x14ac:dyDescent="0.25">
      <c r="A24" s="123" t="s">
        <v>10</v>
      </c>
      <c r="B24" s="155">
        <v>470599</v>
      </c>
      <c r="C24" s="124">
        <f t="shared" si="0"/>
        <v>39216.583333333336</v>
      </c>
      <c r="D24" s="124">
        <v>143719.65999999997</v>
      </c>
      <c r="E24" s="124">
        <v>16654</v>
      </c>
      <c r="F24" s="124">
        <v>223331.20999999996</v>
      </c>
      <c r="G24" s="124">
        <f t="shared" si="1"/>
        <v>38434.806249999994</v>
      </c>
      <c r="H24" s="125">
        <f t="shared" si="2"/>
        <v>0.98006514038491344</v>
      </c>
      <c r="I24" s="124">
        <f t="shared" si="3"/>
        <v>163120.55000000005</v>
      </c>
      <c r="J24" s="124">
        <f t="shared" si="4"/>
        <v>40780.137500000012</v>
      </c>
      <c r="K24" s="124">
        <v>15524.32</v>
      </c>
      <c r="L24" s="124">
        <v>50286.09</v>
      </c>
      <c r="M24" s="124">
        <v>17325.32</v>
      </c>
      <c r="N24" s="124">
        <v>33861.15</v>
      </c>
      <c r="O24" s="124">
        <v>18621.82</v>
      </c>
      <c r="P24" s="124">
        <f t="shared" si="12"/>
        <v>38434.806249999994</v>
      </c>
      <c r="Q24" s="126">
        <f t="shared" si="5"/>
        <v>345913.25624999998</v>
      </c>
      <c r="R24" s="126">
        <f t="shared" si="6"/>
        <v>124685.74375000002</v>
      </c>
      <c r="S24" s="126">
        <f t="shared" si="7"/>
        <v>41561.910000000003</v>
      </c>
      <c r="T24" s="124">
        <v>16051.64</v>
      </c>
      <c r="U24" s="124">
        <f t="shared" si="13"/>
        <v>39216.583333333336</v>
      </c>
      <c r="V24" s="124">
        <v>16051.64</v>
      </c>
      <c r="W24" s="124">
        <f t="shared" si="14"/>
        <v>39216.583333333336</v>
      </c>
      <c r="X24" s="124">
        <f t="shared" si="14"/>
        <v>39216.583333333336</v>
      </c>
      <c r="Y24" s="124">
        <f t="shared" si="8"/>
        <v>117649.75</v>
      </c>
      <c r="Z24" s="124">
        <f t="shared" si="9"/>
        <v>243948.39999999997</v>
      </c>
      <c r="AA24" s="124">
        <f t="shared" si="10"/>
        <v>-62402.6</v>
      </c>
      <c r="AB24" s="124">
        <f t="shared" si="11"/>
        <v>463563.00624999998</v>
      </c>
      <c r="AC24" s="124"/>
      <c r="AD24" s="127"/>
      <c r="AE24" s="160">
        <v>408197</v>
      </c>
    </row>
    <row r="25" spans="1:31" x14ac:dyDescent="0.25">
      <c r="A25" s="128" t="s">
        <v>11</v>
      </c>
      <c r="B25" s="156">
        <v>498919</v>
      </c>
      <c r="C25" s="129">
        <f t="shared" si="0"/>
        <v>41576.583333333336</v>
      </c>
      <c r="D25" s="129">
        <v>264910.87</v>
      </c>
      <c r="E25" s="129">
        <v>17657</v>
      </c>
      <c r="F25" s="129">
        <v>259632.02000000002</v>
      </c>
      <c r="G25" s="129">
        <f t="shared" si="1"/>
        <v>43773.541250000002</v>
      </c>
      <c r="H25" s="130">
        <f t="shared" si="2"/>
        <v>1.052841232745195</v>
      </c>
      <c r="I25" s="129">
        <f t="shared" si="3"/>
        <v>148730.66999999998</v>
      </c>
      <c r="J25" s="129">
        <f t="shared" si="4"/>
        <v>37182.667499999996</v>
      </c>
      <c r="K25" s="129">
        <v>19921.220000000005</v>
      </c>
      <c r="L25" s="129">
        <v>37340.370000000003</v>
      </c>
      <c r="M25" s="129">
        <v>14417.870000000003</v>
      </c>
      <c r="N25" s="129">
        <v>53215.94</v>
      </c>
      <c r="O25" s="129">
        <v>27177.62</v>
      </c>
      <c r="P25" s="129">
        <f t="shared" si="12"/>
        <v>37182.667499999996</v>
      </c>
      <c r="Q25" s="126">
        <f t="shared" si="5"/>
        <v>387370.99750000006</v>
      </c>
      <c r="R25" s="126">
        <f t="shared" si="6"/>
        <v>111548.00249999994</v>
      </c>
      <c r="S25" s="126">
        <f t="shared" si="7"/>
        <v>37182.67</v>
      </c>
      <c r="T25" s="129">
        <v>28919.86</v>
      </c>
      <c r="U25" s="129">
        <f t="shared" si="13"/>
        <v>37182.67</v>
      </c>
      <c r="V25" s="129">
        <v>28919.86</v>
      </c>
      <c r="W25" s="129">
        <f t="shared" si="14"/>
        <v>37182.67</v>
      </c>
      <c r="X25" s="129">
        <f t="shared" si="14"/>
        <v>37182.67</v>
      </c>
      <c r="Y25" s="129">
        <f t="shared" si="8"/>
        <v>111548.01</v>
      </c>
      <c r="Z25" s="129">
        <f t="shared" si="9"/>
        <v>401924.3</v>
      </c>
      <c r="AA25" s="129">
        <f t="shared" si="10"/>
        <v>-66157.899999999994</v>
      </c>
      <c r="AB25" s="129">
        <f t="shared" si="11"/>
        <v>498919.00750000001</v>
      </c>
      <c r="AC25" s="129"/>
      <c r="AD25" s="131"/>
      <c r="AE25" s="161">
        <v>432762</v>
      </c>
    </row>
    <row r="26" spans="1:31" x14ac:dyDescent="0.25">
      <c r="A26" s="123" t="s">
        <v>18</v>
      </c>
      <c r="B26" s="155">
        <v>863252</v>
      </c>
      <c r="C26" s="124">
        <f t="shared" si="0"/>
        <v>71937.666666666672</v>
      </c>
      <c r="D26" s="124">
        <v>495751.29000000004</v>
      </c>
      <c r="E26" s="124">
        <v>30550</v>
      </c>
      <c r="F26" s="124">
        <v>369635.51</v>
      </c>
      <c r="G26" s="124">
        <f t="shared" si="1"/>
        <v>62168.404999999999</v>
      </c>
      <c r="H26" s="125">
        <f t="shared" si="2"/>
        <v>0.86419824106981502</v>
      </c>
      <c r="I26" s="124">
        <f t="shared" si="3"/>
        <v>365904.76</v>
      </c>
      <c r="J26" s="124">
        <f t="shared" si="4"/>
        <v>91476.19</v>
      </c>
      <c r="K26" s="124">
        <v>23968.43</v>
      </c>
      <c r="L26" s="124">
        <v>58107.22</v>
      </c>
      <c r="M26" s="124">
        <v>19606.740000000002</v>
      </c>
      <c r="N26" s="124">
        <v>69604.509999999995</v>
      </c>
      <c r="O26" s="124">
        <v>31104.959999999999</v>
      </c>
      <c r="P26" s="124">
        <f t="shared" si="12"/>
        <v>62168.404999999999</v>
      </c>
      <c r="Q26" s="126">
        <f t="shared" si="5"/>
        <v>559515.64500000002</v>
      </c>
      <c r="R26" s="126">
        <f t="shared" si="6"/>
        <v>303736.35499999998</v>
      </c>
      <c r="S26" s="126">
        <f t="shared" si="7"/>
        <v>101245.45</v>
      </c>
      <c r="T26" s="124">
        <v>35835.410000000003</v>
      </c>
      <c r="U26" s="124">
        <f t="shared" si="13"/>
        <v>71937.666666666672</v>
      </c>
      <c r="V26" s="124">
        <v>35835.410000000003</v>
      </c>
      <c r="W26" s="124">
        <f t="shared" si="14"/>
        <v>71937.666666666672</v>
      </c>
      <c r="X26" s="124">
        <f t="shared" si="14"/>
        <v>71937.666666666672</v>
      </c>
      <c r="Y26" s="124">
        <f t="shared" si="8"/>
        <v>215813</v>
      </c>
      <c r="Z26" s="124">
        <f t="shared" si="9"/>
        <v>672652.24</v>
      </c>
      <c r="AA26" s="124">
        <f t="shared" si="10"/>
        <v>-114469.36</v>
      </c>
      <c r="AB26" s="124">
        <f t="shared" si="11"/>
        <v>775328.64500000002</v>
      </c>
      <c r="AC26" s="124"/>
      <c r="AD26" s="127"/>
      <c r="AE26" s="160">
        <v>748783</v>
      </c>
    </row>
    <row r="27" spans="1:31" x14ac:dyDescent="0.25">
      <c r="A27" s="128" t="s">
        <v>23</v>
      </c>
      <c r="B27" s="156">
        <v>1197173</v>
      </c>
      <c r="C27" s="129">
        <f t="shared" si="0"/>
        <v>99764.416666666672</v>
      </c>
      <c r="D27" s="129">
        <v>523379.23999999993</v>
      </c>
      <c r="E27" s="129">
        <v>42368</v>
      </c>
      <c r="F27" s="129">
        <v>512300.14999999997</v>
      </c>
      <c r="G27" s="129">
        <f t="shared" si="1"/>
        <v>84337.231249999997</v>
      </c>
      <c r="H27" s="130">
        <f t="shared" si="2"/>
        <v>0.84536384883387772</v>
      </c>
      <c r="I27" s="129">
        <f t="shared" si="3"/>
        <v>522475.15</v>
      </c>
      <c r="J27" s="129">
        <f t="shared" si="4"/>
        <v>130618.78750000001</v>
      </c>
      <c r="K27" s="129">
        <v>77686.930000000008</v>
      </c>
      <c r="L27" s="129">
        <v>64025.8</v>
      </c>
      <c r="M27" s="129">
        <v>46677.369999999995</v>
      </c>
      <c r="N27" s="129">
        <v>98371.9</v>
      </c>
      <c r="O27" s="129">
        <v>54439.18</v>
      </c>
      <c r="P27" s="129">
        <f t="shared" si="12"/>
        <v>84337.231249999997</v>
      </c>
      <c r="Q27" s="126">
        <f t="shared" si="5"/>
        <v>759035.08124999993</v>
      </c>
      <c r="R27" s="126">
        <f t="shared" si="6"/>
        <v>438137.91875000007</v>
      </c>
      <c r="S27" s="126">
        <f t="shared" si="7"/>
        <v>146045.97</v>
      </c>
      <c r="T27" s="129">
        <v>57496.4</v>
      </c>
      <c r="U27" s="129">
        <f t="shared" si="13"/>
        <v>99764.416666666672</v>
      </c>
      <c r="V27" s="129">
        <v>57496.4</v>
      </c>
      <c r="W27" s="129">
        <f t="shared" si="14"/>
        <v>99764.416666666672</v>
      </c>
      <c r="X27" s="129">
        <f t="shared" si="14"/>
        <v>99764.416666666672</v>
      </c>
      <c r="Y27" s="129">
        <f t="shared" si="8"/>
        <v>299293.25</v>
      </c>
      <c r="Z27" s="129">
        <f t="shared" si="9"/>
        <v>859543.52</v>
      </c>
      <c r="AA27" s="129">
        <f t="shared" si="10"/>
        <v>-158748.12</v>
      </c>
      <c r="AB27" s="129">
        <f t="shared" si="11"/>
        <v>1058328.33125</v>
      </c>
      <c r="AC27" s="129"/>
      <c r="AD27" s="131"/>
      <c r="AE27" s="161">
        <v>1038425</v>
      </c>
    </row>
    <row r="28" spans="1:31" x14ac:dyDescent="0.25">
      <c r="A28" s="123" t="s">
        <v>42</v>
      </c>
      <c r="B28" s="155">
        <v>3415436</v>
      </c>
      <c r="C28" s="124">
        <f t="shared" si="0"/>
        <v>284619.66666666669</v>
      </c>
      <c r="D28" s="124">
        <v>2301451.2599999998</v>
      </c>
      <c r="E28" s="124">
        <v>120872</v>
      </c>
      <c r="F28" s="124">
        <v>1389848.52</v>
      </c>
      <c r="G28" s="124">
        <f t="shared" si="1"/>
        <v>240449.49</v>
      </c>
      <c r="H28" s="125">
        <f t="shared" si="2"/>
        <v>0.84480982223060241</v>
      </c>
      <c r="I28" s="124">
        <f t="shared" si="3"/>
        <v>1491840.08</v>
      </c>
      <c r="J28" s="124">
        <f t="shared" si="4"/>
        <v>372960.02</v>
      </c>
      <c r="K28" s="124">
        <v>208352.19</v>
      </c>
      <c r="L28" s="124">
        <v>312004.17</v>
      </c>
      <c r="M28" s="124">
        <v>242500.28999999995</v>
      </c>
      <c r="N28" s="124">
        <v>221743.23</v>
      </c>
      <c r="O28" s="124">
        <v>284489.3</v>
      </c>
      <c r="P28" s="124">
        <f t="shared" si="12"/>
        <v>240449.49</v>
      </c>
      <c r="Q28" s="126">
        <f t="shared" si="5"/>
        <v>2164045.41</v>
      </c>
      <c r="R28" s="126">
        <f t="shared" si="6"/>
        <v>1251390.5899999999</v>
      </c>
      <c r="S28" s="126">
        <f t="shared" si="7"/>
        <v>417130.2</v>
      </c>
      <c r="T28" s="124">
        <v>260864.45</v>
      </c>
      <c r="U28" s="124">
        <f t="shared" si="13"/>
        <v>284619.66666666669</v>
      </c>
      <c r="V28" s="124">
        <v>260864.45</v>
      </c>
      <c r="W28" s="124">
        <f t="shared" si="14"/>
        <v>284619.66666666669</v>
      </c>
      <c r="X28" s="124">
        <f t="shared" si="14"/>
        <v>284619.66666666669</v>
      </c>
      <c r="Y28" s="124">
        <f t="shared" si="8"/>
        <v>853859</v>
      </c>
      <c r="Z28" s="124">
        <f t="shared" si="9"/>
        <v>3679393.9399999995</v>
      </c>
      <c r="AA28" s="124">
        <f t="shared" si="10"/>
        <v>-452895.3</v>
      </c>
      <c r="AB28" s="124">
        <f t="shared" si="11"/>
        <v>3017904.41</v>
      </c>
      <c r="AC28" s="124"/>
      <c r="AD28" s="127"/>
      <c r="AE28" s="160">
        <v>2962540</v>
      </c>
    </row>
    <row r="29" spans="1:31" x14ac:dyDescent="0.25">
      <c r="A29" s="128" t="s">
        <v>29</v>
      </c>
      <c r="B29" s="156">
        <v>1872231</v>
      </c>
      <c r="C29" s="129">
        <f t="shared" si="0"/>
        <v>156019.25</v>
      </c>
      <c r="D29" s="129">
        <v>967494.54</v>
      </c>
      <c r="E29" s="129">
        <v>66258</v>
      </c>
      <c r="F29" s="129">
        <v>852691.91000000015</v>
      </c>
      <c r="G29" s="129">
        <f t="shared" si="1"/>
        <v>141780.35750000001</v>
      </c>
      <c r="H29" s="130">
        <f t="shared" si="2"/>
        <v>0.90873630978228659</v>
      </c>
      <c r="I29" s="129">
        <f t="shared" si="3"/>
        <v>737988.1399999999</v>
      </c>
      <c r="J29" s="129">
        <f t="shared" si="4"/>
        <v>184497.03499999997</v>
      </c>
      <c r="K29" s="129">
        <v>122492.01000000001</v>
      </c>
      <c r="L29" s="129">
        <v>145210.98000000001</v>
      </c>
      <c r="M29" s="129">
        <v>69774.539999999994</v>
      </c>
      <c r="N29" s="129">
        <v>136339.97</v>
      </c>
      <c r="O29" s="129">
        <v>122956.62</v>
      </c>
      <c r="P29" s="129">
        <f t="shared" si="12"/>
        <v>141780.35750000001</v>
      </c>
      <c r="Q29" s="126">
        <f t="shared" si="5"/>
        <v>1276023.2175000003</v>
      </c>
      <c r="R29" s="126">
        <f t="shared" si="6"/>
        <v>596207.78249999974</v>
      </c>
      <c r="S29" s="126">
        <f t="shared" si="7"/>
        <v>198735.93</v>
      </c>
      <c r="T29" s="129">
        <v>100277.85</v>
      </c>
      <c r="U29" s="129">
        <f t="shared" si="13"/>
        <v>156019.25</v>
      </c>
      <c r="V29" s="129">
        <v>100277.85</v>
      </c>
      <c r="W29" s="129">
        <f t="shared" si="14"/>
        <v>156019.25</v>
      </c>
      <c r="X29" s="129">
        <f t="shared" si="14"/>
        <v>156019.25</v>
      </c>
      <c r="Y29" s="129">
        <f t="shared" si="8"/>
        <v>468057.75</v>
      </c>
      <c r="Z29" s="129">
        <f t="shared" si="9"/>
        <v>1549531.4100000001</v>
      </c>
      <c r="AA29" s="129">
        <f t="shared" si="10"/>
        <v>-248262.48</v>
      </c>
      <c r="AB29" s="129">
        <f t="shared" si="11"/>
        <v>1744080.9675000003</v>
      </c>
      <c r="AC29" s="129"/>
      <c r="AD29" s="131"/>
      <c r="AE29" s="161">
        <v>1623968</v>
      </c>
    </row>
    <row r="30" spans="1:31" x14ac:dyDescent="0.25">
      <c r="A30" s="123" t="s">
        <v>63</v>
      </c>
      <c r="B30" s="155">
        <v>29882862</v>
      </c>
      <c r="C30" s="124">
        <f t="shared" si="0"/>
        <v>2490238.5</v>
      </c>
      <c r="D30" s="124">
        <v>16122072</v>
      </c>
      <c r="E30" s="124">
        <v>1057553</v>
      </c>
      <c r="F30" s="124">
        <v>13676753</v>
      </c>
      <c r="G30" s="124">
        <f t="shared" si="1"/>
        <v>2266893</v>
      </c>
      <c r="H30" s="125">
        <f t="shared" si="2"/>
        <v>0.91031160268383937</v>
      </c>
      <c r="I30" s="124">
        <f t="shared" si="3"/>
        <v>11747718</v>
      </c>
      <c r="J30" s="124">
        <f t="shared" si="4"/>
        <v>2936929.5</v>
      </c>
      <c r="K30" s="124">
        <v>1503656</v>
      </c>
      <c r="L30" s="124">
        <v>2342311</v>
      </c>
      <c r="M30" s="124">
        <v>1407578</v>
      </c>
      <c r="N30" s="124">
        <v>2116080</v>
      </c>
      <c r="O30" s="124">
        <v>1826294</v>
      </c>
      <c r="P30" s="124">
        <f t="shared" si="12"/>
        <v>2266893</v>
      </c>
      <c r="Q30" s="126">
        <f t="shared" si="5"/>
        <v>20402037</v>
      </c>
      <c r="R30" s="126">
        <f t="shared" si="6"/>
        <v>9480825</v>
      </c>
      <c r="S30" s="126">
        <f t="shared" si="7"/>
        <v>3160275</v>
      </c>
      <c r="T30" s="124">
        <v>1626457</v>
      </c>
      <c r="U30" s="124">
        <f t="shared" si="13"/>
        <v>2490238.5</v>
      </c>
      <c r="V30" s="124">
        <v>1626457</v>
      </c>
      <c r="W30" s="124">
        <f t="shared" si="14"/>
        <v>2490238.5</v>
      </c>
      <c r="X30" s="124">
        <f t="shared" si="14"/>
        <v>2490238.5</v>
      </c>
      <c r="Y30" s="124">
        <f t="shared" si="8"/>
        <v>7470715.5</v>
      </c>
      <c r="Z30" s="124">
        <f t="shared" si="9"/>
        <v>25170067</v>
      </c>
      <c r="AA30" s="124">
        <f t="shared" si="10"/>
        <v>-3962541.77</v>
      </c>
      <c r="AB30" s="124">
        <f t="shared" si="11"/>
        <v>27872752.5</v>
      </c>
      <c r="AC30" s="124"/>
      <c r="AD30" s="127"/>
      <c r="AE30" s="160">
        <v>25920320</v>
      </c>
    </row>
    <row r="31" spans="1:31" x14ac:dyDescent="0.25">
      <c r="A31" s="128" t="s">
        <v>12</v>
      </c>
      <c r="B31" s="156">
        <v>559006</v>
      </c>
      <c r="C31" s="129">
        <f t="shared" si="0"/>
        <v>46583.833333333336</v>
      </c>
      <c r="D31" s="129">
        <v>261892.33</v>
      </c>
      <c r="E31" s="129">
        <v>19783</v>
      </c>
      <c r="F31" s="129">
        <v>232814.68</v>
      </c>
      <c r="G31" s="129">
        <f t="shared" si="1"/>
        <v>39227.973749999997</v>
      </c>
      <c r="H31" s="130">
        <f t="shared" si="2"/>
        <v>0.84209415462445836</v>
      </c>
      <c r="I31" s="129">
        <f t="shared" si="3"/>
        <v>245182.21</v>
      </c>
      <c r="J31" s="129">
        <f t="shared" si="4"/>
        <v>61295.552499999998</v>
      </c>
      <c r="K31" s="129">
        <v>30353.99</v>
      </c>
      <c r="L31" s="129">
        <v>37737.32</v>
      </c>
      <c r="M31" s="129">
        <v>32437.72</v>
      </c>
      <c r="N31" s="129">
        <v>43271.79</v>
      </c>
      <c r="O31" s="129">
        <v>37698.660000000003</v>
      </c>
      <c r="P31" s="129">
        <f t="shared" si="12"/>
        <v>39227.973749999997</v>
      </c>
      <c r="Q31" s="126">
        <f t="shared" si="5"/>
        <v>353051.76374999998</v>
      </c>
      <c r="R31" s="126">
        <f t="shared" si="6"/>
        <v>205954.23625000002</v>
      </c>
      <c r="S31" s="126">
        <f t="shared" si="7"/>
        <v>68651.41</v>
      </c>
      <c r="T31" s="129">
        <v>27259.47</v>
      </c>
      <c r="U31" s="129">
        <v>54000</v>
      </c>
      <c r="V31" s="129">
        <v>27259.47</v>
      </c>
      <c r="W31" s="129">
        <f t="shared" ref="W31:W36" si="15">MIN($C31,$S31)</f>
        <v>46583.833333333336</v>
      </c>
      <c r="X31" s="129">
        <v>54000</v>
      </c>
      <c r="Y31" s="129">
        <f t="shared" si="8"/>
        <v>154583.83333333334</v>
      </c>
      <c r="Z31" s="129">
        <f t="shared" si="9"/>
        <v>436684.64</v>
      </c>
      <c r="AA31" s="129">
        <f t="shared" si="10"/>
        <v>-74125.58</v>
      </c>
      <c r="AB31" s="129">
        <f t="shared" si="11"/>
        <v>507635.59708333336</v>
      </c>
      <c r="AC31" s="129"/>
      <c r="AD31" s="131"/>
      <c r="AE31" s="161">
        <v>484881</v>
      </c>
    </row>
    <row r="32" spans="1:31" x14ac:dyDescent="0.25">
      <c r="A32" s="123" t="s">
        <v>35</v>
      </c>
      <c r="B32" s="155">
        <v>3015965</v>
      </c>
      <c r="C32" s="124">
        <f t="shared" si="0"/>
        <v>251330.41666666666</v>
      </c>
      <c r="D32" s="124">
        <v>1659467.5799999998</v>
      </c>
      <c r="E32" s="124">
        <v>106735</v>
      </c>
      <c r="F32" s="124">
        <v>1385484.2</v>
      </c>
      <c r="G32" s="124">
        <f t="shared" si="1"/>
        <v>225628.27625</v>
      </c>
      <c r="H32" s="125">
        <f t="shared" si="2"/>
        <v>0.89773565508883557</v>
      </c>
      <c r="I32" s="124">
        <f t="shared" si="3"/>
        <v>1210938.79</v>
      </c>
      <c r="J32" s="124">
        <f t="shared" si="4"/>
        <v>302734.69750000001</v>
      </c>
      <c r="K32" s="124">
        <v>132236.91000000003</v>
      </c>
      <c r="L32" s="124">
        <v>211901.85</v>
      </c>
      <c r="M32" s="124">
        <v>143555.87</v>
      </c>
      <c r="N32" s="124">
        <v>207640.16</v>
      </c>
      <c r="O32" s="124">
        <v>209000</v>
      </c>
      <c r="P32" s="124">
        <f t="shared" si="12"/>
        <v>225628.27625</v>
      </c>
      <c r="Q32" s="126">
        <f t="shared" si="5"/>
        <v>2030654.4862500001</v>
      </c>
      <c r="R32" s="126">
        <f t="shared" si="6"/>
        <v>985310.51374999993</v>
      </c>
      <c r="S32" s="126">
        <f t="shared" si="7"/>
        <v>328436.84000000003</v>
      </c>
      <c r="T32" s="124">
        <v>173629.95</v>
      </c>
      <c r="U32" s="124">
        <v>352000</v>
      </c>
      <c r="V32" s="124">
        <v>173629.95</v>
      </c>
      <c r="W32" s="124">
        <f t="shared" si="15"/>
        <v>251330.41666666666</v>
      </c>
      <c r="X32" s="124">
        <f>MIN($C32,$S32)</f>
        <v>251330.41666666666</v>
      </c>
      <c r="Y32" s="124">
        <f t="shared" si="8"/>
        <v>854660.83333333326</v>
      </c>
      <c r="Z32" s="124">
        <f t="shared" si="9"/>
        <v>2598255.2599999998</v>
      </c>
      <c r="AA32" s="124">
        <f t="shared" si="10"/>
        <v>-399924.45</v>
      </c>
      <c r="AB32" s="124">
        <f t="shared" si="11"/>
        <v>2885315.3195833331</v>
      </c>
      <c r="AC32" s="124"/>
      <c r="AD32" s="127"/>
      <c r="AE32" s="160">
        <v>2616040</v>
      </c>
    </row>
    <row r="33" spans="1:31" x14ac:dyDescent="0.25">
      <c r="A33" s="128" t="s">
        <v>24</v>
      </c>
      <c r="B33" s="156">
        <v>1052321</v>
      </c>
      <c r="C33" s="129">
        <f t="shared" si="0"/>
        <v>87693.416666666672</v>
      </c>
      <c r="D33" s="129">
        <v>528021.86</v>
      </c>
      <c r="E33" s="129">
        <v>37242</v>
      </c>
      <c r="F33" s="129">
        <v>373082.54000000004</v>
      </c>
      <c r="G33" s="129">
        <f t="shared" si="1"/>
        <v>63435.923750000002</v>
      </c>
      <c r="H33" s="130">
        <f t="shared" si="2"/>
        <v>0.72338296489379195</v>
      </c>
      <c r="I33" s="129">
        <f t="shared" si="3"/>
        <v>544833.61</v>
      </c>
      <c r="J33" s="129">
        <f t="shared" si="4"/>
        <v>136208.4025</v>
      </c>
      <c r="K33" s="129">
        <v>49114.74</v>
      </c>
      <c r="L33" s="129">
        <v>65671.87</v>
      </c>
      <c r="M33" s="129">
        <v>54495.47</v>
      </c>
      <c r="N33" s="129">
        <v>68732.98</v>
      </c>
      <c r="O33" s="129">
        <v>75185.240000000005</v>
      </c>
      <c r="P33" s="129">
        <f t="shared" si="12"/>
        <v>63435.923750000002</v>
      </c>
      <c r="Q33" s="126">
        <f t="shared" si="5"/>
        <v>570923.31374999997</v>
      </c>
      <c r="R33" s="126">
        <f t="shared" si="6"/>
        <v>481397.68625000003</v>
      </c>
      <c r="S33" s="126">
        <f t="shared" si="7"/>
        <v>160465.9</v>
      </c>
      <c r="T33" s="129">
        <v>58643.08</v>
      </c>
      <c r="U33" s="129">
        <f>MIN($C33,$S33)</f>
        <v>87693.416666666672</v>
      </c>
      <c r="V33" s="129">
        <v>58643.08</v>
      </c>
      <c r="W33" s="129">
        <f t="shared" si="15"/>
        <v>87693.416666666672</v>
      </c>
      <c r="X33" s="129">
        <f>MIN($C33,$S33)</f>
        <v>87693.416666666672</v>
      </c>
      <c r="Y33" s="129">
        <f t="shared" si="8"/>
        <v>263080.25</v>
      </c>
      <c r="Z33" s="129">
        <f t="shared" si="9"/>
        <v>861345.47</v>
      </c>
      <c r="AA33" s="129">
        <f t="shared" si="10"/>
        <v>-139540.38</v>
      </c>
      <c r="AB33" s="129">
        <f t="shared" si="11"/>
        <v>834003.56374999997</v>
      </c>
      <c r="AC33" s="129"/>
      <c r="AD33" s="131"/>
      <c r="AE33" s="161">
        <v>912781</v>
      </c>
    </row>
    <row r="34" spans="1:31" x14ac:dyDescent="0.25">
      <c r="A34" s="123" t="s">
        <v>5</v>
      </c>
      <c r="B34" s="155">
        <v>471920</v>
      </c>
      <c r="C34" s="124">
        <f t="shared" si="0"/>
        <v>39326.666666666664</v>
      </c>
      <c r="D34" s="124">
        <v>203943.19</v>
      </c>
      <c r="E34" s="124">
        <v>16701</v>
      </c>
      <c r="F34" s="124">
        <v>240029.13999999998</v>
      </c>
      <c r="G34" s="124">
        <f t="shared" si="1"/>
        <v>37729.675000000003</v>
      </c>
      <c r="H34" s="125">
        <f t="shared" si="2"/>
        <v>0.95939163417528406</v>
      </c>
      <c r="I34" s="124">
        <f t="shared" si="3"/>
        <v>170082.6</v>
      </c>
      <c r="J34" s="124">
        <f t="shared" si="4"/>
        <v>42520.65</v>
      </c>
      <c r="K34" s="124">
        <v>18110.829999999998</v>
      </c>
      <c r="L34" s="124">
        <v>30934.26</v>
      </c>
      <c r="M34" s="124">
        <v>14653.57</v>
      </c>
      <c r="N34" s="124">
        <v>30874</v>
      </c>
      <c r="O34" s="124">
        <v>14158</v>
      </c>
      <c r="P34" s="124">
        <f t="shared" si="12"/>
        <v>37729.675000000003</v>
      </c>
      <c r="Q34" s="126">
        <f t="shared" si="5"/>
        <v>339567.07499999995</v>
      </c>
      <c r="R34" s="126">
        <f t="shared" si="6"/>
        <v>132352.92500000005</v>
      </c>
      <c r="S34" s="126">
        <f t="shared" si="7"/>
        <v>44117.64</v>
      </c>
      <c r="T34" s="124">
        <v>21572.99</v>
      </c>
      <c r="U34" s="124">
        <f>MIN($C34,$S34)</f>
        <v>39326.666666666664</v>
      </c>
      <c r="V34" s="124">
        <v>21572.99</v>
      </c>
      <c r="W34" s="124">
        <f t="shared" si="15"/>
        <v>39326.666666666664</v>
      </c>
      <c r="X34" s="124">
        <v>45000</v>
      </c>
      <c r="Y34" s="124">
        <f t="shared" si="8"/>
        <v>123653.33333333331</v>
      </c>
      <c r="Z34" s="124">
        <f t="shared" si="9"/>
        <v>310712.57</v>
      </c>
      <c r="AA34" s="124">
        <f t="shared" si="10"/>
        <v>-62577.760000000002</v>
      </c>
      <c r="AB34" s="124">
        <f t="shared" si="11"/>
        <v>463220.40833333333</v>
      </c>
      <c r="AC34" s="124"/>
      <c r="AD34" s="127"/>
      <c r="AE34" s="160">
        <v>409343</v>
      </c>
    </row>
    <row r="35" spans="1:31" x14ac:dyDescent="0.25">
      <c r="A35" s="128" t="s">
        <v>6</v>
      </c>
      <c r="B35" s="156">
        <v>298844</v>
      </c>
      <c r="C35" s="129">
        <f t="shared" si="0"/>
        <v>24903.666666666668</v>
      </c>
      <c r="D35" s="129">
        <v>60876.07</v>
      </c>
      <c r="E35" s="129">
        <v>10576</v>
      </c>
      <c r="F35" s="129">
        <v>162716.97999999998</v>
      </c>
      <c r="G35" s="129">
        <f t="shared" si="1"/>
        <v>26270.811249999999</v>
      </c>
      <c r="H35" s="130">
        <f t="shared" si="2"/>
        <v>1.054897321010293</v>
      </c>
      <c r="I35" s="129">
        <f t="shared" si="3"/>
        <v>88677.510000000024</v>
      </c>
      <c r="J35" s="129">
        <f t="shared" si="4"/>
        <v>22169.377500000006</v>
      </c>
      <c r="K35" s="129">
        <v>5255.14</v>
      </c>
      <c r="L35" s="129">
        <v>24335.64</v>
      </c>
      <c r="M35" s="129">
        <v>9075.2799999999988</v>
      </c>
      <c r="N35" s="129">
        <v>23113.87</v>
      </c>
      <c r="O35" s="129">
        <v>3834.1</v>
      </c>
      <c r="P35" s="129">
        <f t="shared" si="12"/>
        <v>22169.377500000006</v>
      </c>
      <c r="Q35" s="126">
        <f t="shared" si="5"/>
        <v>232335.86749999999</v>
      </c>
      <c r="R35" s="126">
        <f t="shared" si="6"/>
        <v>66508.132500000007</v>
      </c>
      <c r="S35" s="126">
        <f t="shared" si="7"/>
        <v>22169.38</v>
      </c>
      <c r="T35" s="129">
        <v>6016.15</v>
      </c>
      <c r="U35" s="129">
        <f>MIN($C35,$S35)</f>
        <v>22169.38</v>
      </c>
      <c r="V35" s="129">
        <v>6016.15</v>
      </c>
      <c r="W35" s="129">
        <f t="shared" si="15"/>
        <v>22169.38</v>
      </c>
      <c r="X35" s="129">
        <f>MIN($C35,$S35)</f>
        <v>22169.38</v>
      </c>
      <c r="Y35" s="129">
        <f t="shared" si="8"/>
        <v>66508.14</v>
      </c>
      <c r="Z35" s="129">
        <f t="shared" si="9"/>
        <v>101648.89</v>
      </c>
      <c r="AA35" s="129">
        <f t="shared" si="10"/>
        <v>-39627.46</v>
      </c>
      <c r="AB35" s="129">
        <f t="shared" si="11"/>
        <v>298844.00749999995</v>
      </c>
      <c r="AC35" s="129"/>
      <c r="AD35" s="131"/>
      <c r="AE35" s="161">
        <v>259217</v>
      </c>
    </row>
    <row r="36" spans="1:31" x14ac:dyDescent="0.25">
      <c r="A36" s="123" t="s">
        <v>47</v>
      </c>
      <c r="B36" s="155">
        <v>6180164</v>
      </c>
      <c r="C36" s="124">
        <f t="shared" si="0"/>
        <v>515013.66666666669</v>
      </c>
      <c r="D36" s="124">
        <v>3591612</v>
      </c>
      <c r="E36" s="124">
        <v>218716</v>
      </c>
      <c r="F36" s="124">
        <v>2387039</v>
      </c>
      <c r="G36" s="124">
        <f t="shared" si="1"/>
        <v>397971.125</v>
      </c>
      <c r="H36" s="125">
        <f t="shared" si="2"/>
        <v>0.7727389596780927</v>
      </c>
      <c r="I36" s="124">
        <f t="shared" si="3"/>
        <v>2996395</v>
      </c>
      <c r="J36" s="124">
        <f t="shared" si="4"/>
        <v>749098.75</v>
      </c>
      <c r="K36" s="124">
        <v>301654</v>
      </c>
      <c r="L36" s="124">
        <v>424965</v>
      </c>
      <c r="M36" s="124">
        <v>331053</v>
      </c>
      <c r="N36" s="124">
        <v>371765</v>
      </c>
      <c r="O36" s="124">
        <v>432010.54</v>
      </c>
      <c r="P36" s="124">
        <f t="shared" si="12"/>
        <v>397971.125</v>
      </c>
      <c r="Q36" s="126">
        <f t="shared" si="5"/>
        <v>3581740.125</v>
      </c>
      <c r="R36" s="126">
        <f t="shared" si="6"/>
        <v>2598423.875</v>
      </c>
      <c r="S36" s="126">
        <f t="shared" si="7"/>
        <v>866141.29</v>
      </c>
      <c r="T36" s="124">
        <v>396480</v>
      </c>
      <c r="U36" s="124">
        <f>MIN($C36,$S36)</f>
        <v>515013.66666666669</v>
      </c>
      <c r="V36" s="124">
        <v>396480</v>
      </c>
      <c r="W36" s="124">
        <f t="shared" si="15"/>
        <v>515013.66666666669</v>
      </c>
      <c r="X36" s="124">
        <f>MIN($C36,$S36)</f>
        <v>515013.66666666669</v>
      </c>
      <c r="Y36" s="124">
        <f t="shared" si="8"/>
        <v>1545041</v>
      </c>
      <c r="Z36" s="124">
        <f t="shared" si="9"/>
        <v>5668005.54</v>
      </c>
      <c r="AA36" s="124">
        <f t="shared" si="10"/>
        <v>-819505.11</v>
      </c>
      <c r="AB36" s="124">
        <f t="shared" si="11"/>
        <v>5126781.125</v>
      </c>
      <c r="AC36" s="124"/>
      <c r="AD36" s="127"/>
      <c r="AE36" s="160">
        <v>5360658</v>
      </c>
    </row>
    <row r="37" spans="1:31" x14ac:dyDescent="0.25">
      <c r="A37" s="128" t="s">
        <v>58</v>
      </c>
      <c r="B37" s="156">
        <v>11850439</v>
      </c>
      <c r="C37" s="129">
        <f t="shared" si="0"/>
        <v>987536.58333333337</v>
      </c>
      <c r="D37" s="129">
        <v>9406990.8900000006</v>
      </c>
      <c r="E37" s="129">
        <v>419387</v>
      </c>
      <c r="F37" s="129">
        <v>5456219.6699999999</v>
      </c>
      <c r="G37" s="129">
        <f t="shared" si="1"/>
        <v>889459.27625</v>
      </c>
      <c r="H37" s="130">
        <f t="shared" si="2"/>
        <v>0.90068488728561025</v>
      </c>
      <c r="I37" s="129">
        <f t="shared" si="3"/>
        <v>4734764.79</v>
      </c>
      <c r="J37" s="129">
        <f t="shared" si="4"/>
        <v>1183691.1975</v>
      </c>
      <c r="K37" s="129">
        <v>774394.64</v>
      </c>
      <c r="L37" s="129">
        <v>455203.21</v>
      </c>
      <c r="M37" s="129">
        <v>798650.74000000011</v>
      </c>
      <c r="N37" s="129">
        <v>1204251.33</v>
      </c>
      <c r="O37" s="129">
        <v>995842.26</v>
      </c>
      <c r="P37" s="129">
        <v>801500</v>
      </c>
      <c r="Q37" s="126">
        <f t="shared" si="5"/>
        <v>7917174.21</v>
      </c>
      <c r="R37" s="126">
        <f t="shared" si="6"/>
        <v>3933264.79</v>
      </c>
      <c r="S37" s="126">
        <f t="shared" si="7"/>
        <v>1311088.26</v>
      </c>
      <c r="T37" s="129">
        <v>908980.72</v>
      </c>
      <c r="U37" s="129">
        <v>642300</v>
      </c>
      <c r="V37" s="129">
        <v>908980.72</v>
      </c>
      <c r="W37" s="129">
        <v>864000</v>
      </c>
      <c r="X37" s="129">
        <v>1074200</v>
      </c>
      <c r="Y37" s="129">
        <f t="shared" si="8"/>
        <v>2580500</v>
      </c>
      <c r="Z37" s="129">
        <f t="shared" si="9"/>
        <v>14213226.970000001</v>
      </c>
      <c r="AA37" s="129">
        <f t="shared" si="10"/>
        <v>-1571397.66</v>
      </c>
      <c r="AB37" s="129">
        <f t="shared" si="11"/>
        <v>10497674.210000001</v>
      </c>
      <c r="AC37" s="129"/>
      <c r="AD37" s="131"/>
      <c r="AE37" s="161">
        <v>10279041</v>
      </c>
    </row>
    <row r="38" spans="1:31" x14ac:dyDescent="0.25">
      <c r="A38" s="123" t="s">
        <v>48</v>
      </c>
      <c r="B38" s="155">
        <v>5926985</v>
      </c>
      <c r="C38" s="124">
        <f t="shared" si="0"/>
        <v>493915.41666666669</v>
      </c>
      <c r="D38" s="124">
        <v>2535795.25</v>
      </c>
      <c r="E38" s="124">
        <v>209755</v>
      </c>
      <c r="F38" s="124">
        <v>2433034.33</v>
      </c>
      <c r="G38" s="124">
        <f t="shared" si="1"/>
        <v>438773.23250000004</v>
      </c>
      <c r="H38" s="125">
        <f t="shared" si="2"/>
        <v>0.88835702975458863</v>
      </c>
      <c r="I38" s="124">
        <f t="shared" si="3"/>
        <v>2416799.1399999997</v>
      </c>
      <c r="J38" s="124">
        <f t="shared" si="4"/>
        <v>604199.78499999992</v>
      </c>
      <c r="K38" s="124">
        <v>218417.46999999997</v>
      </c>
      <c r="L38" s="124">
        <v>411186.78</v>
      </c>
      <c r="M38" s="124">
        <v>225932.43999999994</v>
      </c>
      <c r="N38" s="124">
        <v>665964.75</v>
      </c>
      <c r="O38" s="124">
        <v>299307.14</v>
      </c>
      <c r="P38" s="124">
        <f t="shared" ref="P38:P49" si="16">MIN($G38,$J38)</f>
        <v>438773.23250000004</v>
      </c>
      <c r="Q38" s="126">
        <f t="shared" si="5"/>
        <v>3948959.0925000003</v>
      </c>
      <c r="R38" s="126">
        <f t="shared" si="6"/>
        <v>1978025.9074999997</v>
      </c>
      <c r="S38" s="126">
        <f t="shared" si="7"/>
        <v>659341.97</v>
      </c>
      <c r="T38" s="124">
        <v>272182.76</v>
      </c>
      <c r="U38" s="124">
        <f>MIN($C38,$S38)</f>
        <v>493915.41666666669</v>
      </c>
      <c r="V38" s="124">
        <v>272182.76</v>
      </c>
      <c r="W38" s="124">
        <f t="shared" ref="W38:X42" si="17">MIN($C38,$S38)</f>
        <v>493915.41666666669</v>
      </c>
      <c r="X38" s="124">
        <f t="shared" si="17"/>
        <v>493915.41666666669</v>
      </c>
      <c r="Y38" s="124">
        <f t="shared" si="8"/>
        <v>1481746.25</v>
      </c>
      <c r="Z38" s="124">
        <f t="shared" si="9"/>
        <v>4033572.8200000003</v>
      </c>
      <c r="AA38" s="124">
        <f t="shared" si="10"/>
        <v>-785932.94</v>
      </c>
      <c r="AB38" s="124">
        <f t="shared" si="11"/>
        <v>5430705.3425000003</v>
      </c>
      <c r="AC38" s="124"/>
      <c r="AD38" s="127"/>
      <c r="AE38" s="160">
        <v>5141052</v>
      </c>
    </row>
    <row r="39" spans="1:31" x14ac:dyDescent="0.25">
      <c r="A39" s="128" t="s">
        <v>25</v>
      </c>
      <c r="B39" s="156">
        <v>1030854</v>
      </c>
      <c r="C39" s="129">
        <f t="shared" si="0"/>
        <v>85904.5</v>
      </c>
      <c r="D39" s="129">
        <v>452229.27999999997</v>
      </c>
      <c r="E39" s="129">
        <v>36482</v>
      </c>
      <c r="F39" s="129">
        <v>425790.49</v>
      </c>
      <c r="G39" s="129">
        <f t="shared" si="1"/>
        <v>75846.708749999991</v>
      </c>
      <c r="H39" s="130">
        <f t="shared" si="2"/>
        <v>0.88291892450337284</v>
      </c>
      <c r="I39" s="129">
        <f t="shared" si="3"/>
        <v>424080.33</v>
      </c>
      <c r="J39" s="129">
        <f t="shared" si="4"/>
        <v>106020.0825</v>
      </c>
      <c r="K39" s="129">
        <v>34681.270000000019</v>
      </c>
      <c r="L39" s="129">
        <v>106486.93</v>
      </c>
      <c r="M39" s="129">
        <v>45260.84</v>
      </c>
      <c r="N39" s="129">
        <v>74496.25</v>
      </c>
      <c r="O39" s="129">
        <v>29702.84</v>
      </c>
      <c r="P39" s="129">
        <f t="shared" si="16"/>
        <v>75846.708749999991</v>
      </c>
      <c r="Q39" s="126">
        <f t="shared" si="5"/>
        <v>682620.37874999992</v>
      </c>
      <c r="R39" s="126">
        <f t="shared" si="6"/>
        <v>348233.62125000008</v>
      </c>
      <c r="S39" s="126">
        <f t="shared" si="7"/>
        <v>116077.87</v>
      </c>
      <c r="T39" s="129">
        <v>41362.269999999997</v>
      </c>
      <c r="U39" s="129">
        <f>MIN($C39,$S39)</f>
        <v>85904.5</v>
      </c>
      <c r="V39" s="129">
        <v>41362.269999999997</v>
      </c>
      <c r="W39" s="129">
        <f t="shared" si="17"/>
        <v>85904.5</v>
      </c>
      <c r="X39" s="129">
        <f t="shared" si="17"/>
        <v>85904.5</v>
      </c>
      <c r="Y39" s="129">
        <f t="shared" si="8"/>
        <v>257713.5</v>
      </c>
      <c r="Z39" s="129">
        <f t="shared" si="9"/>
        <v>681080.77</v>
      </c>
      <c r="AA39" s="129">
        <f t="shared" si="10"/>
        <v>-136693.79999999999</v>
      </c>
      <c r="AB39" s="129">
        <f t="shared" si="11"/>
        <v>940333.87874999992</v>
      </c>
      <c r="AC39" s="129"/>
      <c r="AD39" s="131"/>
      <c r="AE39" s="161">
        <v>894161</v>
      </c>
    </row>
    <row r="40" spans="1:31" x14ac:dyDescent="0.25">
      <c r="A40" s="123" t="s">
        <v>7</v>
      </c>
      <c r="B40" s="155">
        <v>288357</v>
      </c>
      <c r="C40" s="124">
        <f t="shared" si="0"/>
        <v>24029.75</v>
      </c>
      <c r="D40" s="124">
        <v>85023.719999999987</v>
      </c>
      <c r="E40" s="124">
        <v>10205</v>
      </c>
      <c r="F40" s="124">
        <v>146052.63</v>
      </c>
      <c r="G40" s="124">
        <f t="shared" si="1"/>
        <v>24185.732500000002</v>
      </c>
      <c r="H40" s="125">
        <f t="shared" si="2"/>
        <v>1.0064912244197297</v>
      </c>
      <c r="I40" s="124">
        <f t="shared" si="3"/>
        <v>94871.14</v>
      </c>
      <c r="J40" s="124">
        <f t="shared" si="4"/>
        <v>23717.785</v>
      </c>
      <c r="K40" s="124">
        <v>7942.44</v>
      </c>
      <c r="L40" s="124">
        <v>23718.84</v>
      </c>
      <c r="M40" s="124">
        <v>12540.130000000001</v>
      </c>
      <c r="N40" s="124">
        <v>23714.39</v>
      </c>
      <c r="O40" s="124">
        <v>11441.04</v>
      </c>
      <c r="P40" s="124">
        <f t="shared" si="16"/>
        <v>23717.785</v>
      </c>
      <c r="Q40" s="126">
        <f t="shared" si="5"/>
        <v>217203.64500000002</v>
      </c>
      <c r="R40" s="126">
        <f t="shared" si="6"/>
        <v>71153.354999999981</v>
      </c>
      <c r="S40" s="126">
        <f t="shared" si="7"/>
        <v>23717.79</v>
      </c>
      <c r="T40" s="124">
        <v>11517.86</v>
      </c>
      <c r="U40" s="124">
        <f>MIN($C40,$S40)</f>
        <v>23717.79</v>
      </c>
      <c r="V40" s="124">
        <v>11517.86</v>
      </c>
      <c r="W40" s="124">
        <f t="shared" si="17"/>
        <v>23717.79</v>
      </c>
      <c r="X40" s="124">
        <f t="shared" si="17"/>
        <v>23717.79</v>
      </c>
      <c r="Y40" s="124">
        <f t="shared" si="8"/>
        <v>71153.37</v>
      </c>
      <c r="Z40" s="124">
        <f t="shared" si="9"/>
        <v>150188.04999999999</v>
      </c>
      <c r="AA40" s="124">
        <f t="shared" si="10"/>
        <v>-38236.85</v>
      </c>
      <c r="AB40" s="124">
        <f t="shared" si="11"/>
        <v>288357.01500000001</v>
      </c>
      <c r="AC40" s="124"/>
      <c r="AD40" s="127"/>
      <c r="AE40" s="160">
        <v>250121</v>
      </c>
    </row>
    <row r="41" spans="1:31" x14ac:dyDescent="0.25">
      <c r="A41" s="128" t="s">
        <v>13</v>
      </c>
      <c r="B41" s="156">
        <v>536805</v>
      </c>
      <c r="C41" s="129">
        <f t="shared" si="0"/>
        <v>44733.75</v>
      </c>
      <c r="D41" s="129">
        <v>415428.64</v>
      </c>
      <c r="E41" s="129">
        <v>18997</v>
      </c>
      <c r="F41" s="129">
        <v>273891.83999999997</v>
      </c>
      <c r="G41" s="129">
        <f t="shared" si="1"/>
        <v>45328.647499999999</v>
      </c>
      <c r="H41" s="130">
        <f t="shared" si="2"/>
        <v>1.0132986279934053</v>
      </c>
      <c r="I41" s="129">
        <f t="shared" si="3"/>
        <v>174175.82</v>
      </c>
      <c r="J41" s="129">
        <f t="shared" si="4"/>
        <v>43543.955000000002</v>
      </c>
      <c r="K41" s="129">
        <v>32823.24</v>
      </c>
      <c r="L41" s="129">
        <v>46882.89</v>
      </c>
      <c r="M41" s="129">
        <v>36600.869999999995</v>
      </c>
      <c r="N41" s="129">
        <v>41854.449999999997</v>
      </c>
      <c r="O41" s="129">
        <v>34980.14</v>
      </c>
      <c r="P41" s="129">
        <f t="shared" si="16"/>
        <v>43543.955000000002</v>
      </c>
      <c r="Q41" s="126">
        <f t="shared" si="5"/>
        <v>406173.13499999995</v>
      </c>
      <c r="R41" s="126">
        <f t="shared" si="6"/>
        <v>130631.86500000005</v>
      </c>
      <c r="S41" s="126">
        <f t="shared" si="7"/>
        <v>43543.96</v>
      </c>
      <c r="T41" s="129">
        <v>44111.45</v>
      </c>
      <c r="U41" s="129">
        <f>MIN($C41,$S41)</f>
        <v>43543.96</v>
      </c>
      <c r="V41" s="129">
        <v>44111.45</v>
      </c>
      <c r="W41" s="129">
        <f t="shared" si="17"/>
        <v>43543.96</v>
      </c>
      <c r="X41" s="129">
        <f t="shared" si="17"/>
        <v>43543.96</v>
      </c>
      <c r="Y41" s="129">
        <f t="shared" si="8"/>
        <v>130631.88</v>
      </c>
      <c r="Z41" s="129">
        <f t="shared" si="9"/>
        <v>627052.79</v>
      </c>
      <c r="AA41" s="129">
        <f t="shared" si="10"/>
        <v>-71181.679999999993</v>
      </c>
      <c r="AB41" s="129">
        <f t="shared" si="11"/>
        <v>536805.01500000001</v>
      </c>
      <c r="AC41" s="129"/>
      <c r="AD41" s="131"/>
      <c r="AE41" s="161">
        <v>465624</v>
      </c>
    </row>
    <row r="42" spans="1:31" x14ac:dyDescent="0.25">
      <c r="A42" s="123" t="s">
        <v>52</v>
      </c>
      <c r="B42" s="155">
        <v>5983881</v>
      </c>
      <c r="C42" s="124">
        <f t="shared" si="0"/>
        <v>498656.75</v>
      </c>
      <c r="D42" s="124">
        <v>3501661.3200000003</v>
      </c>
      <c r="E42" s="124">
        <v>211769</v>
      </c>
      <c r="F42" s="124">
        <v>2732817.88</v>
      </c>
      <c r="G42" s="124">
        <f t="shared" si="1"/>
        <v>468336.23624999996</v>
      </c>
      <c r="H42" s="125">
        <f t="shared" si="2"/>
        <v>0.93919562153725977</v>
      </c>
      <c r="I42" s="124">
        <f t="shared" si="3"/>
        <v>2237191.1100000003</v>
      </c>
      <c r="J42" s="124">
        <f t="shared" si="4"/>
        <v>559297.77750000008</v>
      </c>
      <c r="K42" s="124">
        <v>275720.18</v>
      </c>
      <c r="L42" s="124">
        <v>438651.94</v>
      </c>
      <c r="M42" s="124">
        <v>309632.24999999994</v>
      </c>
      <c r="N42" s="124">
        <v>575220.06999999995</v>
      </c>
      <c r="O42" s="124">
        <v>335773.52</v>
      </c>
      <c r="P42" s="124">
        <f t="shared" si="16"/>
        <v>468336.23624999996</v>
      </c>
      <c r="Q42" s="126">
        <f t="shared" si="5"/>
        <v>4215026.1262499997</v>
      </c>
      <c r="R42" s="126">
        <f t="shared" si="6"/>
        <v>1768854.8737500003</v>
      </c>
      <c r="S42" s="126">
        <f t="shared" si="7"/>
        <v>589618.29</v>
      </c>
      <c r="T42" s="124">
        <v>336668.27</v>
      </c>
      <c r="U42" s="124">
        <f>MIN($C42,$S42)</f>
        <v>498656.75</v>
      </c>
      <c r="V42" s="124">
        <v>336668.27</v>
      </c>
      <c r="W42" s="124">
        <f t="shared" si="17"/>
        <v>498656.75</v>
      </c>
      <c r="X42" s="124">
        <f t="shared" si="17"/>
        <v>498656.75</v>
      </c>
      <c r="Y42" s="124">
        <f t="shared" si="8"/>
        <v>1495970.25</v>
      </c>
      <c r="Z42" s="124">
        <f t="shared" si="9"/>
        <v>5307892.8100000005</v>
      </c>
      <c r="AA42" s="124">
        <f t="shared" si="10"/>
        <v>-793477.49</v>
      </c>
      <c r="AB42" s="124">
        <f t="shared" si="11"/>
        <v>5710996.3762499997</v>
      </c>
      <c r="AC42" s="124"/>
      <c r="AD42" s="127"/>
      <c r="AE42" s="160">
        <v>5190403</v>
      </c>
    </row>
    <row r="43" spans="1:31" x14ac:dyDescent="0.25">
      <c r="A43" s="128" t="s">
        <v>49</v>
      </c>
      <c r="B43" s="156">
        <v>6626239</v>
      </c>
      <c r="C43" s="129">
        <f t="shared" si="0"/>
        <v>552186.58333333337</v>
      </c>
      <c r="D43" s="129">
        <v>3520442.4899999998</v>
      </c>
      <c r="E43" s="129">
        <v>234502</v>
      </c>
      <c r="F43" s="129">
        <v>2823549.95</v>
      </c>
      <c r="G43" s="129">
        <f t="shared" si="1"/>
        <v>496930.04000000004</v>
      </c>
      <c r="H43" s="130">
        <f t="shared" si="2"/>
        <v>0.89993139094439545</v>
      </c>
      <c r="I43" s="129">
        <f t="shared" si="3"/>
        <v>2650798.6799999997</v>
      </c>
      <c r="J43" s="129">
        <f t="shared" si="4"/>
        <v>662699.66999999993</v>
      </c>
      <c r="K43" s="129">
        <v>522080.49999999994</v>
      </c>
      <c r="L43" s="129">
        <v>492956.06</v>
      </c>
      <c r="M43" s="129">
        <v>522011.02000000008</v>
      </c>
      <c r="N43" s="129">
        <v>658934.31000000006</v>
      </c>
      <c r="O43" s="129">
        <v>450865.06</v>
      </c>
      <c r="P43" s="129">
        <f t="shared" si="16"/>
        <v>496930.04000000004</v>
      </c>
      <c r="Q43" s="126">
        <f t="shared" si="5"/>
        <v>4472370.3600000003</v>
      </c>
      <c r="R43" s="126">
        <f t="shared" si="6"/>
        <v>2153868.6399999997</v>
      </c>
      <c r="S43" s="126">
        <f t="shared" si="7"/>
        <v>717956.21</v>
      </c>
      <c r="T43" s="129">
        <v>377562.73</v>
      </c>
      <c r="U43" s="129">
        <v>497000</v>
      </c>
      <c r="V43" s="129">
        <v>377562.73</v>
      </c>
      <c r="W43" s="129">
        <v>497000</v>
      </c>
      <c r="X43" s="129">
        <v>752000</v>
      </c>
      <c r="Y43" s="129">
        <f t="shared" si="8"/>
        <v>1746000</v>
      </c>
      <c r="Z43" s="129">
        <f t="shared" si="9"/>
        <v>6005026.5299999993</v>
      </c>
      <c r="AA43" s="129">
        <f t="shared" si="10"/>
        <v>-878655.76</v>
      </c>
      <c r="AB43" s="129">
        <f t="shared" si="11"/>
        <v>6218370.3600000003</v>
      </c>
      <c r="AC43" s="129"/>
      <c r="AD43" s="131"/>
      <c r="AE43" s="161">
        <v>5747583</v>
      </c>
    </row>
    <row r="44" spans="1:31" ht="14.25" customHeight="1" x14ac:dyDescent="0.25">
      <c r="A44" s="123" t="s">
        <v>36</v>
      </c>
      <c r="B44" s="155">
        <v>3601519</v>
      </c>
      <c r="C44" s="124">
        <f t="shared" si="0"/>
        <v>300126.58333333331</v>
      </c>
      <c r="D44" s="124">
        <v>1939840.85</v>
      </c>
      <c r="E44" s="124">
        <v>127458</v>
      </c>
      <c r="F44" s="124">
        <v>1465289.63</v>
      </c>
      <c r="G44" s="124">
        <f t="shared" si="1"/>
        <v>258029.815</v>
      </c>
      <c r="H44" s="125">
        <f t="shared" si="2"/>
        <v>0.85973662224189296</v>
      </c>
      <c r="I44" s="124">
        <f t="shared" si="3"/>
        <v>1537280.48</v>
      </c>
      <c r="J44" s="124">
        <f t="shared" si="4"/>
        <v>384320.12</v>
      </c>
      <c r="K44" s="124">
        <v>161085.91</v>
      </c>
      <c r="L44" s="124">
        <v>238785.79</v>
      </c>
      <c r="M44" s="124">
        <v>150814.14000000001</v>
      </c>
      <c r="N44" s="124">
        <v>360163.1</v>
      </c>
      <c r="O44" s="124">
        <v>224886.42</v>
      </c>
      <c r="P44" s="124">
        <f t="shared" si="16"/>
        <v>258029.815</v>
      </c>
      <c r="Q44" s="126">
        <f t="shared" si="5"/>
        <v>2322268.335</v>
      </c>
      <c r="R44" s="126">
        <f t="shared" si="6"/>
        <v>1279250.665</v>
      </c>
      <c r="S44" s="126">
        <f t="shared" si="7"/>
        <v>426416.89</v>
      </c>
      <c r="T44" s="124">
        <v>192888.31</v>
      </c>
      <c r="U44" s="124">
        <v>262300</v>
      </c>
      <c r="V44" s="124">
        <v>192888.31</v>
      </c>
      <c r="W44" s="124">
        <v>456660</v>
      </c>
      <c r="X44" s="124">
        <v>430056</v>
      </c>
      <c r="Y44" s="124">
        <f t="shared" si="8"/>
        <v>1149016</v>
      </c>
      <c r="Z44" s="124">
        <f t="shared" si="9"/>
        <v>2989861.9400000004</v>
      </c>
      <c r="AA44" s="124">
        <f t="shared" si="10"/>
        <v>-477570.37</v>
      </c>
      <c r="AB44" s="124">
        <f t="shared" si="11"/>
        <v>3471284.335</v>
      </c>
      <c r="AC44" s="124"/>
      <c r="AD44" s="127"/>
      <c r="AE44" s="160">
        <v>3123948</v>
      </c>
    </row>
    <row r="45" spans="1:31" x14ac:dyDescent="0.25">
      <c r="A45" s="128" t="s">
        <v>67</v>
      </c>
      <c r="B45" s="156">
        <v>71545715</v>
      </c>
      <c r="C45" s="129">
        <f t="shared" si="0"/>
        <v>5962142.916666667</v>
      </c>
      <c r="D45" s="129">
        <v>42315869.640000001</v>
      </c>
      <c r="E45" s="129">
        <v>2531998</v>
      </c>
      <c r="F45" s="129">
        <v>36206517.009999998</v>
      </c>
      <c r="G45" s="129">
        <f t="shared" si="1"/>
        <v>5996801.9212499997</v>
      </c>
      <c r="H45" s="130">
        <f t="shared" si="2"/>
        <v>1.005813179098147</v>
      </c>
      <c r="I45" s="129">
        <f t="shared" si="3"/>
        <v>23571299.630000003</v>
      </c>
      <c r="J45" s="129">
        <f t="shared" si="4"/>
        <v>5892824.9075000007</v>
      </c>
      <c r="K45" s="129">
        <v>3127109.55</v>
      </c>
      <c r="L45" s="129">
        <v>5856381.9000000004</v>
      </c>
      <c r="M45" s="129">
        <v>3209540.6400000015</v>
      </c>
      <c r="N45" s="129">
        <v>5911516.46</v>
      </c>
      <c r="O45" s="129">
        <v>3719664</v>
      </c>
      <c r="P45" s="129">
        <f t="shared" si="16"/>
        <v>5892824.9075000007</v>
      </c>
      <c r="Q45" s="126">
        <f t="shared" si="5"/>
        <v>53867240.277499996</v>
      </c>
      <c r="R45" s="126">
        <f t="shared" si="6"/>
        <v>17678474.722500004</v>
      </c>
      <c r="S45" s="126">
        <f t="shared" si="7"/>
        <v>5892824.9100000001</v>
      </c>
      <c r="T45" s="129">
        <v>4259504.74</v>
      </c>
      <c r="U45" s="129">
        <v>5892825</v>
      </c>
      <c r="V45" s="129">
        <v>4259504.74</v>
      </c>
      <c r="W45" s="129">
        <v>5892826</v>
      </c>
      <c r="X45" s="129">
        <v>5392824</v>
      </c>
      <c r="Y45" s="129">
        <f t="shared" si="8"/>
        <v>17178475</v>
      </c>
      <c r="Z45" s="129">
        <f t="shared" si="9"/>
        <v>63423191.310000002</v>
      </c>
      <c r="AA45" s="129">
        <f t="shared" si="10"/>
        <v>-9487139.6300000008</v>
      </c>
      <c r="AB45" s="129">
        <f t="shared" si="11"/>
        <v>71045715.277500004</v>
      </c>
      <c r="AC45" s="129"/>
      <c r="AD45" s="131"/>
      <c r="AE45" s="161">
        <v>62058575</v>
      </c>
    </row>
    <row r="46" spans="1:31" x14ac:dyDescent="0.25">
      <c r="A46" s="123" t="s">
        <v>37</v>
      </c>
      <c r="B46" s="155">
        <v>3681004</v>
      </c>
      <c r="C46" s="124">
        <f t="shared" si="0"/>
        <v>306750.33333333331</v>
      </c>
      <c r="D46" s="124">
        <v>1553507.77</v>
      </c>
      <c r="E46" s="124">
        <v>130271</v>
      </c>
      <c r="F46" s="124">
        <v>1698311.83</v>
      </c>
      <c r="G46" s="124">
        <f t="shared" si="1"/>
        <v>310224.1875</v>
      </c>
      <c r="H46" s="125">
        <f t="shared" si="2"/>
        <v>1.0113246956536859</v>
      </c>
      <c r="I46" s="124">
        <f t="shared" si="3"/>
        <v>1199210.5</v>
      </c>
      <c r="J46" s="124">
        <f t="shared" si="4"/>
        <v>299802.625</v>
      </c>
      <c r="K46" s="124">
        <v>119657.31999999998</v>
      </c>
      <c r="L46" s="124">
        <v>317613.92</v>
      </c>
      <c r="M46" s="124">
        <v>99760.7</v>
      </c>
      <c r="N46" s="124">
        <v>465867.75</v>
      </c>
      <c r="O46" s="124">
        <v>103266.26</v>
      </c>
      <c r="P46" s="124">
        <f t="shared" si="16"/>
        <v>299802.625</v>
      </c>
      <c r="Q46" s="126">
        <f t="shared" si="5"/>
        <v>2781596.125</v>
      </c>
      <c r="R46" s="126">
        <f t="shared" si="6"/>
        <v>899407.875</v>
      </c>
      <c r="S46" s="126">
        <f t="shared" si="7"/>
        <v>299802.63</v>
      </c>
      <c r="T46" s="124">
        <v>157790.35</v>
      </c>
      <c r="U46" s="124">
        <f>MIN($C46,$S46)</f>
        <v>299802.63</v>
      </c>
      <c r="V46" s="124">
        <v>157790.35</v>
      </c>
      <c r="W46" s="124">
        <f t="shared" ref="W46:X49" si="18">MIN($C46,$S46)</f>
        <v>299802.63</v>
      </c>
      <c r="X46" s="124">
        <f t="shared" si="18"/>
        <v>299802.63</v>
      </c>
      <c r="Y46" s="124">
        <f t="shared" si="8"/>
        <v>899407.89</v>
      </c>
      <c r="Z46" s="124">
        <f t="shared" si="9"/>
        <v>2322043.75</v>
      </c>
      <c r="AA46" s="124">
        <f t="shared" si="10"/>
        <v>-488110.28</v>
      </c>
      <c r="AB46" s="124">
        <f t="shared" si="11"/>
        <v>3681004.0150000001</v>
      </c>
      <c r="AC46" s="124"/>
      <c r="AD46" s="127"/>
      <c r="AE46" s="160">
        <v>3192893</v>
      </c>
    </row>
    <row r="47" spans="1:31" x14ac:dyDescent="0.25">
      <c r="A47" s="128" t="s">
        <v>30</v>
      </c>
      <c r="B47" s="156">
        <v>1562829</v>
      </c>
      <c r="C47" s="129">
        <f t="shared" si="0"/>
        <v>130235.75</v>
      </c>
      <c r="D47" s="129">
        <v>927839.57</v>
      </c>
      <c r="E47" s="129">
        <v>55308</v>
      </c>
      <c r="F47" s="129">
        <v>662459.1100000001</v>
      </c>
      <c r="G47" s="129">
        <f t="shared" si="1"/>
        <v>110154.78</v>
      </c>
      <c r="H47" s="130">
        <f t="shared" si="2"/>
        <v>0.84581061651658629</v>
      </c>
      <c r="I47" s="129">
        <f t="shared" si="3"/>
        <v>681590.76</v>
      </c>
      <c r="J47" s="129">
        <f t="shared" si="4"/>
        <v>170397.69</v>
      </c>
      <c r="K47" s="129">
        <v>85660.819999999992</v>
      </c>
      <c r="L47" s="129">
        <v>125243.19</v>
      </c>
      <c r="M47" s="129">
        <v>98210.96</v>
      </c>
      <c r="N47" s="129">
        <v>93535.94</v>
      </c>
      <c r="O47" s="129">
        <v>122155.76</v>
      </c>
      <c r="P47" s="129">
        <f t="shared" si="16"/>
        <v>110154.78</v>
      </c>
      <c r="Q47" s="126">
        <f t="shared" si="5"/>
        <v>991393.02000000014</v>
      </c>
      <c r="R47" s="126">
        <f t="shared" si="6"/>
        <v>571435.97999999986</v>
      </c>
      <c r="S47" s="126">
        <f t="shared" si="7"/>
        <v>190478.66</v>
      </c>
      <c r="T47" s="129">
        <v>98480.72</v>
      </c>
      <c r="U47" s="129">
        <f>MIN($C47,$S47)</f>
        <v>130235.75</v>
      </c>
      <c r="V47" s="129">
        <v>98480.72</v>
      </c>
      <c r="W47" s="129">
        <f t="shared" si="18"/>
        <v>130235.75</v>
      </c>
      <c r="X47" s="129">
        <f t="shared" si="18"/>
        <v>130235.75</v>
      </c>
      <c r="Y47" s="129">
        <f t="shared" si="8"/>
        <v>390707.25</v>
      </c>
      <c r="Z47" s="129">
        <f t="shared" si="9"/>
        <v>1486136.55</v>
      </c>
      <c r="AA47" s="129">
        <f t="shared" si="10"/>
        <v>-207235.01</v>
      </c>
      <c r="AB47" s="129">
        <f t="shared" si="11"/>
        <v>1382100.27</v>
      </c>
      <c r="AC47" s="129"/>
      <c r="AD47" s="131"/>
      <c r="AE47" s="161">
        <v>1355594</v>
      </c>
    </row>
    <row r="48" spans="1:31" x14ac:dyDescent="0.25">
      <c r="A48" s="123" t="s">
        <v>43</v>
      </c>
      <c r="B48" s="155">
        <v>3684787</v>
      </c>
      <c r="C48" s="124">
        <f t="shared" si="0"/>
        <v>307065.58333333331</v>
      </c>
      <c r="D48" s="124">
        <v>2399752.4</v>
      </c>
      <c r="E48" s="124">
        <v>130404</v>
      </c>
      <c r="F48" s="124">
        <v>1848596.8699999999</v>
      </c>
      <c r="G48" s="124">
        <f t="shared" si="1"/>
        <v>294051.07</v>
      </c>
      <c r="H48" s="125">
        <f t="shared" si="2"/>
        <v>0.95761650266351905</v>
      </c>
      <c r="I48" s="124">
        <f t="shared" si="3"/>
        <v>1332378.4400000002</v>
      </c>
      <c r="J48" s="124">
        <f t="shared" si="4"/>
        <v>333094.61000000004</v>
      </c>
      <c r="K48" s="124">
        <v>235123.24000000002</v>
      </c>
      <c r="L48" s="124">
        <v>240877.16</v>
      </c>
      <c r="M48" s="124">
        <v>215979.56999999992</v>
      </c>
      <c r="N48" s="124">
        <v>262934.53000000003</v>
      </c>
      <c r="O48" s="124">
        <v>271425.88</v>
      </c>
      <c r="P48" s="124">
        <f t="shared" si="16"/>
        <v>294051.07</v>
      </c>
      <c r="Q48" s="126">
        <f t="shared" si="5"/>
        <v>2646459.63</v>
      </c>
      <c r="R48" s="126">
        <f t="shared" si="6"/>
        <v>1038327.3700000001</v>
      </c>
      <c r="S48" s="126">
        <f t="shared" si="7"/>
        <v>346109.12</v>
      </c>
      <c r="T48" s="124">
        <v>253171.81</v>
      </c>
      <c r="U48" s="124">
        <f>MIN($C48,$S48)</f>
        <v>307065.58333333331</v>
      </c>
      <c r="V48" s="124">
        <v>253171.81</v>
      </c>
      <c r="W48" s="124">
        <f t="shared" si="18"/>
        <v>307065.58333333331</v>
      </c>
      <c r="X48" s="124">
        <f t="shared" si="18"/>
        <v>307065.58333333331</v>
      </c>
      <c r="Y48" s="124">
        <f t="shared" si="8"/>
        <v>921196.75</v>
      </c>
      <c r="Z48" s="124">
        <f t="shared" si="9"/>
        <v>3759028.71</v>
      </c>
      <c r="AA48" s="124">
        <f t="shared" si="10"/>
        <v>-488611.91</v>
      </c>
      <c r="AB48" s="124">
        <f t="shared" si="11"/>
        <v>3567656.38</v>
      </c>
      <c r="AC48" s="124"/>
      <c r="AD48" s="127"/>
      <c r="AE48" s="160">
        <v>3196175</v>
      </c>
    </row>
    <row r="49" spans="1:31" x14ac:dyDescent="0.25">
      <c r="A49" s="128" t="s">
        <v>26</v>
      </c>
      <c r="B49" s="156">
        <v>1251005</v>
      </c>
      <c r="C49" s="129">
        <f t="shared" si="0"/>
        <v>104250.41666666667</v>
      </c>
      <c r="D49" s="129">
        <v>617188.87000000011</v>
      </c>
      <c r="E49" s="129">
        <v>44273</v>
      </c>
      <c r="F49" s="129">
        <v>515325.51000000007</v>
      </c>
      <c r="G49" s="129">
        <f t="shared" si="1"/>
        <v>85441.546250000014</v>
      </c>
      <c r="H49" s="130">
        <f t="shared" si="2"/>
        <v>0.81957990175898587</v>
      </c>
      <c r="I49" s="129">
        <f t="shared" si="3"/>
        <v>567472.63</v>
      </c>
      <c r="J49" s="129">
        <f t="shared" si="4"/>
        <v>141868.1575</v>
      </c>
      <c r="K49" s="129">
        <v>44281.97</v>
      </c>
      <c r="L49" s="129">
        <v>87856.89</v>
      </c>
      <c r="M49" s="129">
        <v>28582.5</v>
      </c>
      <c r="N49" s="129">
        <v>80349.97</v>
      </c>
      <c r="O49" s="129">
        <v>42902.22</v>
      </c>
      <c r="P49" s="129">
        <f t="shared" si="16"/>
        <v>85441.546250000014</v>
      </c>
      <c r="Q49" s="126">
        <f t="shared" si="5"/>
        <v>768973.91625000001</v>
      </c>
      <c r="R49" s="126">
        <f t="shared" si="6"/>
        <v>482031.08374999999</v>
      </c>
      <c r="S49" s="126">
        <f t="shared" si="7"/>
        <v>160677.03</v>
      </c>
      <c r="T49" s="129">
        <v>61152.13</v>
      </c>
      <c r="U49" s="129">
        <f>MIN($C49,$S49)</f>
        <v>104250.41666666667</v>
      </c>
      <c r="V49" s="129">
        <v>61152.13</v>
      </c>
      <c r="W49" s="129">
        <f t="shared" si="18"/>
        <v>104250.41666666667</v>
      </c>
      <c r="X49" s="129">
        <f t="shared" si="18"/>
        <v>104250.41666666667</v>
      </c>
      <c r="Y49" s="129">
        <f t="shared" si="8"/>
        <v>312751.25</v>
      </c>
      <c r="Z49" s="129">
        <f t="shared" si="9"/>
        <v>899532.82000000007</v>
      </c>
      <c r="AA49" s="129">
        <f t="shared" si="10"/>
        <v>-165886.37</v>
      </c>
      <c r="AB49" s="129">
        <f t="shared" si="11"/>
        <v>1081725.16625</v>
      </c>
      <c r="AC49" s="129"/>
      <c r="AD49" s="131"/>
      <c r="AE49" s="161">
        <v>1085119</v>
      </c>
    </row>
    <row r="50" spans="1:31" x14ac:dyDescent="0.25">
      <c r="A50" s="123" t="s">
        <v>64</v>
      </c>
      <c r="B50" s="155">
        <v>29035203</v>
      </c>
      <c r="C50" s="124">
        <f t="shared" si="0"/>
        <v>2419600.25</v>
      </c>
      <c r="D50" s="124">
        <v>20229965.399999999</v>
      </c>
      <c r="E50" s="124">
        <v>1027554</v>
      </c>
      <c r="F50" s="124">
        <v>12509984.6</v>
      </c>
      <c r="G50" s="124">
        <f t="shared" si="1"/>
        <v>2055396.1600000001</v>
      </c>
      <c r="H50" s="125">
        <f t="shared" si="2"/>
        <v>0.84947757795941714</v>
      </c>
      <c r="I50" s="124">
        <f t="shared" si="3"/>
        <v>12592033.719999999</v>
      </c>
      <c r="J50" s="124">
        <f t="shared" si="4"/>
        <v>3148008.4299999997</v>
      </c>
      <c r="K50" s="124">
        <v>2200276.9899999998</v>
      </c>
      <c r="L50" s="124">
        <v>1976715.88</v>
      </c>
      <c r="M50" s="124">
        <v>2080432.0400000003</v>
      </c>
      <c r="N50" s="124">
        <v>1956468.8</v>
      </c>
      <c r="O50" s="124">
        <v>2200000</v>
      </c>
      <c r="P50" s="124">
        <v>1950000</v>
      </c>
      <c r="Q50" s="126">
        <f t="shared" si="5"/>
        <v>18393169.280000001</v>
      </c>
      <c r="R50" s="126">
        <f t="shared" si="6"/>
        <v>10642033.719999999</v>
      </c>
      <c r="S50" s="126">
        <f t="shared" si="7"/>
        <v>3547344.57</v>
      </c>
      <c r="T50" s="124">
        <v>2200000</v>
      </c>
      <c r="U50" s="124">
        <v>3000000</v>
      </c>
      <c r="V50" s="124">
        <v>2100000</v>
      </c>
      <c r="W50" s="124">
        <v>2000000</v>
      </c>
      <c r="X50" s="124">
        <v>3500000</v>
      </c>
      <c r="Y50" s="124">
        <f t="shared" si="8"/>
        <v>8500000</v>
      </c>
      <c r="Z50" s="124">
        <f t="shared" si="9"/>
        <v>32038228.43</v>
      </c>
      <c r="AA50" s="124">
        <f t="shared" si="10"/>
        <v>-3850140.08</v>
      </c>
      <c r="AB50" s="124">
        <f t="shared" si="11"/>
        <v>26893169.280000001</v>
      </c>
      <c r="AC50" s="124"/>
      <c r="AD50" s="127"/>
      <c r="AE50" s="160">
        <v>25185062</v>
      </c>
    </row>
    <row r="51" spans="1:31" x14ac:dyDescent="0.25">
      <c r="A51" s="128" t="s">
        <v>53</v>
      </c>
      <c r="B51" s="156">
        <v>7327693</v>
      </c>
      <c r="C51" s="129">
        <f t="shared" si="0"/>
        <v>610641.08333333337</v>
      </c>
      <c r="D51" s="129">
        <v>5245686.33</v>
      </c>
      <c r="E51" s="129">
        <v>259326</v>
      </c>
      <c r="F51" s="129">
        <v>2985695.0199999996</v>
      </c>
      <c r="G51" s="129">
        <f t="shared" si="1"/>
        <v>530458.64874999993</v>
      </c>
      <c r="H51" s="130">
        <f t="shared" si="2"/>
        <v>0.86869138554248915</v>
      </c>
      <c r="I51" s="129">
        <f t="shared" si="3"/>
        <v>3084023.8100000005</v>
      </c>
      <c r="J51" s="129">
        <f t="shared" si="4"/>
        <v>771005.95250000013</v>
      </c>
      <c r="K51" s="129">
        <v>477055.89999999997</v>
      </c>
      <c r="L51" s="129">
        <v>572759.42000000004</v>
      </c>
      <c r="M51" s="129">
        <v>451113.13</v>
      </c>
      <c r="N51" s="129">
        <v>685214.75</v>
      </c>
      <c r="O51" s="129">
        <v>602480.66</v>
      </c>
      <c r="P51" s="129">
        <f>L51+270000</f>
        <v>842759.42</v>
      </c>
      <c r="Q51" s="126">
        <f t="shared" si="5"/>
        <v>5086428.6099999994</v>
      </c>
      <c r="R51" s="126">
        <f t="shared" si="6"/>
        <v>2241264.3900000006</v>
      </c>
      <c r="S51" s="126">
        <f t="shared" si="7"/>
        <v>747088.13</v>
      </c>
      <c r="T51" s="129">
        <v>507475.88</v>
      </c>
      <c r="U51" s="129">
        <v>600000</v>
      </c>
      <c r="V51" s="129">
        <v>507475.88</v>
      </c>
      <c r="W51" s="129">
        <v>600000</v>
      </c>
      <c r="X51" s="129">
        <v>845000</v>
      </c>
      <c r="Y51" s="129">
        <f t="shared" si="8"/>
        <v>2045000</v>
      </c>
      <c r="Z51" s="129">
        <f t="shared" si="9"/>
        <v>8050613.7799999993</v>
      </c>
      <c r="AA51" s="129">
        <f t="shared" si="10"/>
        <v>-971670.3</v>
      </c>
      <c r="AB51" s="129">
        <f t="shared" si="11"/>
        <v>7131428.6099999994</v>
      </c>
      <c r="AC51" s="129"/>
      <c r="AD51" s="131"/>
      <c r="AE51" s="161">
        <v>6356022</v>
      </c>
    </row>
    <row r="52" spans="1:31" x14ac:dyDescent="0.25">
      <c r="A52" s="123" t="s">
        <v>68</v>
      </c>
      <c r="B52" s="155">
        <v>30632144</v>
      </c>
      <c r="C52" s="124">
        <f t="shared" si="0"/>
        <v>2552678.6666666665</v>
      </c>
      <c r="D52" s="124">
        <v>15978597.580000002</v>
      </c>
      <c r="E52" s="124">
        <v>1084069</v>
      </c>
      <c r="F52" s="124">
        <v>14811136.91</v>
      </c>
      <c r="G52" s="124">
        <f t="shared" si="1"/>
        <v>2430811.41</v>
      </c>
      <c r="H52" s="125">
        <f t="shared" si="2"/>
        <v>0.95225906877429156</v>
      </c>
      <c r="I52" s="124">
        <f t="shared" si="3"/>
        <v>11185652.720000001</v>
      </c>
      <c r="J52" s="124">
        <f t="shared" si="4"/>
        <v>2796413.18</v>
      </c>
      <c r="K52" s="124">
        <v>1296842.21</v>
      </c>
      <c r="L52" s="124">
        <v>2415195.2599999998</v>
      </c>
      <c r="M52" s="124">
        <v>1367442.5599999996</v>
      </c>
      <c r="N52" s="124">
        <v>2220159.11</v>
      </c>
      <c r="O52" s="124">
        <v>1465721.84</v>
      </c>
      <c r="P52" s="124">
        <f>MIN($G52,$J52)</f>
        <v>2430811.41</v>
      </c>
      <c r="Q52" s="126">
        <f t="shared" si="5"/>
        <v>21877302.689999998</v>
      </c>
      <c r="R52" s="126">
        <f t="shared" si="6"/>
        <v>8754841.3100000024</v>
      </c>
      <c r="S52" s="126">
        <f t="shared" si="7"/>
        <v>2918280.44</v>
      </c>
      <c r="T52" s="124">
        <v>1632642.94</v>
      </c>
      <c r="U52" s="124">
        <f t="shared" ref="U52:U59" si="19">MIN($C52,$S52)</f>
        <v>2552678.6666666665</v>
      </c>
      <c r="V52" s="124">
        <v>1632642.94</v>
      </c>
      <c r="W52" s="124">
        <f t="shared" ref="W52:X59" si="20">MIN($C52,$S52)</f>
        <v>2552678.6666666665</v>
      </c>
      <c r="X52" s="124">
        <f t="shared" si="20"/>
        <v>2552678.6666666665</v>
      </c>
      <c r="Y52" s="124">
        <f t="shared" si="8"/>
        <v>7658036</v>
      </c>
      <c r="Z52" s="124">
        <f t="shared" si="9"/>
        <v>24457959.07</v>
      </c>
      <c r="AA52" s="124">
        <f t="shared" si="10"/>
        <v>-4061898.43</v>
      </c>
      <c r="AB52" s="124">
        <f t="shared" si="11"/>
        <v>29535338.689999998</v>
      </c>
      <c r="AC52" s="124"/>
      <c r="AD52" s="127"/>
      <c r="AE52" s="160">
        <v>26570245</v>
      </c>
    </row>
    <row r="53" spans="1:31" x14ac:dyDescent="0.25">
      <c r="A53" s="128" t="s">
        <v>59</v>
      </c>
      <c r="B53" s="156">
        <v>11761853</v>
      </c>
      <c r="C53" s="129">
        <f t="shared" si="0"/>
        <v>980154.41666666663</v>
      </c>
      <c r="D53" s="129">
        <v>4868633.74</v>
      </c>
      <c r="E53" s="129">
        <v>416251</v>
      </c>
      <c r="F53" s="129">
        <v>5265804.38</v>
      </c>
      <c r="G53" s="129">
        <f t="shared" si="1"/>
        <v>898923.48875000002</v>
      </c>
      <c r="H53" s="130">
        <f t="shared" si="2"/>
        <v>0.91712435659585279</v>
      </c>
      <c r="I53" s="129">
        <f t="shared" si="3"/>
        <v>4570465.09</v>
      </c>
      <c r="J53" s="129">
        <f t="shared" si="4"/>
        <v>1142616.2725</v>
      </c>
      <c r="K53" s="129">
        <v>374787.76999999996</v>
      </c>
      <c r="L53" s="129">
        <v>851490.57</v>
      </c>
      <c r="M53" s="129">
        <v>406610.86999999994</v>
      </c>
      <c r="N53" s="129">
        <v>1074092.96</v>
      </c>
      <c r="O53" s="129">
        <v>500869.4</v>
      </c>
      <c r="P53" s="129">
        <f>MIN($G53,$J53)</f>
        <v>898923.48875000002</v>
      </c>
      <c r="Q53" s="126">
        <f t="shared" si="5"/>
        <v>8090311.3987499997</v>
      </c>
      <c r="R53" s="126">
        <f t="shared" si="6"/>
        <v>3671541.6012500003</v>
      </c>
      <c r="S53" s="126">
        <f t="shared" si="7"/>
        <v>1223847.2</v>
      </c>
      <c r="T53" s="129">
        <v>515580.24</v>
      </c>
      <c r="U53" s="129">
        <f t="shared" si="19"/>
        <v>980154.41666666663</v>
      </c>
      <c r="V53" s="129">
        <v>515580.24</v>
      </c>
      <c r="W53" s="129">
        <f t="shared" si="20"/>
        <v>980154.41666666663</v>
      </c>
      <c r="X53" s="129">
        <f t="shared" si="20"/>
        <v>980154.41666666663</v>
      </c>
      <c r="Y53" s="129">
        <f t="shared" si="8"/>
        <v>2940463.25</v>
      </c>
      <c r="Z53" s="129">
        <f t="shared" si="9"/>
        <v>7598313.2599999998</v>
      </c>
      <c r="AA53" s="129">
        <f t="shared" si="10"/>
        <v>-1559650.94</v>
      </c>
      <c r="AB53" s="129">
        <f t="shared" si="11"/>
        <v>11030774.64875</v>
      </c>
      <c r="AC53" s="129"/>
      <c r="AD53" s="131"/>
      <c r="AE53" s="161">
        <v>10202202</v>
      </c>
    </row>
    <row r="54" spans="1:31" x14ac:dyDescent="0.25">
      <c r="A54" s="123" t="s">
        <v>65</v>
      </c>
      <c r="B54" s="155">
        <v>23152497</v>
      </c>
      <c r="C54" s="124">
        <f t="shared" si="0"/>
        <v>1929374.75</v>
      </c>
      <c r="D54" s="124">
        <v>11754695.109999999</v>
      </c>
      <c r="E54" s="124">
        <v>819365</v>
      </c>
      <c r="F54" s="124">
        <v>10604123.879999999</v>
      </c>
      <c r="G54" s="124">
        <f t="shared" si="1"/>
        <v>1714285.3512499998</v>
      </c>
      <c r="H54" s="125">
        <f t="shared" si="2"/>
        <v>0.88851859974325875</v>
      </c>
      <c r="I54" s="124">
        <f t="shared" si="3"/>
        <v>9438214.1900000013</v>
      </c>
      <c r="J54" s="124">
        <f t="shared" si="4"/>
        <v>2359553.5475000003</v>
      </c>
      <c r="K54" s="124">
        <v>785629.16999999993</v>
      </c>
      <c r="L54" s="124">
        <v>1464775.93</v>
      </c>
      <c r="M54" s="124">
        <v>893105.27</v>
      </c>
      <c r="N54" s="124">
        <v>1645383</v>
      </c>
      <c r="O54" s="124">
        <v>1125800.74</v>
      </c>
      <c r="P54" s="124">
        <f>MIN($G54,$J54)</f>
        <v>1714285.3512499998</v>
      </c>
      <c r="Q54" s="126">
        <f t="shared" si="5"/>
        <v>15428568.161249999</v>
      </c>
      <c r="R54" s="126">
        <f t="shared" si="6"/>
        <v>7723928.838750001</v>
      </c>
      <c r="S54" s="126">
        <f t="shared" si="7"/>
        <v>2574642.9500000002</v>
      </c>
      <c r="T54" s="124">
        <v>1145708</v>
      </c>
      <c r="U54" s="124">
        <f t="shared" si="19"/>
        <v>1929374.75</v>
      </c>
      <c r="V54" s="124">
        <v>1145708</v>
      </c>
      <c r="W54" s="124">
        <f t="shared" si="20"/>
        <v>1929374.75</v>
      </c>
      <c r="X54" s="124">
        <f t="shared" si="20"/>
        <v>1929374.75</v>
      </c>
      <c r="Y54" s="124">
        <f t="shared" si="8"/>
        <v>5788124.25</v>
      </c>
      <c r="Z54" s="124">
        <f t="shared" si="9"/>
        <v>17670011.289999999</v>
      </c>
      <c r="AA54" s="124">
        <f t="shared" si="10"/>
        <v>-3070078.65</v>
      </c>
      <c r="AB54" s="124">
        <f t="shared" si="11"/>
        <v>21216692.411249999</v>
      </c>
      <c r="AC54" s="124"/>
      <c r="AD54" s="127"/>
      <c r="AE54" s="160">
        <v>20082418</v>
      </c>
    </row>
    <row r="55" spans="1:31" x14ac:dyDescent="0.25">
      <c r="A55" s="128" t="s">
        <v>60</v>
      </c>
      <c r="B55" s="156">
        <v>12340907</v>
      </c>
      <c r="C55" s="129">
        <f t="shared" si="0"/>
        <v>1028408.9166666666</v>
      </c>
      <c r="D55" s="129">
        <v>8190574.7199999997</v>
      </c>
      <c r="E55" s="129">
        <v>436744</v>
      </c>
      <c r="F55" s="129">
        <v>5696349.3300000001</v>
      </c>
      <c r="G55" s="129">
        <f t="shared" si="1"/>
        <v>941714.63624999998</v>
      </c>
      <c r="H55" s="130">
        <f t="shared" si="2"/>
        <v>0.91570057492532764</v>
      </c>
      <c r="I55" s="129">
        <f t="shared" si="3"/>
        <v>4807189.91</v>
      </c>
      <c r="J55" s="129">
        <f t="shared" si="4"/>
        <v>1201797.4775</v>
      </c>
      <c r="K55" s="129">
        <v>586133.7300000001</v>
      </c>
      <c r="L55" s="129">
        <v>948711.41</v>
      </c>
      <c r="M55" s="129">
        <v>582638.35999999987</v>
      </c>
      <c r="N55" s="129">
        <v>888656.35</v>
      </c>
      <c r="O55" s="129">
        <v>764514</v>
      </c>
      <c r="P55" s="129">
        <f>MIN($G55,$J55)</f>
        <v>941714.63624999998</v>
      </c>
      <c r="Q55" s="126">
        <f t="shared" si="5"/>
        <v>8475431.7262500003</v>
      </c>
      <c r="R55" s="126">
        <f t="shared" si="6"/>
        <v>3865475.2737499997</v>
      </c>
      <c r="S55" s="126">
        <f t="shared" si="7"/>
        <v>1288491.76</v>
      </c>
      <c r="T55" s="129">
        <v>853659.7</v>
      </c>
      <c r="U55" s="129">
        <f t="shared" si="19"/>
        <v>1028408.9166666666</v>
      </c>
      <c r="V55" s="129">
        <v>853659.7</v>
      </c>
      <c r="W55" s="129">
        <f t="shared" si="20"/>
        <v>1028408.9166666666</v>
      </c>
      <c r="X55" s="129">
        <f t="shared" si="20"/>
        <v>1028408.9166666666</v>
      </c>
      <c r="Y55" s="129">
        <f t="shared" si="8"/>
        <v>3085226.75</v>
      </c>
      <c r="Z55" s="129">
        <f t="shared" si="9"/>
        <v>12267924.209999999</v>
      </c>
      <c r="AA55" s="129">
        <f t="shared" si="10"/>
        <v>-1636434.94</v>
      </c>
      <c r="AB55" s="129">
        <f t="shared" si="11"/>
        <v>11560658.47625</v>
      </c>
      <c r="AC55" s="129"/>
      <c r="AD55" s="131"/>
      <c r="AE55" s="161">
        <v>10704472</v>
      </c>
    </row>
    <row r="56" spans="1:31" x14ac:dyDescent="0.25">
      <c r="A56" s="123" t="s">
        <v>31</v>
      </c>
      <c r="B56" s="155">
        <v>1993279</v>
      </c>
      <c r="C56" s="124">
        <f t="shared" si="0"/>
        <v>166106.58333333334</v>
      </c>
      <c r="D56" s="124">
        <v>556925.32000000007</v>
      </c>
      <c r="E56" s="124">
        <v>70542</v>
      </c>
      <c r="F56" s="124">
        <v>867412.39000000013</v>
      </c>
      <c r="G56" s="124">
        <f t="shared" si="1"/>
        <v>146416.10125000001</v>
      </c>
      <c r="H56" s="125">
        <f t="shared" si="2"/>
        <v>0.88145874962812532</v>
      </c>
      <c r="I56" s="124">
        <f t="shared" si="3"/>
        <v>821950.18999999983</v>
      </c>
      <c r="J56" s="124">
        <f t="shared" si="4"/>
        <v>205487.54749999996</v>
      </c>
      <c r="K56" s="124">
        <v>56225.250000000007</v>
      </c>
      <c r="L56" s="124">
        <v>154541.04999999999</v>
      </c>
      <c r="M56" s="124">
        <v>50773.57</v>
      </c>
      <c r="N56" s="124">
        <v>149375.37</v>
      </c>
      <c r="O56" s="124">
        <v>47915.58</v>
      </c>
      <c r="P56" s="124">
        <f>L56+65000</f>
        <v>219541.05</v>
      </c>
      <c r="Q56" s="126">
        <f t="shared" si="5"/>
        <v>1390869.86</v>
      </c>
      <c r="R56" s="126">
        <f t="shared" si="6"/>
        <v>602409.1399999999</v>
      </c>
      <c r="S56" s="126">
        <f t="shared" si="7"/>
        <v>200803.05</v>
      </c>
      <c r="T56" s="124">
        <v>63082.92</v>
      </c>
      <c r="U56" s="124">
        <f t="shared" si="19"/>
        <v>166106.58333333334</v>
      </c>
      <c r="V56" s="124">
        <v>63082.92</v>
      </c>
      <c r="W56" s="124">
        <f t="shared" si="20"/>
        <v>166106.58333333334</v>
      </c>
      <c r="X56" s="124">
        <f t="shared" si="20"/>
        <v>166106.58333333334</v>
      </c>
      <c r="Y56" s="124">
        <f t="shared" si="8"/>
        <v>498319.75</v>
      </c>
      <c r="Z56" s="124">
        <f t="shared" si="9"/>
        <v>908547.56</v>
      </c>
      <c r="AA56" s="124">
        <f t="shared" si="10"/>
        <v>-264313.75</v>
      </c>
      <c r="AB56" s="124">
        <f t="shared" si="11"/>
        <v>1889189.61</v>
      </c>
      <c r="AC56" s="124"/>
      <c r="AD56" s="127"/>
      <c r="AE56" s="160">
        <v>1728965</v>
      </c>
    </row>
    <row r="57" spans="1:31" x14ac:dyDescent="0.25">
      <c r="A57" s="128" t="s">
        <v>44</v>
      </c>
      <c r="B57" s="156">
        <v>3565949</v>
      </c>
      <c r="C57" s="129">
        <f t="shared" si="0"/>
        <v>297162.41666666669</v>
      </c>
      <c r="D57" s="129">
        <v>2152893.71</v>
      </c>
      <c r="E57" s="129">
        <v>126199</v>
      </c>
      <c r="F57" s="129">
        <v>1473207.0799999998</v>
      </c>
      <c r="G57" s="129">
        <f t="shared" si="1"/>
        <v>259653.23624999999</v>
      </c>
      <c r="H57" s="130">
        <f t="shared" si="2"/>
        <v>0.87377549005888744</v>
      </c>
      <c r="I57" s="129">
        <f t="shared" si="3"/>
        <v>1488723.11</v>
      </c>
      <c r="J57" s="129">
        <f t="shared" si="4"/>
        <v>372180.77750000003</v>
      </c>
      <c r="K57" s="129">
        <v>167659.89999999994</v>
      </c>
      <c r="L57" s="129">
        <v>240769.58</v>
      </c>
      <c r="M57" s="129">
        <v>192360.75</v>
      </c>
      <c r="N57" s="129">
        <v>363249.23</v>
      </c>
      <c r="O57" s="129">
        <v>237149.16</v>
      </c>
      <c r="P57" s="129">
        <f>MIN($G57,$J57)</f>
        <v>259653.23624999999</v>
      </c>
      <c r="Q57" s="126">
        <f t="shared" si="5"/>
        <v>2336879.1262499997</v>
      </c>
      <c r="R57" s="126">
        <f t="shared" si="6"/>
        <v>1229069.8737500003</v>
      </c>
      <c r="S57" s="126">
        <f t="shared" si="7"/>
        <v>409689.96</v>
      </c>
      <c r="T57" s="129">
        <v>277696.46000000002</v>
      </c>
      <c r="U57" s="129">
        <v>247000</v>
      </c>
      <c r="V57" s="129">
        <v>277696.46000000002</v>
      </c>
      <c r="W57" s="129">
        <v>247000</v>
      </c>
      <c r="X57" s="129">
        <f t="shared" si="20"/>
        <v>297162.41666666669</v>
      </c>
      <c r="Y57" s="129">
        <f t="shared" si="8"/>
        <v>791162.41666666674</v>
      </c>
      <c r="Z57" s="129">
        <f t="shared" si="9"/>
        <v>3431655.44</v>
      </c>
      <c r="AA57" s="129">
        <f t="shared" si="10"/>
        <v>-472853.7</v>
      </c>
      <c r="AB57" s="129">
        <f t="shared" si="11"/>
        <v>3128041.5429166667</v>
      </c>
      <c r="AC57" s="129"/>
      <c r="AD57" s="131"/>
      <c r="AE57" s="161">
        <v>3093095</v>
      </c>
    </row>
    <row r="58" spans="1:31" x14ac:dyDescent="0.25">
      <c r="A58" s="123" t="s">
        <v>54</v>
      </c>
      <c r="B58" s="155">
        <v>6804885</v>
      </c>
      <c r="C58" s="124">
        <f t="shared" si="0"/>
        <v>567073.75</v>
      </c>
      <c r="D58" s="124">
        <v>3875290.21</v>
      </c>
      <c r="E58" s="124">
        <v>240824</v>
      </c>
      <c r="F58" s="124">
        <v>3232763.33</v>
      </c>
      <c r="G58" s="124">
        <f t="shared" si="1"/>
        <v>501885.48625000002</v>
      </c>
      <c r="H58" s="125">
        <f t="shared" si="2"/>
        <v>0.88504446952446669</v>
      </c>
      <c r="I58" s="124">
        <f t="shared" si="3"/>
        <v>2789801.11</v>
      </c>
      <c r="J58" s="124">
        <f t="shared" si="4"/>
        <v>697450.27749999997</v>
      </c>
      <c r="K58" s="124">
        <v>310463.35999999999</v>
      </c>
      <c r="L58" s="124">
        <v>393719.77</v>
      </c>
      <c r="M58" s="124">
        <v>312258.69</v>
      </c>
      <c r="N58" s="124">
        <v>388600.79</v>
      </c>
      <c r="O58" s="124">
        <v>355638.16</v>
      </c>
      <c r="P58" s="124">
        <f>MIN($G58,$J58)</f>
        <v>501885.48625000002</v>
      </c>
      <c r="Q58" s="126">
        <f t="shared" si="5"/>
        <v>4516969.3762500007</v>
      </c>
      <c r="R58" s="126">
        <f t="shared" si="6"/>
        <v>2287915.6237499993</v>
      </c>
      <c r="S58" s="126">
        <f t="shared" si="7"/>
        <v>762638.54</v>
      </c>
      <c r="T58" s="124">
        <v>405680.78</v>
      </c>
      <c r="U58" s="124">
        <f t="shared" si="19"/>
        <v>567073.75</v>
      </c>
      <c r="V58" s="124">
        <v>405680.78</v>
      </c>
      <c r="W58" s="124">
        <f t="shared" si="20"/>
        <v>567073.75</v>
      </c>
      <c r="X58" s="124">
        <f t="shared" si="20"/>
        <v>567073.75</v>
      </c>
      <c r="Y58" s="124">
        <f t="shared" si="8"/>
        <v>1701221.25</v>
      </c>
      <c r="Z58" s="124">
        <f t="shared" si="9"/>
        <v>5905835.9800000004</v>
      </c>
      <c r="AA58" s="124">
        <f t="shared" si="10"/>
        <v>-902344.66</v>
      </c>
      <c r="AB58" s="124">
        <f t="shared" si="11"/>
        <v>6218190.6262500007</v>
      </c>
      <c r="AC58" s="124"/>
      <c r="AD58" s="127"/>
      <c r="AE58" s="160">
        <v>5902540</v>
      </c>
    </row>
    <row r="59" spans="1:31" x14ac:dyDescent="0.25">
      <c r="A59" s="128" t="s">
        <v>45</v>
      </c>
      <c r="B59" s="156">
        <v>3167828</v>
      </c>
      <c r="C59" s="129">
        <f t="shared" si="0"/>
        <v>263985.66666666669</v>
      </c>
      <c r="D59" s="129">
        <v>2192529.2100000004</v>
      </c>
      <c r="E59" s="129">
        <v>112109</v>
      </c>
      <c r="F59" s="129">
        <v>1720316.3599999999</v>
      </c>
      <c r="G59" s="129">
        <f t="shared" si="1"/>
        <v>282688.09125</v>
      </c>
      <c r="H59" s="130">
        <f t="shared" si="2"/>
        <v>1.0708463638177323</v>
      </c>
      <c r="I59" s="129">
        <f t="shared" si="3"/>
        <v>906323.27000000025</v>
      </c>
      <c r="J59" s="129">
        <f t="shared" si="4"/>
        <v>226580.81750000006</v>
      </c>
      <c r="K59" s="129">
        <v>193260.1</v>
      </c>
      <c r="L59" s="129">
        <v>296118.68</v>
      </c>
      <c r="M59" s="129">
        <v>198784.47000000006</v>
      </c>
      <c r="N59" s="129">
        <v>245069.69</v>
      </c>
      <c r="O59" s="129">
        <v>263971.65999999997</v>
      </c>
      <c r="P59" s="129">
        <f>MIN($G59,$J59)</f>
        <v>226580.81750000006</v>
      </c>
      <c r="Q59" s="126">
        <f t="shared" si="5"/>
        <v>2488085.5474999999</v>
      </c>
      <c r="R59" s="126">
        <f t="shared" si="6"/>
        <v>679742.45250000013</v>
      </c>
      <c r="S59" s="126">
        <f t="shared" si="7"/>
        <v>226580.82</v>
      </c>
      <c r="T59" s="129">
        <v>237453.11</v>
      </c>
      <c r="U59" s="129">
        <f t="shared" si="19"/>
        <v>226580.82</v>
      </c>
      <c r="V59" s="129">
        <v>237453.11</v>
      </c>
      <c r="W59" s="129">
        <f t="shared" si="20"/>
        <v>226580.82</v>
      </c>
      <c r="X59" s="129">
        <f t="shared" si="20"/>
        <v>226580.82</v>
      </c>
      <c r="Y59" s="129">
        <f t="shared" si="8"/>
        <v>679742.46</v>
      </c>
      <c r="Z59" s="129">
        <f t="shared" si="9"/>
        <v>3435560.66</v>
      </c>
      <c r="AA59" s="129">
        <f t="shared" si="10"/>
        <v>-420061.87</v>
      </c>
      <c r="AB59" s="129">
        <f t="shared" si="11"/>
        <v>3167828.0074999998</v>
      </c>
      <c r="AC59" s="129"/>
      <c r="AD59" s="131"/>
      <c r="AE59" s="161">
        <v>2747766</v>
      </c>
    </row>
    <row r="60" spans="1:31" x14ac:dyDescent="0.25">
      <c r="A60" s="123" t="s">
        <v>55</v>
      </c>
      <c r="B60" s="155">
        <v>8228236</v>
      </c>
      <c r="C60" s="124">
        <f t="shared" si="0"/>
        <v>685686.33333333337</v>
      </c>
      <c r="D60" s="124">
        <v>4064862.6</v>
      </c>
      <c r="E60" s="124">
        <v>291197</v>
      </c>
      <c r="F60" s="124">
        <v>3745015.51</v>
      </c>
      <c r="G60" s="124">
        <f t="shared" si="1"/>
        <v>604962.67374999996</v>
      </c>
      <c r="H60" s="125">
        <f t="shared" si="2"/>
        <v>0.88227319743867327</v>
      </c>
      <c r="I60" s="124">
        <f t="shared" si="3"/>
        <v>3388534.6100000003</v>
      </c>
      <c r="J60" s="124">
        <f t="shared" si="4"/>
        <v>847133.65250000008</v>
      </c>
      <c r="K60" s="124">
        <v>353595.08999999997</v>
      </c>
      <c r="L60" s="124">
        <v>563358.37</v>
      </c>
      <c r="M60" s="124">
        <v>345524.51000000007</v>
      </c>
      <c r="N60" s="124">
        <v>531327.51</v>
      </c>
      <c r="O60" s="124">
        <v>429373.1</v>
      </c>
      <c r="P60" s="124">
        <v>536214.27</v>
      </c>
      <c r="Q60" s="126">
        <f t="shared" si="5"/>
        <v>5375915.6600000001</v>
      </c>
      <c r="R60" s="126">
        <f t="shared" si="6"/>
        <v>2852320.34</v>
      </c>
      <c r="S60" s="126">
        <f t="shared" si="7"/>
        <v>950773.45</v>
      </c>
      <c r="T60" s="124">
        <v>493883.5</v>
      </c>
      <c r="U60" s="124">
        <v>814622</v>
      </c>
      <c r="V60" s="124">
        <v>493883.5</v>
      </c>
      <c r="W60" s="124">
        <v>548652</v>
      </c>
      <c r="X60" s="124">
        <v>762316</v>
      </c>
      <c r="Y60" s="124">
        <f t="shared" si="8"/>
        <v>2125590</v>
      </c>
      <c r="Z60" s="124">
        <f t="shared" si="9"/>
        <v>6472319.3000000007</v>
      </c>
      <c r="AA60" s="124">
        <f t="shared" si="10"/>
        <v>-1091084.54</v>
      </c>
      <c r="AB60" s="124">
        <f t="shared" si="11"/>
        <v>7501505.6600000001</v>
      </c>
      <c r="AC60" s="124"/>
      <c r="AD60" s="127"/>
      <c r="AE60" s="160">
        <v>7137151</v>
      </c>
    </row>
    <row r="61" spans="1:31" x14ac:dyDescent="0.25">
      <c r="A61" s="128" t="s">
        <v>56</v>
      </c>
      <c r="B61" s="156">
        <v>8901420</v>
      </c>
      <c r="C61" s="129">
        <f t="shared" si="0"/>
        <v>741785</v>
      </c>
      <c r="D61" s="129">
        <v>5115035.43</v>
      </c>
      <c r="E61" s="129">
        <v>315020</v>
      </c>
      <c r="F61" s="129">
        <v>4433456.68</v>
      </c>
      <c r="G61" s="129">
        <f t="shared" si="1"/>
        <v>711563.31124999991</v>
      </c>
      <c r="H61" s="130">
        <f t="shared" si="2"/>
        <v>0.95925815600207598</v>
      </c>
      <c r="I61" s="129">
        <f t="shared" si="3"/>
        <v>3208913.5100000007</v>
      </c>
      <c r="J61" s="129">
        <f t="shared" si="4"/>
        <v>802228.37750000018</v>
      </c>
      <c r="K61" s="129">
        <v>470405.54999999993</v>
      </c>
      <c r="L61" s="129">
        <v>638888.59</v>
      </c>
      <c r="M61" s="129">
        <v>441780.24000000011</v>
      </c>
      <c r="N61" s="129">
        <v>620161.22</v>
      </c>
      <c r="O61" s="129">
        <v>649826.02</v>
      </c>
      <c r="P61" s="129">
        <v>641924</v>
      </c>
      <c r="Q61" s="126">
        <f t="shared" si="5"/>
        <v>6334430.4900000002</v>
      </c>
      <c r="R61" s="126">
        <f t="shared" si="6"/>
        <v>2566989.5099999998</v>
      </c>
      <c r="S61" s="126">
        <f t="shared" si="7"/>
        <v>855663.17</v>
      </c>
      <c r="T61" s="129">
        <v>503789.29</v>
      </c>
      <c r="U61" s="129">
        <v>663054</v>
      </c>
      <c r="V61" s="129">
        <v>553000</v>
      </c>
      <c r="W61" s="129">
        <v>634165</v>
      </c>
      <c r="X61" s="129">
        <v>816271</v>
      </c>
      <c r="Y61" s="129">
        <f t="shared" si="8"/>
        <v>2113490</v>
      </c>
      <c r="Z61" s="129">
        <f t="shared" si="9"/>
        <v>8048856.5299999993</v>
      </c>
      <c r="AA61" s="129">
        <f t="shared" si="10"/>
        <v>-1180350.42</v>
      </c>
      <c r="AB61" s="129">
        <f t="shared" si="11"/>
        <v>8447920.4899999984</v>
      </c>
      <c r="AC61" s="129"/>
      <c r="AD61" s="131"/>
      <c r="AE61" s="161">
        <v>7721069</v>
      </c>
    </row>
    <row r="62" spans="1:31" x14ac:dyDescent="0.25">
      <c r="A62" s="123" t="s">
        <v>38</v>
      </c>
      <c r="B62" s="155">
        <v>1864635</v>
      </c>
      <c r="C62" s="124">
        <f t="shared" si="0"/>
        <v>155386.25</v>
      </c>
      <c r="D62" s="124">
        <v>1198862.1300000001</v>
      </c>
      <c r="E62" s="124">
        <v>65989</v>
      </c>
      <c r="F62" s="124">
        <v>829717.67</v>
      </c>
      <c r="G62" s="124">
        <f t="shared" si="1"/>
        <v>137286.14375000002</v>
      </c>
      <c r="H62" s="125">
        <f t="shared" si="2"/>
        <v>0.8835153930930183</v>
      </c>
      <c r="I62" s="124">
        <f t="shared" si="3"/>
        <v>766345.84999999986</v>
      </c>
      <c r="J62" s="124">
        <f t="shared" si="4"/>
        <v>191586.46249999997</v>
      </c>
      <c r="K62" s="124">
        <v>114301.96000000002</v>
      </c>
      <c r="L62" s="124">
        <v>137490.44</v>
      </c>
      <c r="M62" s="124">
        <v>115497.66</v>
      </c>
      <c r="N62" s="124">
        <v>131081.04</v>
      </c>
      <c r="O62" s="124">
        <v>155646.79999999999</v>
      </c>
      <c r="P62" s="124">
        <f>MIN($G62,$J62)</f>
        <v>137286.14375000002</v>
      </c>
      <c r="Q62" s="126">
        <f t="shared" si="5"/>
        <v>1235575.2937500002</v>
      </c>
      <c r="R62" s="126">
        <f t="shared" si="6"/>
        <v>629059.70624999981</v>
      </c>
      <c r="S62" s="126">
        <f t="shared" si="7"/>
        <v>209686.57</v>
      </c>
      <c r="T62" s="124">
        <v>124135.75</v>
      </c>
      <c r="U62" s="124">
        <v>195000</v>
      </c>
      <c r="V62" s="124">
        <v>124135.75</v>
      </c>
      <c r="W62" s="124">
        <v>155387</v>
      </c>
      <c r="X62" s="124">
        <v>155387</v>
      </c>
      <c r="Y62" s="124">
        <f t="shared" si="8"/>
        <v>505774</v>
      </c>
      <c r="Z62" s="124">
        <f t="shared" si="9"/>
        <v>1898569.05</v>
      </c>
      <c r="AA62" s="124">
        <f t="shared" si="10"/>
        <v>-247255.24</v>
      </c>
      <c r="AB62" s="124">
        <f t="shared" si="11"/>
        <v>1741349.2937500002</v>
      </c>
      <c r="AC62" s="124"/>
      <c r="AD62" s="127"/>
      <c r="AE62" s="160">
        <v>1617380</v>
      </c>
    </row>
    <row r="63" spans="1:31" x14ac:dyDescent="0.25">
      <c r="A63" s="128" t="s">
        <v>27</v>
      </c>
      <c r="B63" s="156">
        <v>1098181</v>
      </c>
      <c r="C63" s="129">
        <f t="shared" si="0"/>
        <v>91515.083333333328</v>
      </c>
      <c r="D63" s="129">
        <v>591473.5199999999</v>
      </c>
      <c r="E63" s="129">
        <v>38864</v>
      </c>
      <c r="F63" s="129">
        <v>520433.56</v>
      </c>
      <c r="G63" s="129">
        <f t="shared" si="1"/>
        <v>85570.28125</v>
      </c>
      <c r="H63" s="130">
        <f t="shared" si="2"/>
        <v>0.93504019373855496</v>
      </c>
      <c r="I63" s="129">
        <f t="shared" si="3"/>
        <v>413618.74999999994</v>
      </c>
      <c r="J63" s="129">
        <f t="shared" si="4"/>
        <v>103404.68749999999</v>
      </c>
      <c r="K63" s="129">
        <v>106948.70000000003</v>
      </c>
      <c r="L63" s="129">
        <v>81363.570000000007</v>
      </c>
      <c r="M63" s="129">
        <v>61434.439999999988</v>
      </c>
      <c r="N63" s="129">
        <v>82765.119999999995</v>
      </c>
      <c r="O63" s="129">
        <v>59837.98</v>
      </c>
      <c r="P63" s="129">
        <f>MIN($G63,$J63)</f>
        <v>85570.28125</v>
      </c>
      <c r="Q63" s="126">
        <f t="shared" si="5"/>
        <v>770132.53125</v>
      </c>
      <c r="R63" s="126">
        <f t="shared" si="6"/>
        <v>328048.46875</v>
      </c>
      <c r="S63" s="126">
        <f t="shared" si="7"/>
        <v>109349.49</v>
      </c>
      <c r="T63" s="129">
        <v>66260.52</v>
      </c>
      <c r="U63" s="129">
        <v>121000</v>
      </c>
      <c r="V63" s="129">
        <v>66260.52</v>
      </c>
      <c r="W63" s="129">
        <f t="shared" ref="W63:X67" si="21">MIN($C63,$S63)</f>
        <v>91515.083333333328</v>
      </c>
      <c r="X63" s="129">
        <f t="shared" si="21"/>
        <v>91515.083333333328</v>
      </c>
      <c r="Y63" s="129">
        <f t="shared" si="8"/>
        <v>304030.16666666663</v>
      </c>
      <c r="Z63" s="129">
        <f t="shared" si="9"/>
        <v>991079.67999999993</v>
      </c>
      <c r="AA63" s="129">
        <f t="shared" si="10"/>
        <v>-145621.53</v>
      </c>
      <c r="AB63" s="129">
        <f t="shared" si="11"/>
        <v>1074162.6979166667</v>
      </c>
      <c r="AC63" s="129"/>
      <c r="AD63" s="131"/>
      <c r="AE63" s="161">
        <v>952560</v>
      </c>
    </row>
    <row r="64" spans="1:31" x14ac:dyDescent="0.25">
      <c r="A64" s="123" t="s">
        <v>19</v>
      </c>
      <c r="B64" s="155">
        <v>526312</v>
      </c>
      <c r="C64" s="124">
        <f t="shared" si="0"/>
        <v>43859.333333333336</v>
      </c>
      <c r="D64" s="124">
        <v>249503.43</v>
      </c>
      <c r="E64" s="124">
        <v>18626</v>
      </c>
      <c r="F64" s="124">
        <v>285519.99</v>
      </c>
      <c r="G64" s="124">
        <f t="shared" si="1"/>
        <v>45732.682499999995</v>
      </c>
      <c r="H64" s="125">
        <f t="shared" si="2"/>
        <v>1.0427126685312134</v>
      </c>
      <c r="I64" s="124">
        <f t="shared" si="3"/>
        <v>160450.54</v>
      </c>
      <c r="J64" s="124">
        <f t="shared" si="4"/>
        <v>40112.635000000002</v>
      </c>
      <c r="K64" s="124">
        <v>17647.89</v>
      </c>
      <c r="L64" s="124">
        <v>43692.29</v>
      </c>
      <c r="M64" s="124">
        <v>26441.18</v>
      </c>
      <c r="N64" s="124">
        <v>36649.18</v>
      </c>
      <c r="O64" s="124">
        <v>17999.919999999998</v>
      </c>
      <c r="P64" s="124">
        <f>MIN($G64,$J64)</f>
        <v>40112.635000000002</v>
      </c>
      <c r="Q64" s="126">
        <f t="shared" si="5"/>
        <v>405974.09499999997</v>
      </c>
      <c r="R64" s="126">
        <f t="shared" si="6"/>
        <v>120337.90500000003</v>
      </c>
      <c r="S64" s="126">
        <f t="shared" si="7"/>
        <v>40112.639999999999</v>
      </c>
      <c r="T64" s="124">
        <v>22337.25</v>
      </c>
      <c r="U64" s="124">
        <f>MIN($C64,$S64)</f>
        <v>40112.639999999999</v>
      </c>
      <c r="V64" s="124">
        <v>22337.25</v>
      </c>
      <c r="W64" s="124">
        <f t="shared" si="21"/>
        <v>40112.639999999999</v>
      </c>
      <c r="X64" s="124">
        <f t="shared" si="21"/>
        <v>40112.639999999999</v>
      </c>
      <c r="Y64" s="124">
        <f t="shared" si="8"/>
        <v>120337.92</v>
      </c>
      <c r="Z64" s="124">
        <f t="shared" si="9"/>
        <v>374892.92</v>
      </c>
      <c r="AA64" s="124">
        <f t="shared" si="10"/>
        <v>-69790.28</v>
      </c>
      <c r="AB64" s="124">
        <f t="shared" si="11"/>
        <v>526312.01500000001</v>
      </c>
      <c r="AC64" s="124"/>
      <c r="AD64" s="127"/>
      <c r="AE64" s="160">
        <v>456522</v>
      </c>
    </row>
    <row r="65" spans="1:31" x14ac:dyDescent="0.25">
      <c r="A65" s="128" t="s">
        <v>14</v>
      </c>
      <c r="B65" s="156">
        <v>467330</v>
      </c>
      <c r="C65" s="129">
        <f t="shared" si="0"/>
        <v>38944.166666666664</v>
      </c>
      <c r="D65" s="129">
        <v>84889.21</v>
      </c>
      <c r="E65" s="129">
        <v>16539</v>
      </c>
      <c r="F65" s="129">
        <v>221787.08</v>
      </c>
      <c r="G65" s="129">
        <f t="shared" si="1"/>
        <v>37633.167499999996</v>
      </c>
      <c r="H65" s="130">
        <f t="shared" si="2"/>
        <v>0.96633644319859624</v>
      </c>
      <c r="I65" s="129">
        <f t="shared" si="3"/>
        <v>166264.66</v>
      </c>
      <c r="J65" s="129">
        <f t="shared" si="4"/>
        <v>41566.165000000001</v>
      </c>
      <c r="K65" s="129">
        <v>5565.88</v>
      </c>
      <c r="L65" s="129">
        <v>46966.42</v>
      </c>
      <c r="M65" s="129">
        <v>6966.85</v>
      </c>
      <c r="N65" s="129">
        <v>32311.84</v>
      </c>
      <c r="O65" s="129">
        <v>8510.9500000000007</v>
      </c>
      <c r="P65" s="129">
        <f>MIN($G65,$J65)</f>
        <v>37633.167499999996</v>
      </c>
      <c r="Q65" s="126">
        <f t="shared" si="5"/>
        <v>338698.50749999995</v>
      </c>
      <c r="R65" s="126">
        <f t="shared" si="6"/>
        <v>128631.49250000005</v>
      </c>
      <c r="S65" s="126">
        <f t="shared" si="7"/>
        <v>42877.16</v>
      </c>
      <c r="T65" s="129">
        <v>6348.88</v>
      </c>
      <c r="U65" s="129">
        <f>MIN($C65,$S65)</f>
        <v>38944.166666666664</v>
      </c>
      <c r="V65" s="129">
        <v>6348.88</v>
      </c>
      <c r="W65" s="129">
        <f t="shared" si="21"/>
        <v>38944.166666666664</v>
      </c>
      <c r="X65" s="129">
        <f t="shared" si="21"/>
        <v>38944.166666666664</v>
      </c>
      <c r="Y65" s="129">
        <f t="shared" si="8"/>
        <v>116832.5</v>
      </c>
      <c r="Z65" s="129">
        <f t="shared" si="9"/>
        <v>135169.65</v>
      </c>
      <c r="AA65" s="129">
        <f t="shared" si="10"/>
        <v>-61969.120000000003</v>
      </c>
      <c r="AB65" s="129">
        <f t="shared" si="11"/>
        <v>455531.00749999995</v>
      </c>
      <c r="AC65" s="129"/>
      <c r="AD65" s="131"/>
      <c r="AE65" s="161">
        <v>405361</v>
      </c>
    </row>
    <row r="66" spans="1:31" x14ac:dyDescent="0.25">
      <c r="A66" s="123" t="s">
        <v>61</v>
      </c>
      <c r="B66" s="155">
        <v>11653280</v>
      </c>
      <c r="C66" s="124">
        <f t="shared" si="0"/>
        <v>971106.66666666663</v>
      </c>
      <c r="D66" s="124">
        <v>5549559.3399999999</v>
      </c>
      <c r="E66" s="124">
        <v>412409</v>
      </c>
      <c r="F66" s="124">
        <v>4814639.42</v>
      </c>
      <c r="G66" s="124">
        <f t="shared" si="1"/>
        <v>865762.88375000004</v>
      </c>
      <c r="H66" s="125">
        <f t="shared" si="2"/>
        <v>0.891521923870361</v>
      </c>
      <c r="I66" s="124">
        <f t="shared" si="3"/>
        <v>4727176.9300000006</v>
      </c>
      <c r="J66" s="124">
        <f t="shared" si="4"/>
        <v>1181794.2325000002</v>
      </c>
      <c r="K66" s="124">
        <v>500562.27999999997</v>
      </c>
      <c r="L66" s="124">
        <v>1329554.94</v>
      </c>
      <c r="M66" s="124">
        <v>514823.17999999988</v>
      </c>
      <c r="N66" s="124">
        <v>781908.71</v>
      </c>
      <c r="O66" s="124">
        <v>669749.76000000001</v>
      </c>
      <c r="P66" s="124">
        <f>N66</f>
        <v>781908.71</v>
      </c>
      <c r="Q66" s="126">
        <f t="shared" si="5"/>
        <v>7708011.7799999993</v>
      </c>
      <c r="R66" s="126">
        <f t="shared" si="6"/>
        <v>3945268.2200000007</v>
      </c>
      <c r="S66" s="126">
        <f t="shared" si="7"/>
        <v>1315089.4099999999</v>
      </c>
      <c r="T66" s="124">
        <v>588768.76</v>
      </c>
      <c r="U66" s="124">
        <f>MIN($C66,$S66)</f>
        <v>971106.66666666663</v>
      </c>
      <c r="V66" s="124">
        <v>588768.76</v>
      </c>
      <c r="W66" s="124">
        <f t="shared" si="21"/>
        <v>971106.66666666663</v>
      </c>
      <c r="X66" s="124">
        <f t="shared" si="21"/>
        <v>971106.66666666663</v>
      </c>
      <c r="Y66" s="124">
        <f t="shared" si="8"/>
        <v>2913320</v>
      </c>
      <c r="Z66" s="124">
        <f t="shared" si="9"/>
        <v>8824641.0800000001</v>
      </c>
      <c r="AA66" s="124">
        <f t="shared" si="10"/>
        <v>-1545253.89</v>
      </c>
      <c r="AB66" s="124">
        <f t="shared" si="11"/>
        <v>10621331.779999999</v>
      </c>
      <c r="AC66" s="124"/>
      <c r="AD66" s="127"/>
      <c r="AE66" s="160">
        <v>10108026</v>
      </c>
    </row>
    <row r="67" spans="1:31" x14ac:dyDescent="0.25">
      <c r="A67" s="128" t="s">
        <v>20</v>
      </c>
      <c r="B67" s="156">
        <v>644175</v>
      </c>
      <c r="C67" s="129">
        <f t="shared" ref="C67:C68" si="22">B67/12</f>
        <v>53681.25</v>
      </c>
      <c r="D67" s="129">
        <v>318232.12</v>
      </c>
      <c r="E67" s="129">
        <v>22797</v>
      </c>
      <c r="F67" s="129">
        <v>339482.17</v>
      </c>
      <c r="G67" s="129">
        <f t="shared" ref="G67:G69" si="23">(F67+N67+L67)/8</f>
        <v>55118.222499999996</v>
      </c>
      <c r="H67" s="130">
        <f t="shared" ref="H67:H69" si="24">G67/C67</f>
        <v>1.0267686110140877</v>
      </c>
      <c r="I67" s="129">
        <f t="shared" ref="I67:I69" si="25">B67-F67-L67-N67</f>
        <v>203229.22</v>
      </c>
      <c r="J67" s="129">
        <f t="shared" ref="J67:J69" si="26">I67/4</f>
        <v>50807.305</v>
      </c>
      <c r="K67" s="129">
        <v>33337.18</v>
      </c>
      <c r="L67" s="129">
        <v>50976.1</v>
      </c>
      <c r="M67" s="129">
        <v>25170.569999999996</v>
      </c>
      <c r="N67" s="129">
        <v>50487.51</v>
      </c>
      <c r="O67" s="129">
        <v>29446.84</v>
      </c>
      <c r="P67" s="129">
        <f>MIN($G67,$J67)</f>
        <v>50807.305</v>
      </c>
      <c r="Q67" s="126">
        <f t="shared" ref="Q67:Q69" si="27">P67+N67+L67+F67</f>
        <v>491753.08499999996</v>
      </c>
      <c r="R67" s="126">
        <f t="shared" ref="R67:R69" si="28">B67-Q67</f>
        <v>152421.91500000004</v>
      </c>
      <c r="S67" s="126">
        <f t="shared" ref="S67:S69" si="29">ROUND((R67/3),2)</f>
        <v>50807.31</v>
      </c>
      <c r="T67" s="129">
        <v>35473.050000000003</v>
      </c>
      <c r="U67" s="129">
        <v>70807.289999999994</v>
      </c>
      <c r="V67" s="129">
        <v>35473.050000000003</v>
      </c>
      <c r="W67" s="129">
        <f t="shared" si="21"/>
        <v>50807.31</v>
      </c>
      <c r="X67" s="129">
        <f t="shared" si="21"/>
        <v>50807.31</v>
      </c>
      <c r="Y67" s="129">
        <f t="shared" ref="Y67:Y69" si="30">X67+W67+U67</f>
        <v>172421.90999999997</v>
      </c>
      <c r="Z67" s="129">
        <f t="shared" ref="Z67:Z69" si="31">V67+T67+O67+M67+K67+D67+E67</f>
        <v>499929.81</v>
      </c>
      <c r="AA67" s="129">
        <f t="shared" ref="AA67:AA69" si="32">ROUND((B67*$AD$74),2)</f>
        <v>-85419.21</v>
      </c>
      <c r="AB67" s="129">
        <f t="shared" ref="AB67:AB69" si="33">X67+W67+U67+P67+N67+L67+F67</f>
        <v>664174.99499999988</v>
      </c>
      <c r="AC67" s="129"/>
      <c r="AD67" s="131"/>
      <c r="AE67" s="161">
        <v>558756</v>
      </c>
    </row>
    <row r="68" spans="1:31" x14ac:dyDescent="0.25">
      <c r="A68" s="123" t="s">
        <v>32</v>
      </c>
      <c r="B68" s="155">
        <v>1632548</v>
      </c>
      <c r="C68" s="124">
        <f t="shared" si="22"/>
        <v>136045.66666666666</v>
      </c>
      <c r="D68" s="124">
        <v>830456.37</v>
      </c>
      <c r="E68" s="124">
        <v>57776</v>
      </c>
      <c r="F68" s="124">
        <v>685146.03</v>
      </c>
      <c r="G68" s="124">
        <f t="shared" si="23"/>
        <v>113933.88374999999</v>
      </c>
      <c r="H68" s="125">
        <f t="shared" si="24"/>
        <v>0.83746793662422181</v>
      </c>
      <c r="I68" s="124">
        <f t="shared" si="25"/>
        <v>721076.93</v>
      </c>
      <c r="J68" s="124">
        <f t="shared" si="26"/>
        <v>180269.23250000001</v>
      </c>
      <c r="K68" s="124">
        <v>87089.749999999985</v>
      </c>
      <c r="L68" s="124">
        <v>113387.96</v>
      </c>
      <c r="M68" s="124">
        <v>80291.75</v>
      </c>
      <c r="N68" s="124">
        <v>112937.08</v>
      </c>
      <c r="O68" s="124">
        <v>95300.62</v>
      </c>
      <c r="P68" s="124">
        <f>MIN($G68,$J68)</f>
        <v>113933.88374999999</v>
      </c>
      <c r="Q68" s="126">
        <f t="shared" si="27"/>
        <v>1025404.9537500001</v>
      </c>
      <c r="R68" s="126">
        <f t="shared" si="28"/>
        <v>607143.0462499999</v>
      </c>
      <c r="S68" s="126">
        <f t="shared" si="29"/>
        <v>202381.02</v>
      </c>
      <c r="T68" s="124">
        <v>87049.47</v>
      </c>
      <c r="U68" s="124">
        <f>C68+55840.71</f>
        <v>191886.37666666665</v>
      </c>
      <c r="V68" s="124">
        <v>87049.47</v>
      </c>
      <c r="W68" s="124">
        <f>MIN($C68,$S68)</f>
        <v>136045.66666666666</v>
      </c>
      <c r="X68" s="124">
        <f>C68+47172.57</f>
        <v>183218.23666666666</v>
      </c>
      <c r="Y68" s="124">
        <f t="shared" si="30"/>
        <v>511150.27999999997</v>
      </c>
      <c r="Z68" s="124">
        <f t="shared" si="31"/>
        <v>1325013.43</v>
      </c>
      <c r="AA68" s="124">
        <f t="shared" si="32"/>
        <v>-216479.92</v>
      </c>
      <c r="AB68" s="124">
        <f t="shared" si="33"/>
        <v>1536555.2337499999</v>
      </c>
      <c r="AC68" s="124"/>
      <c r="AD68" s="127"/>
      <c r="AE68" s="160">
        <v>1416069</v>
      </c>
    </row>
    <row r="69" spans="1:31" ht="14.25" thickBot="1" x14ac:dyDescent="0.3">
      <c r="A69" s="132" t="s">
        <v>21</v>
      </c>
      <c r="B69" s="157">
        <v>754649</v>
      </c>
      <c r="C69" s="133">
        <f>B69/12</f>
        <v>62887.416666666664</v>
      </c>
      <c r="D69" s="133">
        <v>228243.64000000004</v>
      </c>
      <c r="E69" s="133">
        <v>26707</v>
      </c>
      <c r="F69" s="133">
        <v>314385.90999999997</v>
      </c>
      <c r="G69" s="133">
        <f t="shared" si="23"/>
        <v>50630.647499999999</v>
      </c>
      <c r="H69" s="134">
        <f t="shared" si="24"/>
        <v>0.80509981461580149</v>
      </c>
      <c r="I69" s="133">
        <f t="shared" si="25"/>
        <v>349603.82</v>
      </c>
      <c r="J69" s="133">
        <f t="shared" si="26"/>
        <v>87400.955000000002</v>
      </c>
      <c r="K69" s="133">
        <v>30693.52</v>
      </c>
      <c r="L69" s="133">
        <v>36866.639999999999</v>
      </c>
      <c r="M69" s="133">
        <v>26983.259999999991</v>
      </c>
      <c r="N69" s="133">
        <v>53792.63</v>
      </c>
      <c r="O69" s="133">
        <v>36367.82</v>
      </c>
      <c r="P69" s="133">
        <f>MIN($G69,$J69)</f>
        <v>50630.647499999999</v>
      </c>
      <c r="Q69" s="135">
        <f t="shared" si="27"/>
        <v>455675.82749999996</v>
      </c>
      <c r="R69" s="135">
        <f t="shared" si="28"/>
        <v>298973.17250000004</v>
      </c>
      <c r="S69" s="135">
        <f t="shared" si="29"/>
        <v>99657.72</v>
      </c>
      <c r="T69" s="133">
        <v>26484.79</v>
      </c>
      <c r="U69" s="133">
        <f>MIN($C69,$S69)</f>
        <v>62887.416666666664</v>
      </c>
      <c r="V69" s="133">
        <v>26484.79</v>
      </c>
      <c r="W69" s="133">
        <f>MIN($C69,$S69)</f>
        <v>62887.416666666664</v>
      </c>
      <c r="X69" s="133">
        <f>MIN($C69,$S69)</f>
        <v>62887.416666666664</v>
      </c>
      <c r="Y69" s="133">
        <f t="shared" si="30"/>
        <v>188662.25</v>
      </c>
      <c r="Z69" s="133">
        <f t="shared" si="31"/>
        <v>401964.82000000007</v>
      </c>
      <c r="AA69" s="133">
        <f t="shared" si="32"/>
        <v>-100068.33</v>
      </c>
      <c r="AB69" s="133">
        <f t="shared" si="33"/>
        <v>644338.0774999999</v>
      </c>
      <c r="AC69" s="133"/>
      <c r="AD69" s="136"/>
      <c r="AE69" s="162">
        <v>654581</v>
      </c>
    </row>
    <row r="70" spans="1:31" x14ac:dyDescent="0.25">
      <c r="A70" s="77"/>
      <c r="B70" s="158"/>
      <c r="C70" s="77"/>
      <c r="D70" s="77"/>
      <c r="E70" s="77"/>
      <c r="F70" s="77"/>
      <c r="G70" s="137"/>
      <c r="H70" s="13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AE70" s="158"/>
    </row>
    <row r="71" spans="1:31" ht="14.25" thickBot="1" x14ac:dyDescent="0.3">
      <c r="A71" s="138" t="s">
        <v>98</v>
      </c>
      <c r="B71" s="92">
        <f t="shared" ref="B71:G71" si="34">SUM(B3:B69)</f>
        <v>446812672</v>
      </c>
      <c r="C71" s="138">
        <f t="shared" si="34"/>
        <v>37234389.333333328</v>
      </c>
      <c r="D71" s="138">
        <f t="shared" si="34"/>
        <v>250767049.9600001</v>
      </c>
      <c r="E71" s="138">
        <f t="shared" si="34"/>
        <v>15812670</v>
      </c>
      <c r="F71" s="138">
        <f t="shared" si="34"/>
        <v>203179223.70000002</v>
      </c>
      <c r="G71" s="138">
        <f t="shared" si="34"/>
        <v>34108156.781249993</v>
      </c>
      <c r="H71" s="134">
        <f>G71/C71</f>
        <v>0.91603910771581687</v>
      </c>
      <c r="I71" s="138">
        <f t="shared" ref="I71:X71" si="35">SUM(I3:I69)</f>
        <v>173947417.75000003</v>
      </c>
      <c r="J71" s="138">
        <f t="shared" si="35"/>
        <v>43486854.437500007</v>
      </c>
      <c r="K71" s="138">
        <f t="shared" si="35"/>
        <v>21595008.000000007</v>
      </c>
      <c r="L71" s="138">
        <f t="shared" si="35"/>
        <v>33546002.885000009</v>
      </c>
      <c r="M71" s="138">
        <f t="shared" si="35"/>
        <v>21649181.210000005</v>
      </c>
      <c r="N71" s="138">
        <f t="shared" si="35"/>
        <v>36140027.664999999</v>
      </c>
      <c r="O71" s="138">
        <f t="shared" si="35"/>
        <v>25559886.140000001</v>
      </c>
      <c r="P71" s="138">
        <f t="shared" si="35"/>
        <v>33877859.174999997</v>
      </c>
      <c r="Q71" s="139">
        <f t="shared" si="35"/>
        <v>306743113.42500001</v>
      </c>
      <c r="R71" s="139">
        <f t="shared" si="35"/>
        <v>140069558.57500002</v>
      </c>
      <c r="S71" s="139">
        <f t="shared" si="35"/>
        <v>46689852.910000004</v>
      </c>
      <c r="T71" s="138">
        <f t="shared" si="35"/>
        <v>26115597.580000002</v>
      </c>
      <c r="U71" s="138">
        <f t="shared" si="35"/>
        <v>37094011.169999994</v>
      </c>
      <c r="V71" s="138">
        <f>SUM(V3:V69)</f>
        <v>26064808.290000003</v>
      </c>
      <c r="W71" s="138">
        <f>SUM(W3:W69)</f>
        <v>35855188.813333325</v>
      </c>
      <c r="X71" s="138">
        <f t="shared" si="35"/>
        <v>38336983.869999997</v>
      </c>
      <c r="Y71" s="138">
        <f>ROUND(SUM(Y3:Y69),2)</f>
        <v>111286183.84999999</v>
      </c>
      <c r="Z71" s="138">
        <f>ROUND(SUM(Z3:Z69),2)</f>
        <v>387564201.18000001</v>
      </c>
      <c r="AA71" s="138">
        <f>ROUND(SUM(AA3:AA69),2)</f>
        <v>-59248470.789999999</v>
      </c>
      <c r="AB71" s="138">
        <f>ROUND(SUM(AB3:AB69),2)</f>
        <v>418029297.27999997</v>
      </c>
      <c r="AC71" s="138">
        <f>AB71-B71</f>
        <v>-28783374.720000029</v>
      </c>
      <c r="AD71" s="138">
        <f>AA71-AC71</f>
        <v>-30465096.06999997</v>
      </c>
      <c r="AE71" s="92">
        <f>ROUND(SUM(AE3:AE69),2)</f>
        <v>387564201</v>
      </c>
    </row>
    <row r="72" spans="1:31" x14ac:dyDescent="0.25">
      <c r="B72" s="95"/>
      <c r="C72" s="95"/>
      <c r="D72" s="95"/>
      <c r="E72" s="95"/>
      <c r="F72" s="95"/>
      <c r="G72" s="95"/>
      <c r="H72" s="140"/>
      <c r="I72" s="95"/>
      <c r="J72" s="95"/>
      <c r="K72" s="95"/>
      <c r="L72" s="95"/>
      <c r="M72" s="95"/>
      <c r="N72" s="95"/>
      <c r="O72" s="95"/>
      <c r="P72" s="95"/>
      <c r="Q72" s="77"/>
      <c r="R72" s="77"/>
      <c r="S72" s="77"/>
      <c r="T72" s="95"/>
      <c r="U72" s="95"/>
      <c r="V72" s="95"/>
      <c r="W72" s="95"/>
      <c r="X72" s="95"/>
      <c r="Y72" s="95"/>
      <c r="Z72" s="95"/>
      <c r="AA72" s="141"/>
      <c r="AB72" s="95"/>
      <c r="AC72" s="95"/>
      <c r="AD72" s="95">
        <f>AB71-Z71</f>
        <v>30465096.099999964</v>
      </c>
      <c r="AE72" s="95"/>
    </row>
    <row r="73" spans="1:31" ht="14.25" thickBot="1" x14ac:dyDescent="0.3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AD73" s="99"/>
      <c r="AE73" s="142"/>
    </row>
    <row r="74" spans="1:31" ht="41.25" thickBot="1" x14ac:dyDescent="0.3">
      <c r="A74" s="143"/>
      <c r="B74" s="101">
        <f>B71*0.15</f>
        <v>67021900.799999997</v>
      </c>
      <c r="C74" s="144"/>
      <c r="D74" s="145"/>
      <c r="E74" s="145"/>
      <c r="F74" s="145"/>
      <c r="G74" s="77"/>
      <c r="H74" s="77"/>
      <c r="I74" s="77"/>
      <c r="J74" s="146"/>
      <c r="K74" s="146"/>
      <c r="L74" s="146"/>
      <c r="M74" s="146"/>
      <c r="N74" s="147"/>
      <c r="O74" s="146"/>
      <c r="P74" s="146"/>
      <c r="Q74" s="146"/>
      <c r="R74" s="146"/>
      <c r="S74" s="146"/>
      <c r="T74" s="146"/>
      <c r="U74" s="147"/>
      <c r="V74" s="146"/>
      <c r="W74" s="147"/>
      <c r="X74" s="146"/>
      <c r="Y74" s="147"/>
      <c r="Z74" s="148"/>
      <c r="AA74" s="148"/>
      <c r="AB74" s="116" t="s">
        <v>131</v>
      </c>
      <c r="AC74" s="149">
        <f>Z71-B71</f>
        <v>-59248470.819999993</v>
      </c>
      <c r="AD74" s="150">
        <f>AC74/B71</f>
        <v>-0.13260248541026157</v>
      </c>
    </row>
    <row r="75" spans="1:31" ht="41.25" thickBot="1" x14ac:dyDescent="0.3">
      <c r="A75" s="77"/>
      <c r="B75" s="151"/>
      <c r="C75" s="77"/>
      <c r="D75" s="142"/>
      <c r="E75" s="77"/>
      <c r="F75" s="77"/>
      <c r="G75" s="77"/>
      <c r="H75" s="77"/>
      <c r="I75" s="77"/>
      <c r="J75" s="77"/>
      <c r="K75" s="77"/>
      <c r="L75" s="77"/>
      <c r="M75" s="77"/>
      <c r="N75" s="142"/>
      <c r="O75" s="77"/>
      <c r="P75" s="77"/>
      <c r="Q75" s="77"/>
      <c r="R75" s="77"/>
      <c r="S75" s="77"/>
      <c r="T75" s="77"/>
      <c r="U75" s="142"/>
      <c r="V75" s="142"/>
      <c r="X75" s="142"/>
      <c r="Y75" s="99"/>
      <c r="Z75" s="142"/>
      <c r="AA75" s="142"/>
      <c r="AB75" s="116" t="s">
        <v>128</v>
      </c>
      <c r="AC75" s="149">
        <f>AB71-B71</f>
        <v>-28783374.720000029</v>
      </c>
      <c r="AD75" s="150">
        <f>AC71/B71</f>
        <v>-6.4419333926142602E-2</v>
      </c>
    </row>
    <row r="76" spans="1:31" ht="27.75" thickBot="1" x14ac:dyDescent="0.3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X76" s="142"/>
      <c r="Z76" s="142"/>
      <c r="AA76" s="142"/>
      <c r="AB76" s="116" t="s">
        <v>132</v>
      </c>
      <c r="AC76" s="149">
        <f>-AC75+AC74</f>
        <v>-30465096.099999964</v>
      </c>
      <c r="AD76" s="150">
        <f>AD71/B71</f>
        <v>-6.8183151416976756E-2</v>
      </c>
    </row>
    <row r="77" spans="1:31" ht="13.9" customHeight="1" x14ac:dyDescent="0.25">
      <c r="G77" s="77"/>
      <c r="H77" s="77"/>
      <c r="I77" s="77"/>
      <c r="J77" s="77"/>
      <c r="K77" s="77"/>
      <c r="O77" s="77"/>
      <c r="P77" s="77"/>
      <c r="Q77" s="77"/>
      <c r="R77" s="77"/>
      <c r="S77" s="77"/>
      <c r="T77" s="77"/>
      <c r="U77" s="77"/>
      <c r="AB77" s="152"/>
    </row>
    <row r="78" spans="1:31" ht="13.9" customHeight="1" x14ac:dyDescent="0.25"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</row>
    <row r="79" spans="1:31" x14ac:dyDescent="0.25"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</row>
    <row r="80" spans="1:31" ht="13.9" customHeight="1" x14ac:dyDescent="0.25"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</row>
    <row r="81" spans="10:21" x14ac:dyDescent="0.25"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</row>
    <row r="82" spans="10:21" x14ac:dyDescent="0.25"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</row>
    <row r="83" spans="10:21" x14ac:dyDescent="0.25">
      <c r="O83" s="77"/>
      <c r="P83" s="77"/>
      <c r="Q83" s="77"/>
      <c r="R83" s="77"/>
      <c r="S83" s="77"/>
      <c r="U83" s="77"/>
    </row>
    <row r="84" spans="10:21" x14ac:dyDescent="0.25">
      <c r="O84" s="77"/>
      <c r="P84" s="77"/>
      <c r="Q84" s="77"/>
      <c r="R84" s="77"/>
      <c r="S84" s="77"/>
      <c r="U84" s="77"/>
    </row>
    <row r="85" spans="10:21" x14ac:dyDescent="0.25">
      <c r="O85" s="77"/>
      <c r="P85" s="77"/>
      <c r="Q85" s="77"/>
      <c r="R85" s="77"/>
      <c r="S85" s="77"/>
      <c r="U85" s="77"/>
    </row>
    <row r="86" spans="10:21" x14ac:dyDescent="0.25">
      <c r="O86" s="77"/>
      <c r="P86" s="77"/>
      <c r="Q86" s="77"/>
      <c r="R86" s="77"/>
      <c r="S86" s="77"/>
      <c r="U86" s="77"/>
    </row>
    <row r="87" spans="10:21" x14ac:dyDescent="0.25">
      <c r="O87" s="77"/>
      <c r="P87" s="77"/>
      <c r="Q87" s="77"/>
      <c r="R87" s="77"/>
      <c r="S87" s="77"/>
      <c r="U87" s="77"/>
    </row>
    <row r="88" spans="10:21" x14ac:dyDescent="0.25">
      <c r="O88" s="77"/>
      <c r="P88" s="77"/>
      <c r="Q88" s="77"/>
      <c r="R88" s="77"/>
      <c r="S88" s="77"/>
      <c r="U88" s="77"/>
    </row>
    <row r="89" spans="10:21" x14ac:dyDescent="0.25">
      <c r="O89" s="77"/>
      <c r="P89" s="77"/>
      <c r="Q89" s="77"/>
      <c r="R89" s="77"/>
      <c r="S89" s="77"/>
      <c r="U89" s="77"/>
    </row>
    <row r="90" spans="10:21" x14ac:dyDescent="0.25">
      <c r="O90" s="77"/>
      <c r="P90" s="77"/>
      <c r="Q90" s="77"/>
      <c r="R90" s="77"/>
      <c r="S90" s="77"/>
      <c r="U90" s="77"/>
    </row>
    <row r="91" spans="10:21" x14ac:dyDescent="0.25">
      <c r="O91" s="77"/>
      <c r="P91" s="77"/>
      <c r="Q91" s="77"/>
      <c r="R91" s="77"/>
      <c r="S91" s="77"/>
      <c r="U91" s="77"/>
    </row>
    <row r="92" spans="10:21" x14ac:dyDescent="0.25">
      <c r="O92" s="77"/>
      <c r="P92" s="77"/>
      <c r="Q92" s="77"/>
      <c r="R92" s="77"/>
      <c r="S92" s="77"/>
      <c r="U92" s="77"/>
    </row>
    <row r="93" spans="10:21" x14ac:dyDescent="0.25">
      <c r="O93" s="77"/>
      <c r="P93" s="77"/>
      <c r="Q93" s="77"/>
      <c r="R93" s="77"/>
      <c r="S93" s="77"/>
      <c r="U93" s="77"/>
    </row>
    <row r="94" spans="10:21" x14ac:dyDescent="0.25">
      <c r="O94" s="77"/>
      <c r="P94" s="77"/>
      <c r="Q94" s="77"/>
      <c r="R94" s="77"/>
      <c r="S94" s="77"/>
      <c r="U94" s="77"/>
    </row>
    <row r="95" spans="10:21" x14ac:dyDescent="0.25">
      <c r="O95" s="77"/>
      <c r="P95" s="77"/>
      <c r="Q95" s="77"/>
      <c r="R95" s="77"/>
      <c r="S95" s="77"/>
      <c r="U95" s="77"/>
    </row>
    <row r="96" spans="10:21" x14ac:dyDescent="0.25">
      <c r="O96" s="77"/>
      <c r="P96" s="77"/>
      <c r="Q96" s="77"/>
      <c r="R96" s="77"/>
      <c r="S96" s="77"/>
      <c r="U96" s="77"/>
    </row>
    <row r="97" spans="15:21" x14ac:dyDescent="0.25">
      <c r="O97" s="77"/>
      <c r="P97" s="77"/>
      <c r="Q97" s="77"/>
      <c r="R97" s="77"/>
      <c r="S97" s="77"/>
      <c r="U97" s="77"/>
    </row>
  </sheetData>
  <autoFilter ref="A2:AD69" xr:uid="{00000000-0009-0000-0000-000003000000}">
    <sortState xmlns:xlrd2="http://schemas.microsoft.com/office/spreadsheetml/2017/richdata2" ref="A3:AD69">
      <sortCondition ref="A51"/>
    </sortState>
  </autoFilter>
  <mergeCells count="3">
    <mergeCell ref="B1:N1"/>
    <mergeCell ref="O1:Y1"/>
    <mergeCell ref="Z1:AB1"/>
  </mergeCells>
  <pageMargins left="0.7" right="0.7" top="0.75" bottom="0.75" header="0.3" footer="0.3"/>
  <pageSetup scale="21" fitToHeight="0" orientation="landscape" horizontalDpi="1200" verticalDpi="1200" r:id="rId1"/>
  <headerFooter>
    <oddFooter>&amp;R&amp;P of &amp;N</oddFooter>
  </headerFooter>
  <rowBreaks count="1" manualBreakCount="1">
    <brk id="38" max="16383" man="1"/>
  </rowBreaks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49E76-DE04-4A71-99B5-6104BFDC9263}">
  <dimension ref="A1:J80"/>
  <sheetViews>
    <sheetView topLeftCell="A2" zoomScaleNormal="100" zoomScaleSheetLayoutView="100" zoomScalePageLayoutView="115" workbookViewId="0">
      <pane xSplit="1" ySplit="1" topLeftCell="B46" activePane="bottomRight" state="frozen"/>
      <selection activeCell="A2" sqref="A2"/>
      <selection pane="topRight" activeCell="B2" sqref="B2"/>
      <selection pane="bottomLeft" activeCell="A3" sqref="A3"/>
      <selection pane="bottomRight" activeCell="H71" sqref="H71"/>
    </sheetView>
  </sheetViews>
  <sheetFormatPr defaultColWidth="11.28515625" defaultRowHeight="13.5" x14ac:dyDescent="0.25"/>
  <cols>
    <col min="1" max="1" width="14.140625" style="89" bestFit="1" customWidth="1"/>
    <col min="2" max="2" width="16.7109375" style="98" customWidth="1"/>
    <col min="3" max="3" width="15.85546875" style="98" customWidth="1"/>
    <col min="4" max="4" width="15.42578125" style="89" customWidth="1"/>
    <col min="5" max="5" width="12.7109375" style="77" customWidth="1"/>
    <col min="6" max="6" width="18.28515625" style="77" customWidth="1"/>
    <col min="7" max="7" width="13.42578125" style="77" customWidth="1"/>
    <col min="8" max="8" width="17.28515625" style="77" bestFit="1" customWidth="1"/>
    <col min="9" max="9" width="12.7109375" style="77" bestFit="1" customWidth="1"/>
    <col min="10" max="16384" width="11.28515625" style="77"/>
  </cols>
  <sheetData>
    <row r="1" spans="1:10" ht="14.25" hidden="1" thickBot="1" x14ac:dyDescent="0.3">
      <c r="A1" s="74"/>
      <c r="B1" s="75" t="s">
        <v>89</v>
      </c>
      <c r="C1" s="75"/>
      <c r="D1" s="76"/>
      <c r="E1" s="74"/>
      <c r="F1" s="76"/>
      <c r="G1" s="76"/>
      <c r="H1" s="76"/>
    </row>
    <row r="2" spans="1:10" ht="63" x14ac:dyDescent="0.25">
      <c r="A2" s="78" t="s">
        <v>0</v>
      </c>
      <c r="B2" s="79" t="s">
        <v>90</v>
      </c>
      <c r="C2" s="79" t="s">
        <v>91</v>
      </c>
      <c r="D2" s="80" t="s">
        <v>100</v>
      </c>
      <c r="E2" s="80" t="s">
        <v>92</v>
      </c>
      <c r="F2" s="80" t="s">
        <v>93</v>
      </c>
      <c r="G2" s="80" t="s">
        <v>94</v>
      </c>
      <c r="H2" s="81" t="s">
        <v>99</v>
      </c>
    </row>
    <row r="3" spans="1:10" ht="15.75" x14ac:dyDescent="0.3">
      <c r="A3" s="88" t="s">
        <v>28</v>
      </c>
      <c r="B3" s="83">
        <v>1309782</v>
      </c>
      <c r="C3" s="84">
        <v>67607</v>
      </c>
      <c r="D3" s="84">
        <v>13010</v>
      </c>
      <c r="E3" s="85" t="s">
        <v>95</v>
      </c>
      <c r="F3" s="83">
        <v>1322792</v>
      </c>
      <c r="G3" s="83">
        <v>88330</v>
      </c>
      <c r="H3" s="86">
        <v>1411122</v>
      </c>
      <c r="I3" s="82"/>
      <c r="J3" s="82"/>
    </row>
    <row r="4" spans="1:10" ht="15.75" x14ac:dyDescent="0.3">
      <c r="A4" s="88" t="s">
        <v>17</v>
      </c>
      <c r="B4" s="83">
        <v>661801</v>
      </c>
      <c r="C4" s="84">
        <v>37000</v>
      </c>
      <c r="D4" s="84">
        <v>6573</v>
      </c>
      <c r="E4" s="85" t="s">
        <v>95</v>
      </c>
      <c r="F4" s="83">
        <v>668374</v>
      </c>
      <c r="G4" s="83">
        <v>44632</v>
      </c>
      <c r="H4" s="86">
        <v>713006</v>
      </c>
      <c r="I4" s="87"/>
      <c r="J4" s="82"/>
    </row>
    <row r="5" spans="1:10" ht="15.75" x14ac:dyDescent="0.3">
      <c r="A5" s="88" t="s">
        <v>8</v>
      </c>
      <c r="B5" s="83">
        <v>403549</v>
      </c>
      <c r="C5" s="107">
        <v>13000</v>
      </c>
      <c r="D5" s="84">
        <v>4008</v>
      </c>
      <c r="E5" s="85" t="s">
        <v>95</v>
      </c>
      <c r="F5" s="83">
        <v>407557</v>
      </c>
      <c r="G5" s="83">
        <v>27215</v>
      </c>
      <c r="H5" s="86">
        <v>434772</v>
      </c>
      <c r="I5" s="87"/>
      <c r="J5" s="82"/>
    </row>
    <row r="6" spans="1:10" ht="15.75" x14ac:dyDescent="0.3">
      <c r="A6" s="88" t="s">
        <v>22</v>
      </c>
      <c r="B6" s="83">
        <v>1078984</v>
      </c>
      <c r="C6" s="84">
        <v>47841</v>
      </c>
      <c r="D6" s="84">
        <v>10717</v>
      </c>
      <c r="E6" s="85" t="s">
        <v>95</v>
      </c>
      <c r="F6" s="83">
        <v>1089701</v>
      </c>
      <c r="G6" s="83">
        <v>72766</v>
      </c>
      <c r="H6" s="86">
        <v>1162467</v>
      </c>
      <c r="I6" s="82"/>
      <c r="J6" s="82"/>
    </row>
    <row r="7" spans="1:10" ht="15.75" x14ac:dyDescent="0.3">
      <c r="A7" s="88" t="s">
        <v>11</v>
      </c>
      <c r="B7" s="83">
        <v>432762</v>
      </c>
      <c r="C7" s="84">
        <v>30829</v>
      </c>
      <c r="D7" s="84">
        <v>4299</v>
      </c>
      <c r="E7" s="85" t="s">
        <v>95</v>
      </c>
      <c r="F7" s="83">
        <v>437061</v>
      </c>
      <c r="G7" s="83">
        <v>29184</v>
      </c>
      <c r="H7" s="86">
        <v>466245</v>
      </c>
      <c r="I7" s="82"/>
      <c r="J7" s="82"/>
    </row>
    <row r="8" spans="1:10" ht="15.75" x14ac:dyDescent="0.3">
      <c r="A8" s="88" t="s">
        <v>25</v>
      </c>
      <c r="B8" s="83">
        <v>894161</v>
      </c>
      <c r="C8" s="84">
        <v>55000</v>
      </c>
      <c r="D8" s="84">
        <v>8881</v>
      </c>
      <c r="E8" s="85" t="s">
        <v>95</v>
      </c>
      <c r="F8" s="83">
        <v>903042</v>
      </c>
      <c r="G8" s="83">
        <v>60302</v>
      </c>
      <c r="H8" s="86">
        <v>963344</v>
      </c>
      <c r="I8" s="82"/>
      <c r="J8" s="82"/>
    </row>
    <row r="9" spans="1:10" ht="15.75" x14ac:dyDescent="0.3">
      <c r="A9" s="88" t="s">
        <v>53</v>
      </c>
      <c r="B9" s="83">
        <v>6356022</v>
      </c>
      <c r="C9" s="84">
        <v>536763</v>
      </c>
      <c r="D9" s="84">
        <v>63133</v>
      </c>
      <c r="E9" s="85" t="s">
        <v>95</v>
      </c>
      <c r="F9" s="83">
        <v>6419155</v>
      </c>
      <c r="G9" s="83">
        <v>428645</v>
      </c>
      <c r="H9" s="86">
        <v>6847800</v>
      </c>
      <c r="I9" s="82"/>
      <c r="J9" s="82"/>
    </row>
    <row r="10" spans="1:10" ht="15.75" x14ac:dyDescent="0.3">
      <c r="A10" s="88" t="s">
        <v>27</v>
      </c>
      <c r="B10" s="83">
        <v>952560</v>
      </c>
      <c r="C10" s="84">
        <v>70000</v>
      </c>
      <c r="D10" s="84">
        <v>9462</v>
      </c>
      <c r="E10" s="85" t="s">
        <v>95</v>
      </c>
      <c r="F10" s="83">
        <v>962022</v>
      </c>
      <c r="G10" s="83">
        <v>64239</v>
      </c>
      <c r="H10" s="86">
        <v>1026261</v>
      </c>
      <c r="I10" s="82"/>
      <c r="J10" s="82"/>
    </row>
    <row r="11" spans="1:10" ht="15.75" x14ac:dyDescent="0.3">
      <c r="A11" s="88" t="s">
        <v>20</v>
      </c>
      <c r="B11" s="83">
        <v>558756</v>
      </c>
      <c r="C11" s="84">
        <v>33000</v>
      </c>
      <c r="D11" s="84">
        <v>5550</v>
      </c>
      <c r="E11" s="85" t="s">
        <v>95</v>
      </c>
      <c r="F11" s="83">
        <v>564306</v>
      </c>
      <c r="G11" s="83">
        <v>37682</v>
      </c>
      <c r="H11" s="86">
        <v>601988</v>
      </c>
      <c r="I11" s="87"/>
      <c r="J11" s="82"/>
    </row>
    <row r="12" spans="1:10" ht="15.75" x14ac:dyDescent="0.3">
      <c r="A12" s="88" t="s">
        <v>66</v>
      </c>
      <c r="B12" s="83">
        <v>34962585</v>
      </c>
      <c r="C12" s="84">
        <v>2300000</v>
      </c>
      <c r="D12" s="84"/>
      <c r="E12" s="85" t="s">
        <v>96</v>
      </c>
      <c r="F12" s="83">
        <v>34962585</v>
      </c>
      <c r="G12" s="83"/>
      <c r="H12" s="86">
        <v>34962585</v>
      </c>
      <c r="I12" s="82"/>
      <c r="J12" s="82"/>
    </row>
    <row r="13" spans="1:10" ht="15.75" x14ac:dyDescent="0.3">
      <c r="A13" s="88" t="s">
        <v>2</v>
      </c>
      <c r="B13" s="83">
        <v>371695</v>
      </c>
      <c r="C13" s="84">
        <v>14109</v>
      </c>
      <c r="D13" s="84"/>
      <c r="E13" s="85" t="s">
        <v>96</v>
      </c>
      <c r="F13" s="83">
        <v>371695</v>
      </c>
      <c r="G13" s="83"/>
      <c r="H13" s="86">
        <v>371695</v>
      </c>
      <c r="I13" s="87"/>
      <c r="J13" s="82"/>
    </row>
    <row r="14" spans="1:10" ht="15.75" x14ac:dyDescent="0.3">
      <c r="A14" s="88" t="s">
        <v>41</v>
      </c>
      <c r="B14" s="83">
        <v>3188203</v>
      </c>
      <c r="C14" s="84">
        <v>277000</v>
      </c>
      <c r="D14" s="84"/>
      <c r="E14" s="85" t="s">
        <v>96</v>
      </c>
      <c r="F14" s="83">
        <v>3188203</v>
      </c>
      <c r="G14" s="83"/>
      <c r="H14" s="86">
        <v>3188203</v>
      </c>
      <c r="I14" s="87"/>
      <c r="J14" s="82"/>
    </row>
    <row r="15" spans="1:10" ht="15.75" x14ac:dyDescent="0.3">
      <c r="A15" s="88" t="s">
        <v>12</v>
      </c>
      <c r="B15" s="83">
        <v>484881</v>
      </c>
      <c r="C15" s="84">
        <v>29758</v>
      </c>
      <c r="D15" s="84"/>
      <c r="E15" s="85" t="s">
        <v>96</v>
      </c>
      <c r="F15" s="83">
        <v>484881</v>
      </c>
      <c r="G15" s="83"/>
      <c r="H15" s="86">
        <v>484881</v>
      </c>
      <c r="I15" s="82"/>
      <c r="J15" s="82"/>
    </row>
    <row r="16" spans="1:10" ht="15.75" x14ac:dyDescent="0.3">
      <c r="A16" s="88" t="s">
        <v>24</v>
      </c>
      <c r="B16" s="83">
        <v>912781</v>
      </c>
      <c r="C16" s="108">
        <v>50000</v>
      </c>
      <c r="D16" s="84"/>
      <c r="E16" s="85" t="s">
        <v>96</v>
      </c>
      <c r="F16" s="83">
        <v>912781</v>
      </c>
      <c r="G16" s="83"/>
      <c r="H16" s="86">
        <v>912781</v>
      </c>
      <c r="I16" s="82"/>
      <c r="J16" s="82"/>
    </row>
    <row r="17" spans="1:10" ht="15.75" x14ac:dyDescent="0.3">
      <c r="A17" s="88" t="s">
        <v>6</v>
      </c>
      <c r="B17" s="83">
        <v>259217</v>
      </c>
      <c r="C17" s="84">
        <v>4336</v>
      </c>
      <c r="D17" s="84"/>
      <c r="E17" s="85" t="s">
        <v>96</v>
      </c>
      <c r="F17" s="83">
        <v>259217</v>
      </c>
      <c r="G17" s="83"/>
      <c r="H17" s="86">
        <v>259217</v>
      </c>
      <c r="I17" s="82"/>
      <c r="J17" s="82"/>
    </row>
    <row r="18" spans="1:10" ht="15.75" x14ac:dyDescent="0.3">
      <c r="A18" s="88" t="s">
        <v>47</v>
      </c>
      <c r="B18" s="83">
        <v>5360658</v>
      </c>
      <c r="C18" s="84">
        <v>390000</v>
      </c>
      <c r="D18" s="84"/>
      <c r="E18" s="85" t="s">
        <v>96</v>
      </c>
      <c r="F18" s="83">
        <v>5360658</v>
      </c>
      <c r="G18" s="83"/>
      <c r="H18" s="86">
        <v>5360658</v>
      </c>
      <c r="I18" s="82"/>
      <c r="J18" s="82"/>
    </row>
    <row r="19" spans="1:10" ht="15.75" x14ac:dyDescent="0.3">
      <c r="A19" s="88" t="s">
        <v>13</v>
      </c>
      <c r="B19" s="83">
        <v>465624</v>
      </c>
      <c r="C19" s="84">
        <v>33000</v>
      </c>
      <c r="D19" s="84"/>
      <c r="E19" s="85" t="s">
        <v>96</v>
      </c>
      <c r="F19" s="83">
        <v>465624</v>
      </c>
      <c r="G19" s="83"/>
      <c r="H19" s="86">
        <v>465624</v>
      </c>
      <c r="I19" s="87"/>
      <c r="J19" s="82"/>
    </row>
    <row r="20" spans="1:10" ht="15.75" x14ac:dyDescent="0.3">
      <c r="A20" s="88" t="s">
        <v>37</v>
      </c>
      <c r="B20" s="83">
        <v>3192893</v>
      </c>
      <c r="C20" s="84">
        <v>151000</v>
      </c>
      <c r="D20" s="84"/>
      <c r="E20" s="85" t="s">
        <v>96</v>
      </c>
      <c r="F20" s="83">
        <v>3192893</v>
      </c>
      <c r="G20" s="83"/>
      <c r="H20" s="86">
        <v>3192893</v>
      </c>
      <c r="I20" s="82"/>
      <c r="J20" s="82"/>
    </row>
    <row r="21" spans="1:10" ht="15.75" x14ac:dyDescent="0.3">
      <c r="A21" s="88" t="s">
        <v>68</v>
      </c>
      <c r="B21" s="83">
        <v>26570245</v>
      </c>
      <c r="C21" s="84">
        <v>1850000</v>
      </c>
      <c r="D21" s="84"/>
      <c r="E21" s="85" t="s">
        <v>96</v>
      </c>
      <c r="F21" s="83">
        <v>26570245</v>
      </c>
      <c r="G21" s="83"/>
      <c r="H21" s="86">
        <v>26570245</v>
      </c>
      <c r="I21" s="82"/>
    </row>
    <row r="22" spans="1:10" ht="15.75" x14ac:dyDescent="0.3">
      <c r="A22" s="88" t="s">
        <v>61</v>
      </c>
      <c r="B22" s="83">
        <v>10108026</v>
      </c>
      <c r="C22" s="84">
        <v>475000</v>
      </c>
      <c r="D22" s="84"/>
      <c r="E22" s="85" t="s">
        <v>96</v>
      </c>
      <c r="F22" s="83">
        <v>10108026</v>
      </c>
      <c r="G22" s="83"/>
      <c r="H22" s="86">
        <v>10108026</v>
      </c>
      <c r="I22" s="82"/>
    </row>
    <row r="23" spans="1:10" ht="15.75" x14ac:dyDescent="0.3">
      <c r="A23" s="88" t="s">
        <v>46</v>
      </c>
      <c r="B23" s="83">
        <v>5291998</v>
      </c>
      <c r="C23" s="84">
        <v>275000</v>
      </c>
      <c r="D23" s="84">
        <v>52564</v>
      </c>
      <c r="E23" s="85" t="s">
        <v>97</v>
      </c>
      <c r="F23" s="83">
        <v>5344562</v>
      </c>
      <c r="G23" s="83"/>
      <c r="H23" s="86">
        <v>5344562</v>
      </c>
      <c r="I23" s="82"/>
    </row>
    <row r="24" spans="1:10" ht="15.75" x14ac:dyDescent="0.3">
      <c r="A24" s="88" t="s">
        <v>39</v>
      </c>
      <c r="B24" s="83">
        <v>3177544</v>
      </c>
      <c r="C24" s="84">
        <v>290000</v>
      </c>
      <c r="D24" s="84">
        <v>31562</v>
      </c>
      <c r="E24" s="85" t="s">
        <v>97</v>
      </c>
      <c r="F24" s="83">
        <v>3209106</v>
      </c>
      <c r="G24" s="83"/>
      <c r="H24" s="86">
        <v>3209106</v>
      </c>
      <c r="I24" s="82"/>
    </row>
    <row r="25" spans="1:10" ht="15.75" x14ac:dyDescent="0.3">
      <c r="A25" s="88" t="s">
        <v>57</v>
      </c>
      <c r="B25" s="83">
        <v>9942255</v>
      </c>
      <c r="C25" s="84">
        <v>536025</v>
      </c>
      <c r="D25" s="84">
        <v>98754</v>
      </c>
      <c r="E25" s="85" t="s">
        <v>97</v>
      </c>
      <c r="F25" s="83">
        <v>10041009</v>
      </c>
      <c r="G25" s="83"/>
      <c r="H25" s="86">
        <v>10041009</v>
      </c>
      <c r="I25" s="82"/>
    </row>
    <row r="26" spans="1:10" ht="15.75" x14ac:dyDescent="0.3">
      <c r="A26" s="88" t="s">
        <v>33</v>
      </c>
      <c r="B26" s="83">
        <v>2582911</v>
      </c>
      <c r="C26" s="84">
        <v>202000</v>
      </c>
      <c r="D26" s="84">
        <v>25655</v>
      </c>
      <c r="E26" s="85" t="s">
        <v>97</v>
      </c>
      <c r="F26" s="83">
        <v>2608566</v>
      </c>
      <c r="G26" s="83"/>
      <c r="H26" s="86">
        <v>2608566</v>
      </c>
      <c r="I26" s="87"/>
    </row>
    <row r="27" spans="1:10" ht="15.75" x14ac:dyDescent="0.3">
      <c r="A27" s="88" t="s">
        <v>50</v>
      </c>
      <c r="B27" s="83">
        <v>5662638</v>
      </c>
      <c r="C27" s="84">
        <v>508397</v>
      </c>
      <c r="D27" s="84">
        <v>56246</v>
      </c>
      <c r="E27" s="85" t="s">
        <v>97</v>
      </c>
      <c r="F27" s="83">
        <v>5718884</v>
      </c>
      <c r="G27" s="83"/>
      <c r="H27" s="86">
        <v>5718884</v>
      </c>
      <c r="I27" s="87"/>
    </row>
    <row r="28" spans="1:10" ht="15.75" x14ac:dyDescent="0.3">
      <c r="A28" s="88" t="s">
        <v>62</v>
      </c>
      <c r="B28" s="83">
        <v>16903585</v>
      </c>
      <c r="C28" s="84">
        <v>1100000</v>
      </c>
      <c r="D28" s="84">
        <v>167899</v>
      </c>
      <c r="E28" s="85" t="s">
        <v>97</v>
      </c>
      <c r="F28" s="83">
        <v>17071484</v>
      </c>
      <c r="G28" s="83"/>
      <c r="H28" s="86">
        <v>17071484</v>
      </c>
      <c r="I28" s="82"/>
    </row>
    <row r="29" spans="1:10" ht="15.75" x14ac:dyDescent="0.3">
      <c r="A29" s="88" t="s">
        <v>34</v>
      </c>
      <c r="B29" s="83">
        <v>1581640</v>
      </c>
      <c r="C29" s="84">
        <v>106903</v>
      </c>
      <c r="D29" s="84">
        <v>15710</v>
      </c>
      <c r="E29" s="85" t="s">
        <v>97</v>
      </c>
      <c r="F29" s="83">
        <v>1597350</v>
      </c>
      <c r="G29" s="83"/>
      <c r="H29" s="86">
        <v>1597350</v>
      </c>
      <c r="I29" s="82"/>
    </row>
    <row r="30" spans="1:10" ht="15.75" x14ac:dyDescent="0.3">
      <c r="A30" s="88" t="s">
        <v>10</v>
      </c>
      <c r="B30" s="83">
        <v>408197</v>
      </c>
      <c r="C30" s="84">
        <v>16052</v>
      </c>
      <c r="D30" s="84">
        <v>4055</v>
      </c>
      <c r="E30" s="85" t="s">
        <v>97</v>
      </c>
      <c r="F30" s="83">
        <v>412252</v>
      </c>
      <c r="G30" s="83"/>
      <c r="H30" s="86">
        <v>412252</v>
      </c>
      <c r="I30" s="82"/>
    </row>
    <row r="31" spans="1:10" ht="15.75" x14ac:dyDescent="0.3">
      <c r="A31" s="88" t="s">
        <v>42</v>
      </c>
      <c r="B31" s="83">
        <v>2962540</v>
      </c>
      <c r="C31" s="84">
        <v>343240</v>
      </c>
      <c r="D31" s="84">
        <v>29426</v>
      </c>
      <c r="E31" s="85" t="s">
        <v>97</v>
      </c>
      <c r="F31" s="83">
        <v>2991966</v>
      </c>
      <c r="G31" s="83"/>
      <c r="H31" s="86">
        <v>2991966</v>
      </c>
      <c r="I31" s="82"/>
    </row>
    <row r="32" spans="1:10" ht="15.75" x14ac:dyDescent="0.3">
      <c r="A32" s="88" t="s">
        <v>29</v>
      </c>
      <c r="B32" s="83">
        <v>1623968</v>
      </c>
      <c r="C32" s="84">
        <v>103920</v>
      </c>
      <c r="D32" s="84">
        <v>16130</v>
      </c>
      <c r="E32" s="85" t="s">
        <v>97</v>
      </c>
      <c r="F32" s="83">
        <v>1640098</v>
      </c>
      <c r="G32" s="83"/>
      <c r="H32" s="86">
        <v>1640098</v>
      </c>
      <c r="I32" s="82"/>
    </row>
    <row r="33" spans="1:9" ht="15.75" x14ac:dyDescent="0.3">
      <c r="A33" s="88" t="s">
        <v>63</v>
      </c>
      <c r="B33" s="83">
        <v>25920320</v>
      </c>
      <c r="C33" s="84">
        <v>1870633</v>
      </c>
      <c r="D33" s="84">
        <v>257460</v>
      </c>
      <c r="E33" s="85" t="s">
        <v>97</v>
      </c>
      <c r="F33" s="83">
        <v>26177780</v>
      </c>
      <c r="G33" s="83"/>
      <c r="H33" s="86">
        <v>26177780</v>
      </c>
      <c r="I33" s="82"/>
    </row>
    <row r="34" spans="1:9" ht="15.75" x14ac:dyDescent="0.3">
      <c r="A34" s="88" t="s">
        <v>35</v>
      </c>
      <c r="B34" s="83">
        <v>2616040</v>
      </c>
      <c r="C34" s="84">
        <v>187000</v>
      </c>
      <c r="D34" s="84">
        <v>25984</v>
      </c>
      <c r="E34" s="85" t="s">
        <v>97</v>
      </c>
      <c r="F34" s="83">
        <v>2642024</v>
      </c>
      <c r="G34" s="83"/>
      <c r="H34" s="86">
        <v>2642024</v>
      </c>
      <c r="I34" s="82"/>
    </row>
    <row r="35" spans="1:9" ht="15.75" x14ac:dyDescent="0.3">
      <c r="A35" s="88" t="s">
        <v>5</v>
      </c>
      <c r="B35" s="83">
        <v>409343</v>
      </c>
      <c r="C35" s="84">
        <v>17191</v>
      </c>
      <c r="D35" s="84">
        <v>4066</v>
      </c>
      <c r="E35" s="85" t="s">
        <v>97</v>
      </c>
      <c r="F35" s="83">
        <v>413409</v>
      </c>
      <c r="G35" s="83"/>
      <c r="H35" s="86">
        <v>413409</v>
      </c>
      <c r="I35" s="82"/>
    </row>
    <row r="36" spans="1:9" ht="15.75" x14ac:dyDescent="0.3">
      <c r="A36" s="88" t="s">
        <v>52</v>
      </c>
      <c r="B36" s="83">
        <v>5190403</v>
      </c>
      <c r="C36" s="84">
        <v>352000</v>
      </c>
      <c r="D36" s="84">
        <v>51555</v>
      </c>
      <c r="E36" s="85" t="s">
        <v>97</v>
      </c>
      <c r="F36" s="83">
        <v>5241958</v>
      </c>
      <c r="G36" s="83"/>
      <c r="H36" s="86">
        <v>5241958</v>
      </c>
      <c r="I36" s="82"/>
    </row>
    <row r="37" spans="1:9" ht="15.75" x14ac:dyDescent="0.3">
      <c r="A37" s="88" t="s">
        <v>49</v>
      </c>
      <c r="B37" s="83">
        <v>5747583</v>
      </c>
      <c r="C37" s="84">
        <v>387154</v>
      </c>
      <c r="D37" s="84">
        <v>57089</v>
      </c>
      <c r="E37" s="85" t="s">
        <v>97</v>
      </c>
      <c r="F37" s="83">
        <v>5804672</v>
      </c>
      <c r="G37" s="83"/>
      <c r="H37" s="86">
        <v>5804672</v>
      </c>
      <c r="I37" s="82"/>
    </row>
    <row r="38" spans="1:9" ht="15.75" x14ac:dyDescent="0.3">
      <c r="A38" s="88" t="s">
        <v>36</v>
      </c>
      <c r="B38" s="83">
        <v>3123948</v>
      </c>
      <c r="C38" s="84">
        <v>236000</v>
      </c>
      <c r="D38" s="84">
        <v>31029</v>
      </c>
      <c r="E38" s="85" t="s">
        <v>97</v>
      </c>
      <c r="F38" s="83">
        <v>3154977</v>
      </c>
      <c r="G38" s="83"/>
      <c r="H38" s="86">
        <v>3154977</v>
      </c>
      <c r="I38" s="82"/>
    </row>
    <row r="39" spans="1:9" ht="15.75" x14ac:dyDescent="0.3">
      <c r="A39" s="88" t="s">
        <v>67</v>
      </c>
      <c r="B39" s="83">
        <v>62058575</v>
      </c>
      <c r="C39" s="84">
        <v>4407043</v>
      </c>
      <c r="D39" s="84">
        <v>616412</v>
      </c>
      <c r="E39" s="85" t="s">
        <v>97</v>
      </c>
      <c r="F39" s="83">
        <v>62674987</v>
      </c>
      <c r="G39" s="83"/>
      <c r="H39" s="86">
        <v>62674987</v>
      </c>
      <c r="I39" s="82"/>
    </row>
    <row r="40" spans="1:9" ht="15.75" x14ac:dyDescent="0.3">
      <c r="A40" s="88" t="s">
        <v>43</v>
      </c>
      <c r="B40" s="83">
        <v>3196175</v>
      </c>
      <c r="C40" s="84">
        <v>314279</v>
      </c>
      <c r="D40" s="84">
        <v>31747</v>
      </c>
      <c r="E40" s="85" t="s">
        <v>97</v>
      </c>
      <c r="F40" s="83">
        <v>3227922</v>
      </c>
      <c r="G40" s="83"/>
      <c r="H40" s="86">
        <v>3227922</v>
      </c>
      <c r="I40" s="82"/>
    </row>
    <row r="41" spans="1:9" ht="15.75" x14ac:dyDescent="0.3">
      <c r="A41" s="88" t="s">
        <v>64</v>
      </c>
      <c r="B41" s="83">
        <v>25185062</v>
      </c>
      <c r="C41" s="84">
        <v>2300000</v>
      </c>
      <c r="D41" s="84">
        <v>250157</v>
      </c>
      <c r="E41" s="85" t="s">
        <v>97</v>
      </c>
      <c r="F41" s="83">
        <v>25435219</v>
      </c>
      <c r="G41" s="83"/>
      <c r="H41" s="86">
        <v>25435219</v>
      </c>
      <c r="I41" s="82"/>
    </row>
    <row r="42" spans="1:9" ht="15.75" x14ac:dyDescent="0.3">
      <c r="A42" s="88" t="s">
        <v>59</v>
      </c>
      <c r="B42" s="83">
        <v>10202202</v>
      </c>
      <c r="C42" s="84">
        <v>450000</v>
      </c>
      <c r="D42" s="84">
        <v>101336</v>
      </c>
      <c r="E42" s="85" t="s">
        <v>97</v>
      </c>
      <c r="F42" s="83">
        <v>10303538</v>
      </c>
      <c r="G42" s="83"/>
      <c r="H42" s="86">
        <v>10303538</v>
      </c>
      <c r="I42" s="87"/>
    </row>
    <row r="43" spans="1:9" ht="15.75" x14ac:dyDescent="0.3">
      <c r="A43" s="88" t="s">
        <v>65</v>
      </c>
      <c r="B43" s="83">
        <v>20082418</v>
      </c>
      <c r="C43" s="84">
        <v>1180000</v>
      </c>
      <c r="D43" s="84">
        <v>199474</v>
      </c>
      <c r="E43" s="85" t="s">
        <v>97</v>
      </c>
      <c r="F43" s="83">
        <v>20281892</v>
      </c>
      <c r="G43" s="83"/>
      <c r="H43" s="86">
        <v>20281892</v>
      </c>
      <c r="I43" s="82"/>
    </row>
    <row r="44" spans="1:9" ht="14.25" customHeight="1" x14ac:dyDescent="0.3">
      <c r="A44" s="88" t="s">
        <v>60</v>
      </c>
      <c r="B44" s="83">
        <v>10704472</v>
      </c>
      <c r="C44" s="84">
        <v>610818</v>
      </c>
      <c r="D44" s="84">
        <v>106325</v>
      </c>
      <c r="E44" s="85" t="s">
        <v>97</v>
      </c>
      <c r="F44" s="83">
        <v>10810797</v>
      </c>
      <c r="G44" s="83"/>
      <c r="H44" s="86">
        <v>10810797</v>
      </c>
      <c r="I44" s="82"/>
    </row>
    <row r="45" spans="1:9" ht="15.75" x14ac:dyDescent="0.3">
      <c r="A45" s="88" t="s">
        <v>31</v>
      </c>
      <c r="B45" s="83">
        <v>1728965</v>
      </c>
      <c r="C45" s="84">
        <v>50000</v>
      </c>
      <c r="D45" s="84">
        <v>17173</v>
      </c>
      <c r="E45" s="85" t="s">
        <v>97</v>
      </c>
      <c r="F45" s="83">
        <v>1746138</v>
      </c>
      <c r="G45" s="83"/>
      <c r="H45" s="86">
        <v>1746138</v>
      </c>
      <c r="I45" s="82"/>
    </row>
    <row r="46" spans="1:9" ht="15.75" x14ac:dyDescent="0.3">
      <c r="A46" s="88" t="s">
        <v>44</v>
      </c>
      <c r="B46" s="83">
        <v>3093095</v>
      </c>
      <c r="C46" s="84">
        <v>220000</v>
      </c>
      <c r="D46" s="84">
        <v>30723</v>
      </c>
      <c r="E46" s="85" t="s">
        <v>97</v>
      </c>
      <c r="F46" s="83">
        <v>3123818</v>
      </c>
      <c r="G46" s="83"/>
      <c r="H46" s="86">
        <v>3123818</v>
      </c>
      <c r="I46" s="82"/>
    </row>
    <row r="47" spans="1:9" ht="15.75" x14ac:dyDescent="0.3">
      <c r="A47" s="88" t="s">
        <v>55</v>
      </c>
      <c r="B47" s="83">
        <v>7137151</v>
      </c>
      <c r="C47" s="84">
        <v>460000</v>
      </c>
      <c r="D47" s="84">
        <v>70891</v>
      </c>
      <c r="E47" s="85" t="s">
        <v>97</v>
      </c>
      <c r="F47" s="83">
        <v>7208042</v>
      </c>
      <c r="G47" s="83"/>
      <c r="H47" s="86">
        <v>7208042</v>
      </c>
      <c r="I47" s="82"/>
    </row>
    <row r="48" spans="1:9" ht="15.75" x14ac:dyDescent="0.3">
      <c r="A48" s="88" t="s">
        <v>56</v>
      </c>
      <c r="B48" s="83">
        <v>7721069</v>
      </c>
      <c r="C48" s="84">
        <v>665000</v>
      </c>
      <c r="D48" s="84">
        <v>76691</v>
      </c>
      <c r="E48" s="85" t="s">
        <v>97</v>
      </c>
      <c r="F48" s="83">
        <v>7797760</v>
      </c>
      <c r="G48" s="83"/>
      <c r="H48" s="86">
        <v>7797760</v>
      </c>
      <c r="I48" s="82"/>
    </row>
    <row r="49" spans="1:9" ht="15.75" x14ac:dyDescent="0.3">
      <c r="A49" s="88" t="s">
        <v>38</v>
      </c>
      <c r="B49" s="83">
        <v>1617380</v>
      </c>
      <c r="C49" s="84">
        <v>135000</v>
      </c>
      <c r="D49" s="84">
        <v>16065</v>
      </c>
      <c r="E49" s="85" t="s">
        <v>97</v>
      </c>
      <c r="F49" s="83">
        <v>1633445</v>
      </c>
      <c r="G49" s="83"/>
      <c r="H49" s="86">
        <v>1633445</v>
      </c>
      <c r="I49" s="82"/>
    </row>
    <row r="50" spans="1:9" ht="15.75" x14ac:dyDescent="0.3">
      <c r="A50" s="88" t="s">
        <v>14</v>
      </c>
      <c r="B50" s="83">
        <v>405361</v>
      </c>
      <c r="C50" s="84">
        <v>6279</v>
      </c>
      <c r="D50" s="84">
        <v>4026</v>
      </c>
      <c r="E50" s="85" t="s">
        <v>97</v>
      </c>
      <c r="F50" s="83">
        <v>409387</v>
      </c>
      <c r="G50" s="83"/>
      <c r="H50" s="86">
        <v>409387</v>
      </c>
      <c r="I50" s="82"/>
    </row>
    <row r="51" spans="1:9" ht="15.75" x14ac:dyDescent="0.3">
      <c r="A51" s="88" t="s">
        <v>15</v>
      </c>
      <c r="B51" s="83">
        <v>575110</v>
      </c>
      <c r="C51" s="84">
        <v>24483</v>
      </c>
      <c r="D51" s="84">
        <v>5712</v>
      </c>
      <c r="E51" s="85"/>
      <c r="F51" s="83">
        <v>580822</v>
      </c>
      <c r="G51" s="83"/>
      <c r="H51" s="86">
        <v>580822</v>
      </c>
      <c r="I51" s="82"/>
    </row>
    <row r="52" spans="1:9" ht="15.75" x14ac:dyDescent="0.3">
      <c r="A52" s="88" t="s">
        <v>16</v>
      </c>
      <c r="B52" s="83">
        <v>590515</v>
      </c>
      <c r="C52" s="84">
        <v>55390</v>
      </c>
      <c r="D52" s="84">
        <v>5865</v>
      </c>
      <c r="E52" s="85"/>
      <c r="F52" s="83">
        <v>596380</v>
      </c>
      <c r="G52" s="83"/>
      <c r="H52" s="86">
        <v>596380</v>
      </c>
      <c r="I52" s="82"/>
    </row>
    <row r="53" spans="1:9" ht="15.75" x14ac:dyDescent="0.3">
      <c r="A53" s="88" t="s">
        <v>40</v>
      </c>
      <c r="B53" s="83">
        <v>3092243</v>
      </c>
      <c r="C53" s="84">
        <v>245453</v>
      </c>
      <c r="D53" s="84">
        <v>30714</v>
      </c>
      <c r="E53" s="85"/>
      <c r="F53" s="83">
        <v>3122957</v>
      </c>
      <c r="G53" s="83"/>
      <c r="H53" s="86">
        <v>3122957</v>
      </c>
      <c r="I53" s="82"/>
    </row>
    <row r="54" spans="1:9" ht="15.75" x14ac:dyDescent="0.3">
      <c r="A54" s="88" t="s">
        <v>51</v>
      </c>
      <c r="B54" s="83">
        <v>6008368</v>
      </c>
      <c r="C54" s="84">
        <v>383465</v>
      </c>
      <c r="D54" s="84">
        <v>59680</v>
      </c>
      <c r="E54" s="85"/>
      <c r="F54" s="83">
        <v>6068048</v>
      </c>
      <c r="G54" s="83"/>
      <c r="H54" s="86">
        <v>6068048</v>
      </c>
      <c r="I54" s="82"/>
    </row>
    <row r="55" spans="1:9" ht="15.75" x14ac:dyDescent="0.3">
      <c r="A55" s="88" t="s">
        <v>3</v>
      </c>
      <c r="B55" s="83">
        <v>538012</v>
      </c>
      <c r="C55" s="84">
        <v>16815</v>
      </c>
      <c r="D55" s="84">
        <v>5344</v>
      </c>
      <c r="E55" s="85"/>
      <c r="F55" s="83">
        <v>543356</v>
      </c>
      <c r="G55" s="83"/>
      <c r="H55" s="86">
        <v>543356</v>
      </c>
      <c r="I55" s="82"/>
    </row>
    <row r="56" spans="1:9" ht="15.75" x14ac:dyDescent="0.3">
      <c r="A56" s="88" t="s">
        <v>9</v>
      </c>
      <c r="B56" s="83">
        <v>444717</v>
      </c>
      <c r="C56" s="84">
        <v>16906</v>
      </c>
      <c r="D56" s="84">
        <v>4417</v>
      </c>
      <c r="E56" s="85"/>
      <c r="F56" s="83">
        <v>449134</v>
      </c>
      <c r="G56" s="83"/>
      <c r="H56" s="86">
        <v>449134</v>
      </c>
      <c r="I56" s="82"/>
    </row>
    <row r="57" spans="1:9" ht="15.75" x14ac:dyDescent="0.3">
      <c r="A57" s="88" t="s">
        <v>4</v>
      </c>
      <c r="B57" s="83">
        <v>437600</v>
      </c>
      <c r="C57" s="84">
        <v>25568</v>
      </c>
      <c r="D57" s="84">
        <v>4347</v>
      </c>
      <c r="E57" s="85"/>
      <c r="F57" s="83">
        <v>441947</v>
      </c>
      <c r="G57" s="83"/>
      <c r="H57" s="86">
        <v>441947</v>
      </c>
      <c r="I57" s="82"/>
    </row>
    <row r="58" spans="1:9" ht="15.75" x14ac:dyDescent="0.3">
      <c r="A58" s="88" t="s">
        <v>18</v>
      </c>
      <c r="B58" s="83">
        <v>748783</v>
      </c>
      <c r="C58" s="84">
        <v>28650</v>
      </c>
      <c r="D58" s="84">
        <v>7437</v>
      </c>
      <c r="E58" s="85"/>
      <c r="F58" s="83">
        <v>756220</v>
      </c>
      <c r="G58" s="83"/>
      <c r="H58" s="86">
        <v>756220</v>
      </c>
      <c r="I58" s="82"/>
    </row>
    <row r="59" spans="1:9" ht="15.75" x14ac:dyDescent="0.3">
      <c r="A59" s="88" t="s">
        <v>23</v>
      </c>
      <c r="B59" s="83">
        <v>1038425</v>
      </c>
      <c r="C59" s="84">
        <v>57497</v>
      </c>
      <c r="D59" s="84">
        <v>10314</v>
      </c>
      <c r="E59" s="85"/>
      <c r="F59" s="83">
        <v>1048739</v>
      </c>
      <c r="G59" s="83"/>
      <c r="H59" s="86">
        <v>1048739</v>
      </c>
      <c r="I59" s="87"/>
    </row>
    <row r="60" spans="1:9" ht="15.75" x14ac:dyDescent="0.3">
      <c r="A60" s="88" t="s">
        <v>58</v>
      </c>
      <c r="B60" s="83">
        <v>10279041</v>
      </c>
      <c r="C60" s="84">
        <v>968877</v>
      </c>
      <c r="D60" s="84">
        <v>102099</v>
      </c>
      <c r="E60" s="85"/>
      <c r="F60" s="83">
        <v>10381140</v>
      </c>
      <c r="G60" s="83"/>
      <c r="H60" s="86">
        <v>10381140</v>
      </c>
    </row>
    <row r="61" spans="1:9" ht="15.75" x14ac:dyDescent="0.3">
      <c r="A61" s="88" t="s">
        <v>48</v>
      </c>
      <c r="B61" s="83">
        <v>5141052</v>
      </c>
      <c r="C61" s="84">
        <v>270000</v>
      </c>
      <c r="D61" s="84">
        <v>51065</v>
      </c>
      <c r="E61" s="85"/>
      <c r="F61" s="83">
        <v>5192117</v>
      </c>
      <c r="G61" s="83"/>
      <c r="H61" s="86">
        <v>5192117</v>
      </c>
    </row>
    <row r="62" spans="1:9" ht="15.75" x14ac:dyDescent="0.3">
      <c r="A62" s="88" t="s">
        <v>7</v>
      </c>
      <c r="B62" s="83">
        <v>250121</v>
      </c>
      <c r="C62" s="84">
        <v>8705</v>
      </c>
      <c r="D62" s="84">
        <v>2484</v>
      </c>
      <c r="E62" s="85"/>
      <c r="F62" s="83">
        <v>252605</v>
      </c>
      <c r="G62" s="83"/>
      <c r="H62" s="86">
        <v>252605</v>
      </c>
    </row>
    <row r="63" spans="1:9" ht="15.75" x14ac:dyDescent="0.3">
      <c r="A63" s="88" t="s">
        <v>30</v>
      </c>
      <c r="B63" s="83">
        <v>1355594</v>
      </c>
      <c r="C63" s="84">
        <v>111369</v>
      </c>
      <c r="D63" s="84">
        <v>13465</v>
      </c>
      <c r="E63" s="85"/>
      <c r="F63" s="83">
        <v>1369059</v>
      </c>
      <c r="G63" s="83"/>
      <c r="H63" s="86">
        <v>1369059</v>
      </c>
    </row>
    <row r="64" spans="1:9" ht="15.75" x14ac:dyDescent="0.3">
      <c r="A64" s="88" t="s">
        <v>26</v>
      </c>
      <c r="B64" s="83">
        <v>1085119</v>
      </c>
      <c r="C64" s="84">
        <v>72000</v>
      </c>
      <c r="D64" s="84">
        <v>10778</v>
      </c>
      <c r="E64" s="85"/>
      <c r="F64" s="83">
        <v>1095897</v>
      </c>
      <c r="G64" s="83"/>
      <c r="H64" s="86">
        <v>1095897</v>
      </c>
    </row>
    <row r="65" spans="1:10" ht="15.75" x14ac:dyDescent="0.3">
      <c r="A65" s="88" t="s">
        <v>54</v>
      </c>
      <c r="B65" s="83">
        <v>5902540</v>
      </c>
      <c r="C65" s="84">
        <v>405681</v>
      </c>
      <c r="D65" s="84">
        <v>58628</v>
      </c>
      <c r="E65" s="85"/>
      <c r="F65" s="83">
        <v>5961168</v>
      </c>
      <c r="G65" s="83"/>
      <c r="H65" s="86">
        <v>5961168</v>
      </c>
    </row>
    <row r="66" spans="1:10" ht="15.75" x14ac:dyDescent="0.3">
      <c r="A66" s="88" t="s">
        <v>45</v>
      </c>
      <c r="B66" s="83">
        <v>2747766</v>
      </c>
      <c r="C66" s="84">
        <v>209103</v>
      </c>
      <c r="D66" s="84">
        <v>27293</v>
      </c>
      <c r="E66" s="85"/>
      <c r="F66" s="83">
        <v>2775059</v>
      </c>
      <c r="G66" s="83"/>
      <c r="H66" s="86">
        <v>2775059</v>
      </c>
    </row>
    <row r="67" spans="1:10" ht="15.75" x14ac:dyDescent="0.3">
      <c r="A67" s="88" t="s">
        <v>19</v>
      </c>
      <c r="B67" s="83">
        <v>456522</v>
      </c>
      <c r="C67" s="84">
        <v>20132</v>
      </c>
      <c r="D67" s="84">
        <v>4535</v>
      </c>
      <c r="E67" s="85"/>
      <c r="F67" s="83">
        <v>461057</v>
      </c>
      <c r="G67" s="83"/>
      <c r="H67" s="86">
        <v>461057</v>
      </c>
    </row>
    <row r="68" spans="1:10" ht="15.75" x14ac:dyDescent="0.3">
      <c r="A68" s="88" t="s">
        <v>32</v>
      </c>
      <c r="B68" s="83">
        <v>1416069</v>
      </c>
      <c r="C68" s="84">
        <v>120481</v>
      </c>
      <c r="D68" s="84">
        <v>14065</v>
      </c>
      <c r="E68" s="85"/>
      <c r="F68" s="83">
        <v>1430134</v>
      </c>
      <c r="G68" s="83"/>
      <c r="H68" s="86">
        <v>1430134</v>
      </c>
    </row>
    <row r="69" spans="1:10" ht="16.5" thickBot="1" x14ac:dyDescent="0.35">
      <c r="A69" s="102" t="s">
        <v>21</v>
      </c>
      <c r="B69" s="103">
        <v>654581</v>
      </c>
      <c r="C69" s="104">
        <v>23760</v>
      </c>
      <c r="D69" s="104">
        <v>6502</v>
      </c>
      <c r="E69" s="105"/>
      <c r="F69" s="103">
        <v>661083</v>
      </c>
      <c r="G69" s="103"/>
      <c r="H69" s="106">
        <v>661083</v>
      </c>
    </row>
    <row r="70" spans="1:10" ht="16.5" x14ac:dyDescent="0.3">
      <c r="B70" s="90"/>
      <c r="C70" s="90"/>
      <c r="D70" s="77"/>
      <c r="E70" s="89"/>
    </row>
    <row r="71" spans="1:10" x14ac:dyDescent="0.25">
      <c r="A71" s="91" t="s">
        <v>98</v>
      </c>
      <c r="B71" s="92">
        <v>387564201</v>
      </c>
      <c r="C71" s="94"/>
      <c r="D71" s="92">
        <v>2996581</v>
      </c>
      <c r="E71" s="99"/>
      <c r="F71" s="92">
        <v>390560782</v>
      </c>
      <c r="G71" s="92">
        <v>852995</v>
      </c>
      <c r="H71" s="92">
        <v>391413777</v>
      </c>
    </row>
    <row r="72" spans="1:10" x14ac:dyDescent="0.25">
      <c r="A72" s="93"/>
      <c r="B72" s="96">
        <v>3849576</v>
      </c>
      <c r="C72" s="94"/>
      <c r="D72" s="93"/>
      <c r="E72" s="95"/>
      <c r="G72" s="95"/>
    </row>
    <row r="73" spans="1:10" x14ac:dyDescent="0.25">
      <c r="A73" s="97"/>
      <c r="D73" s="97"/>
      <c r="E73" s="99"/>
      <c r="F73" s="100"/>
      <c r="G73" s="99"/>
    </row>
    <row r="75" spans="1:10" ht="13.9" customHeight="1" x14ac:dyDescent="0.25"/>
    <row r="76" spans="1:10" ht="13.9" customHeight="1" x14ac:dyDescent="0.25"/>
    <row r="78" spans="1:10" s="101" customFormat="1" ht="13.9" customHeight="1" x14ac:dyDescent="0.25">
      <c r="A78" s="89"/>
      <c r="B78" s="98"/>
      <c r="C78" s="98"/>
      <c r="D78" s="89"/>
      <c r="E78" s="77"/>
      <c r="F78" s="77"/>
      <c r="G78" s="77"/>
      <c r="H78" s="77"/>
      <c r="I78" s="77"/>
      <c r="J78" s="77"/>
    </row>
    <row r="79" spans="1:10" s="101" customFormat="1" x14ac:dyDescent="0.25">
      <c r="A79" s="89"/>
      <c r="B79" s="98"/>
      <c r="C79" s="98"/>
      <c r="D79" s="89"/>
      <c r="E79" s="77"/>
      <c r="F79" s="77"/>
      <c r="G79" s="77"/>
      <c r="H79" s="77"/>
      <c r="I79" s="77"/>
      <c r="J79" s="77"/>
    </row>
    <row r="80" spans="1:10" s="101" customFormat="1" x14ac:dyDescent="0.25">
      <c r="A80" s="89"/>
      <c r="B80" s="98"/>
      <c r="C80" s="98"/>
      <c r="D80" s="89"/>
      <c r="E80" s="77"/>
      <c r="F80" s="77"/>
      <c r="G80" s="77"/>
      <c r="H80" s="77"/>
      <c r="I80" s="77"/>
      <c r="J80" s="77"/>
    </row>
  </sheetData>
  <autoFilter ref="A2:J2" xr:uid="{72049E76-DE04-4A71-99B5-6104BFDC9263}"/>
  <pageMargins left="0.7" right="0.7" top="0.75" bottom="0.75" header="0.3" footer="0.3"/>
  <pageSetup fitToHeight="3" pageOrder="overThenDown" orientation="landscape" horizontalDpi="1200" verticalDpi="1200" r:id="rId1"/>
  <headerFooter>
    <oddFooter>&amp;L&amp;F&amp;C&amp;G</oddFooter>
  </headerFooter>
  <rowBreaks count="1" manualBreakCount="1">
    <brk id="5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New Revenue Summary (ORIGINAL)</vt:lpstr>
      <vt:lpstr>New Revenue Summary (REVISED)</vt:lpstr>
      <vt:lpstr>BUDGET CALC. (ORIGINAL) </vt:lpstr>
      <vt:lpstr>BUDGET CALC. (REVISED July '20)</vt:lpstr>
      <vt:lpstr>BUDGET CALC. (REVISED Aug. '20)</vt:lpstr>
      <vt:lpstr>'New Revenue Summary (ORIGINAL)'!Print_Area</vt:lpstr>
      <vt:lpstr>'New Revenue Summary (REVISED)'!Print_Area</vt:lpstr>
      <vt:lpstr>'BUDGET CALC. (ORIGINAL) '!Print_Titles</vt:lpstr>
      <vt:lpstr>'BUDGET CALC. (REVISED Aug. ''20)'!Print_Titles</vt:lpstr>
      <vt:lpstr>'BUDGET CALC. (REVISED July ''20)'!Print_Titles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Welty</dc:creator>
  <cp:lastModifiedBy>Griffin Kolchakian</cp:lastModifiedBy>
  <cp:lastPrinted>2019-09-26T12:36:41Z</cp:lastPrinted>
  <dcterms:created xsi:type="dcterms:W3CDTF">2019-09-25T12:23:21Z</dcterms:created>
  <dcterms:modified xsi:type="dcterms:W3CDTF">2023-09-01T15:10:17Z</dcterms:modified>
</cp:coreProperties>
</file>