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FLCCOCSRV19\SharedAll\CCOC Committees\1- Budget Committee\2021 Meetings\"/>
    </mc:Choice>
  </mc:AlternateContent>
  <xr:revisionPtr revIDLastSave="0" documentId="13_ncr:1_{E7A70295-26E9-4423-A43C-216CA09FC5A3}" xr6:coauthVersionLast="47" xr6:coauthVersionMax="47" xr10:uidLastSave="{00000000-0000-0000-0000-000000000000}"/>
  <workbookProtection workbookAlgorithmName="SHA-512" workbookHashValue="GWfLSJteNYvuF24aUkkZx+0mLasa54irsFXgU8p8P49G0ybqAfaiDqkvp+D3aQPlXjSDo6y15rHCxbXEcIDNYw==" workbookSaltValue="0u7RRqHAz2JElnXQ0n1e5A==" workbookSpinCount="100000" lockStructure="1"/>
  <bookViews>
    <workbookView xWindow="28680" yWindow="-120" windowWidth="29040" windowHeight="15840" tabRatio="864" activeTab="1" xr2:uid="{38CFC309-A274-4488-94D0-824C27C05306}"/>
  </bookViews>
  <sheets>
    <sheet name="New Revenue Summary" sheetId="8" r:id="rId1"/>
    <sheet name="Needs-Based Budget " sheetId="19" r:id="rId2"/>
    <sheet name="BUDGET CALC.  " sheetId="18" state="hidden" r:id="rId3"/>
    <sheet name="BUDGET CALCULATION " sheetId="23" r:id="rId4"/>
    <sheet name="3.5% Pay Raise Issue " sheetId="20" r:id="rId5"/>
    <sheet name="UBF (19-20 Settle-Up) " sheetId="25" r:id="rId6"/>
    <sheet name="WWM Applied to $444.9M " sheetId="24" r:id="rId7"/>
    <sheet name="Peer Group Comparison  " sheetId="21" r:id="rId8"/>
  </sheets>
  <definedNames>
    <definedName name="_xlnm._FilterDatabase" localSheetId="2" hidden="1">'BUDGET CALC.  '!$A$3:$T$70</definedName>
    <definedName name="_xlnm._FilterDatabase" localSheetId="3" hidden="1">'BUDGET CALCULATION '!$A$3:$AB$70</definedName>
    <definedName name="_xlnm._FilterDatabase" localSheetId="1" hidden="1">'Needs-Based Budget '!$A$3:$Y$70</definedName>
    <definedName name="_xlnm._FilterDatabase" localSheetId="5" hidden="1">'UBF (19-20 Settle-Up) '!$A$1:$H$68</definedName>
    <definedName name="_xlnm._FilterDatabase" localSheetId="6" hidden="1">'WWM Applied to $444.9M '!$A$2:$G$69</definedName>
    <definedName name="_xlnm.Print_Area" localSheetId="0">'New Revenue Summary'!$A$1:$B$20</definedName>
    <definedName name="_xlnm.Print_Titles" localSheetId="2">'BUDGET CALC.  '!$A:$B,'BUDGET CALC.  '!$2:$3</definedName>
    <definedName name="_xlnm.Print_Titles" localSheetId="3">'BUDGET CALCULATION '!$A:$B,'BUDGET CALCULATION '!$2:$3</definedName>
    <definedName name="_xlnm.Print_Titles" localSheetId="1">'Needs-Based Budget '!$A:$B,'Needs-Based Budget '!$2:$3</definedName>
    <definedName name="_xlnm.Print_Titles" localSheetId="7">'Peer Group Comparison  '!$1:$2</definedName>
    <definedName name="_xlnm.Print_Titles" localSheetId="5">'UBF (19-20 Settle-Up) '!$1:$1</definedName>
    <definedName name="_xlnm.Print_Titles" localSheetId="6">'WWM Applied to $444.9M '!$A:$B,'WWM Applied to $444.9M '!$2:$2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'UBF (19-20 Settle-Up) '!#REF!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75" i="19" l="1"/>
  <c r="AG79" i="23"/>
  <c r="I54" i="25" l="1"/>
  <c r="AA83" i="18" l="1"/>
  <c r="AA81" i="18"/>
  <c r="V55" i="18"/>
  <c r="N58" i="18"/>
  <c r="V79" i="19" l="1"/>
  <c r="V77" i="19"/>
  <c r="E4" i="24" l="1"/>
  <c r="E40" i="24"/>
  <c r="E62" i="24"/>
  <c r="E61" i="24"/>
  <c r="F2" i="25" l="1"/>
  <c r="F70" i="25" s="1"/>
  <c r="I2" i="25"/>
  <c r="I70" i="25" s="1"/>
  <c r="F3" i="25"/>
  <c r="I3" i="25"/>
  <c r="F4" i="25"/>
  <c r="I4" i="25"/>
  <c r="F5" i="25"/>
  <c r="I5" i="25"/>
  <c r="F6" i="25"/>
  <c r="I6" i="25"/>
  <c r="F7" i="25"/>
  <c r="I7" i="25"/>
  <c r="F8" i="25"/>
  <c r="I8" i="25"/>
  <c r="F9" i="25"/>
  <c r="I9" i="25"/>
  <c r="F10" i="25"/>
  <c r="I10" i="25"/>
  <c r="F11" i="25"/>
  <c r="I11" i="25"/>
  <c r="F12" i="25"/>
  <c r="I12" i="25"/>
  <c r="F13" i="25"/>
  <c r="I13" i="25"/>
  <c r="F14" i="25"/>
  <c r="I14" i="25"/>
  <c r="F15" i="25"/>
  <c r="I15" i="25"/>
  <c r="F16" i="25"/>
  <c r="I16" i="25"/>
  <c r="F17" i="25"/>
  <c r="I17" i="25"/>
  <c r="F18" i="25"/>
  <c r="I18" i="25"/>
  <c r="F19" i="25"/>
  <c r="I19" i="25"/>
  <c r="F20" i="25"/>
  <c r="I20" i="25"/>
  <c r="F21" i="25"/>
  <c r="I21" i="25"/>
  <c r="F22" i="25"/>
  <c r="I22" i="25"/>
  <c r="F23" i="25"/>
  <c r="I23" i="25"/>
  <c r="F24" i="25"/>
  <c r="I24" i="25"/>
  <c r="F25" i="25"/>
  <c r="I25" i="25"/>
  <c r="F26" i="25"/>
  <c r="I26" i="25"/>
  <c r="F27" i="25"/>
  <c r="I27" i="25"/>
  <c r="F28" i="25"/>
  <c r="I28" i="25"/>
  <c r="F29" i="25"/>
  <c r="I29" i="25"/>
  <c r="F30" i="25"/>
  <c r="I30" i="25"/>
  <c r="F31" i="25"/>
  <c r="I31" i="25"/>
  <c r="F32" i="25"/>
  <c r="I32" i="25"/>
  <c r="F33" i="25"/>
  <c r="I33" i="25"/>
  <c r="F34" i="25"/>
  <c r="I34" i="25"/>
  <c r="F35" i="25"/>
  <c r="I35" i="25"/>
  <c r="F36" i="25"/>
  <c r="I36" i="25"/>
  <c r="F37" i="25"/>
  <c r="I37" i="25"/>
  <c r="F38" i="25"/>
  <c r="I38" i="25"/>
  <c r="F39" i="25"/>
  <c r="I39" i="25"/>
  <c r="F40" i="25"/>
  <c r="I40" i="25"/>
  <c r="F41" i="25"/>
  <c r="I41" i="25"/>
  <c r="F42" i="25"/>
  <c r="I42" i="25"/>
  <c r="F43" i="25"/>
  <c r="I43" i="25"/>
  <c r="F44" i="25"/>
  <c r="I44" i="25"/>
  <c r="F45" i="25"/>
  <c r="I45" i="25"/>
  <c r="F46" i="25"/>
  <c r="I46" i="25"/>
  <c r="F47" i="25"/>
  <c r="I47" i="25"/>
  <c r="F48" i="25"/>
  <c r="I48" i="25"/>
  <c r="F49" i="25"/>
  <c r="I49" i="25"/>
  <c r="F50" i="25"/>
  <c r="I50" i="25"/>
  <c r="F51" i="25"/>
  <c r="I51" i="25"/>
  <c r="F52" i="25"/>
  <c r="I52" i="25"/>
  <c r="F53" i="25"/>
  <c r="I53" i="25"/>
  <c r="F54" i="25"/>
  <c r="F55" i="25"/>
  <c r="I55" i="25"/>
  <c r="F56" i="25"/>
  <c r="I56" i="25"/>
  <c r="F57" i="25"/>
  <c r="I57" i="25"/>
  <c r="F58" i="25"/>
  <c r="I58" i="25"/>
  <c r="F59" i="25"/>
  <c r="I59" i="25"/>
  <c r="F60" i="25"/>
  <c r="I60" i="25"/>
  <c r="F61" i="25"/>
  <c r="I61" i="25"/>
  <c r="F62" i="25"/>
  <c r="I62" i="25"/>
  <c r="F63" i="25"/>
  <c r="I63" i="25"/>
  <c r="F64" i="25"/>
  <c r="I64" i="25"/>
  <c r="F65" i="25"/>
  <c r="I65" i="25"/>
  <c r="F66" i="25"/>
  <c r="I66" i="25"/>
  <c r="F67" i="25"/>
  <c r="I67" i="25"/>
  <c r="F68" i="25"/>
  <c r="I68" i="25"/>
  <c r="B70" i="25"/>
  <c r="C70" i="25"/>
  <c r="D70" i="25"/>
  <c r="E70" i="25"/>
  <c r="G70" i="25"/>
  <c r="H70" i="25"/>
  <c r="AH5" i="23"/>
  <c r="AH6" i="23"/>
  <c r="AH7" i="23"/>
  <c r="AH8" i="23"/>
  <c r="AH9" i="23"/>
  <c r="AH10" i="23"/>
  <c r="AH11" i="23"/>
  <c r="AH12" i="23"/>
  <c r="AH13" i="23"/>
  <c r="AH14" i="23"/>
  <c r="AH15" i="23"/>
  <c r="AH16" i="23"/>
  <c r="AH17" i="23"/>
  <c r="AH18" i="23"/>
  <c r="AH19" i="23"/>
  <c r="AH20" i="23"/>
  <c r="AH21" i="23"/>
  <c r="AH22" i="23"/>
  <c r="AH23" i="23"/>
  <c r="AH24" i="23"/>
  <c r="AH25" i="23"/>
  <c r="AH26" i="23"/>
  <c r="AH27" i="23"/>
  <c r="AH28" i="23"/>
  <c r="AH29" i="23"/>
  <c r="AH30" i="23"/>
  <c r="AH31" i="23"/>
  <c r="AH32" i="23"/>
  <c r="AH33" i="23"/>
  <c r="AH34" i="23"/>
  <c r="AH35" i="23"/>
  <c r="AH36" i="23"/>
  <c r="AH37" i="23"/>
  <c r="AH38" i="23"/>
  <c r="AH39" i="23"/>
  <c r="AH40" i="23"/>
  <c r="AH41" i="23"/>
  <c r="AH42" i="23"/>
  <c r="AH43" i="23"/>
  <c r="AH44" i="23"/>
  <c r="AH45" i="23"/>
  <c r="AH46" i="23"/>
  <c r="AH47" i="23"/>
  <c r="AH48" i="23"/>
  <c r="AH49" i="23"/>
  <c r="AH50" i="23"/>
  <c r="AH51" i="23"/>
  <c r="AH52" i="23"/>
  <c r="AH53" i="23"/>
  <c r="AH54" i="23"/>
  <c r="AH55" i="23"/>
  <c r="AH56" i="23"/>
  <c r="AH57" i="23"/>
  <c r="AH58" i="23"/>
  <c r="AH59" i="23"/>
  <c r="AH60" i="23"/>
  <c r="AH61" i="23"/>
  <c r="AH62" i="23"/>
  <c r="AH63" i="23"/>
  <c r="AH64" i="23"/>
  <c r="AH65" i="23"/>
  <c r="AH66" i="23"/>
  <c r="AH67" i="23"/>
  <c r="AH68" i="23"/>
  <c r="AH69" i="23"/>
  <c r="AH70" i="23"/>
  <c r="AH4" i="23"/>
  <c r="E3" i="24"/>
  <c r="F3" i="24" s="1"/>
  <c r="E6" i="24"/>
  <c r="F6" i="24" s="1"/>
  <c r="E7" i="24"/>
  <c r="F7" i="24" s="1"/>
  <c r="E8" i="24"/>
  <c r="F8" i="24" s="1"/>
  <c r="E10" i="24"/>
  <c r="F10" i="24" s="1"/>
  <c r="G10" i="24"/>
  <c r="E11" i="24"/>
  <c r="F11" i="24" s="1"/>
  <c r="E14" i="24"/>
  <c r="F14" i="24" s="1"/>
  <c r="E15" i="24"/>
  <c r="F15" i="24" s="1"/>
  <c r="E16" i="24"/>
  <c r="F16" i="24" s="1"/>
  <c r="E18" i="24"/>
  <c r="F18" i="24" s="1"/>
  <c r="E19" i="24"/>
  <c r="F19" i="24" s="1"/>
  <c r="E22" i="24"/>
  <c r="F22" i="24" s="1"/>
  <c r="E23" i="24"/>
  <c r="F23" i="24" s="1"/>
  <c r="E24" i="24"/>
  <c r="F24" i="24" s="1"/>
  <c r="E26" i="24"/>
  <c r="F26" i="24" s="1"/>
  <c r="G26" i="24"/>
  <c r="E27" i="24"/>
  <c r="F27" i="24" s="1"/>
  <c r="E30" i="24"/>
  <c r="F30" i="24" s="1"/>
  <c r="E31" i="24"/>
  <c r="F31" i="24" s="1"/>
  <c r="E32" i="24"/>
  <c r="F32" i="24" s="1"/>
  <c r="E34" i="24"/>
  <c r="F34" i="24" s="1"/>
  <c r="E35" i="24"/>
  <c r="F35" i="24" s="1"/>
  <c r="E38" i="24"/>
  <c r="F38" i="24" s="1"/>
  <c r="E39" i="24"/>
  <c r="F39" i="24" s="1"/>
  <c r="F40" i="24"/>
  <c r="E42" i="24"/>
  <c r="F42" i="24" s="1"/>
  <c r="G42" i="24"/>
  <c r="E43" i="24"/>
  <c r="F43" i="24" s="1"/>
  <c r="E46" i="24"/>
  <c r="F46" i="24" s="1"/>
  <c r="E47" i="24"/>
  <c r="F47" i="24" s="1"/>
  <c r="E48" i="24"/>
  <c r="F48" i="24" s="1"/>
  <c r="E50" i="24"/>
  <c r="F50" i="24" s="1"/>
  <c r="E51" i="24"/>
  <c r="F51" i="24" s="1"/>
  <c r="E54" i="24"/>
  <c r="F54" i="24" s="1"/>
  <c r="E55" i="24"/>
  <c r="F55" i="24" s="1"/>
  <c r="E56" i="24"/>
  <c r="F56" i="24" s="1"/>
  <c r="E58" i="24"/>
  <c r="F58" i="24" s="1"/>
  <c r="G58" i="24"/>
  <c r="E59" i="24"/>
  <c r="F59" i="24" s="1"/>
  <c r="F62" i="24"/>
  <c r="E63" i="24"/>
  <c r="F63" i="24" s="1"/>
  <c r="E64" i="24"/>
  <c r="F64" i="24" s="1"/>
  <c r="E66" i="24"/>
  <c r="F66" i="24" s="1"/>
  <c r="E67" i="24"/>
  <c r="F67" i="24" s="1"/>
  <c r="C71" i="24"/>
  <c r="D71" i="24"/>
  <c r="E9" i="24" s="1"/>
  <c r="V1" i="23"/>
  <c r="Z1" i="23"/>
  <c r="H4" i="23"/>
  <c r="I4" i="23" s="1"/>
  <c r="N4" i="23"/>
  <c r="H5" i="23"/>
  <c r="N5" i="23"/>
  <c r="H6" i="23"/>
  <c r="I6" i="23" s="1"/>
  <c r="N6" i="23"/>
  <c r="H7" i="23"/>
  <c r="I7" i="23" s="1"/>
  <c r="N7" i="23"/>
  <c r="H8" i="23"/>
  <c r="I8" i="23" s="1"/>
  <c r="N8" i="23"/>
  <c r="H9" i="23"/>
  <c r="I9" i="23" s="1"/>
  <c r="K9" i="23"/>
  <c r="N9" i="23" s="1"/>
  <c r="O9" i="23" s="1"/>
  <c r="P9" i="23" s="1"/>
  <c r="H10" i="23"/>
  <c r="I10" i="23" s="1"/>
  <c r="N10" i="23"/>
  <c r="H11" i="23"/>
  <c r="I11" i="23"/>
  <c r="N11" i="23"/>
  <c r="H12" i="23"/>
  <c r="N12" i="23"/>
  <c r="H13" i="23"/>
  <c r="I13" i="23" s="1"/>
  <c r="N13" i="23"/>
  <c r="H14" i="23"/>
  <c r="I14" i="23"/>
  <c r="N14" i="23"/>
  <c r="H15" i="23"/>
  <c r="I15" i="23" s="1"/>
  <c r="K15" i="23"/>
  <c r="N15" i="23" s="1"/>
  <c r="H16" i="23"/>
  <c r="I16" i="23"/>
  <c r="N16" i="23"/>
  <c r="H17" i="23"/>
  <c r="I17" i="23" s="1"/>
  <c r="N17" i="23"/>
  <c r="H18" i="23"/>
  <c r="I18" i="23"/>
  <c r="N18" i="23"/>
  <c r="H19" i="23"/>
  <c r="I19" i="23" s="1"/>
  <c r="M19" i="23"/>
  <c r="N19" i="23" s="1"/>
  <c r="H20" i="23"/>
  <c r="I20" i="23" s="1"/>
  <c r="N20" i="23"/>
  <c r="H21" i="23"/>
  <c r="I21" i="23" s="1"/>
  <c r="N21" i="23"/>
  <c r="H22" i="23"/>
  <c r="O22" i="23" s="1"/>
  <c r="P22" i="23" s="1"/>
  <c r="K22" i="23"/>
  <c r="N22" i="23" s="1"/>
  <c r="H23" i="23"/>
  <c r="I23" i="23" s="1"/>
  <c r="N23" i="23"/>
  <c r="H24" i="23"/>
  <c r="I24" i="23" s="1"/>
  <c r="N24" i="23"/>
  <c r="H25" i="23"/>
  <c r="I25" i="23"/>
  <c r="N25" i="23"/>
  <c r="H26" i="23"/>
  <c r="I26" i="23" s="1"/>
  <c r="N26" i="23"/>
  <c r="H27" i="23"/>
  <c r="I27" i="23"/>
  <c r="N27" i="23"/>
  <c r="H28" i="23"/>
  <c r="I28" i="23" s="1"/>
  <c r="N28" i="23"/>
  <c r="H29" i="23"/>
  <c r="I29" i="23" s="1"/>
  <c r="N29" i="23"/>
  <c r="H30" i="23"/>
  <c r="I30" i="23" s="1"/>
  <c r="N30" i="23"/>
  <c r="H31" i="23"/>
  <c r="I31" i="23" s="1"/>
  <c r="N31" i="23"/>
  <c r="H32" i="23"/>
  <c r="I32" i="23"/>
  <c r="N32" i="23"/>
  <c r="H33" i="23"/>
  <c r="I33" i="23" s="1"/>
  <c r="N33" i="23"/>
  <c r="H34" i="23"/>
  <c r="I34" i="23" s="1"/>
  <c r="N34" i="23"/>
  <c r="O34" i="23" s="1"/>
  <c r="H35" i="23"/>
  <c r="I35" i="23" s="1"/>
  <c r="K35" i="23"/>
  <c r="N35" i="23" s="1"/>
  <c r="O35" i="23" s="1"/>
  <c r="H36" i="23"/>
  <c r="N36" i="23"/>
  <c r="H37" i="23"/>
  <c r="I37" i="23" s="1"/>
  <c r="N37" i="23"/>
  <c r="H38" i="23"/>
  <c r="I38" i="23" s="1"/>
  <c r="K38" i="23"/>
  <c r="M38" i="23"/>
  <c r="N38" i="23" s="1"/>
  <c r="O38" i="23" s="1"/>
  <c r="H39" i="23"/>
  <c r="I39" i="23" s="1"/>
  <c r="N39" i="23"/>
  <c r="H40" i="23"/>
  <c r="I40" i="23" s="1"/>
  <c r="N40" i="23"/>
  <c r="O40" i="23" s="1"/>
  <c r="H41" i="23"/>
  <c r="I41" i="23" s="1"/>
  <c r="N41" i="23"/>
  <c r="O41" i="23" s="1"/>
  <c r="H42" i="23"/>
  <c r="I42" i="23" s="1"/>
  <c r="N42" i="23"/>
  <c r="H43" i="23"/>
  <c r="I43" i="23" s="1"/>
  <c r="N43" i="23"/>
  <c r="H44" i="23"/>
  <c r="I44" i="23" s="1"/>
  <c r="K44" i="23"/>
  <c r="N44" i="23" s="1"/>
  <c r="O44" i="23" s="1"/>
  <c r="P44" i="23" s="1"/>
  <c r="H45" i="23"/>
  <c r="I45" i="23" s="1"/>
  <c r="N45" i="23"/>
  <c r="H46" i="23"/>
  <c r="I46" i="23" s="1"/>
  <c r="N46" i="23"/>
  <c r="H47" i="23"/>
  <c r="I47" i="23"/>
  <c r="N47" i="23"/>
  <c r="F48" i="23"/>
  <c r="H48" i="23" s="1"/>
  <c r="I48" i="23" s="1"/>
  <c r="N48" i="23"/>
  <c r="H49" i="23"/>
  <c r="I49" i="23" s="1"/>
  <c r="N49" i="23"/>
  <c r="H50" i="23"/>
  <c r="I50" i="23" s="1"/>
  <c r="N50" i="23"/>
  <c r="F51" i="23"/>
  <c r="H51" i="23" s="1"/>
  <c r="I51" i="23" s="1"/>
  <c r="K51" i="23"/>
  <c r="N51" i="23" s="1"/>
  <c r="H52" i="23"/>
  <c r="I52" i="23" s="1"/>
  <c r="N52" i="23"/>
  <c r="H53" i="23"/>
  <c r="I53" i="23" s="1"/>
  <c r="N53" i="23"/>
  <c r="H54" i="23"/>
  <c r="I54" i="23"/>
  <c r="N54" i="23"/>
  <c r="H55" i="23"/>
  <c r="I55" i="23" s="1"/>
  <c r="N55" i="23"/>
  <c r="F56" i="23"/>
  <c r="H56" i="23" s="1"/>
  <c r="I56" i="23" s="1"/>
  <c r="K56" i="23"/>
  <c r="N56" i="23" s="1"/>
  <c r="H57" i="23"/>
  <c r="I57" i="23"/>
  <c r="N57" i="23"/>
  <c r="H58" i="23"/>
  <c r="I58" i="23" s="1"/>
  <c r="N58" i="23"/>
  <c r="O58" i="23" s="1"/>
  <c r="P58" i="23" s="1"/>
  <c r="H59" i="23"/>
  <c r="I59" i="23" s="1"/>
  <c r="N59" i="23"/>
  <c r="H60" i="23"/>
  <c r="I60" i="23" s="1"/>
  <c r="K60" i="23"/>
  <c r="N60" i="23" s="1"/>
  <c r="O60" i="23" s="1"/>
  <c r="H61" i="23"/>
  <c r="I61" i="23" s="1"/>
  <c r="N61" i="23"/>
  <c r="H62" i="23"/>
  <c r="I62" i="23" s="1"/>
  <c r="N62" i="23"/>
  <c r="H63" i="23"/>
  <c r="I63" i="23" s="1"/>
  <c r="N63" i="23"/>
  <c r="H64" i="23"/>
  <c r="I64" i="23" s="1"/>
  <c r="N64" i="23"/>
  <c r="H65" i="23"/>
  <c r="I65" i="23" s="1"/>
  <c r="N65" i="23"/>
  <c r="O65" i="23" s="1"/>
  <c r="H66" i="23"/>
  <c r="I66" i="23" s="1"/>
  <c r="N66" i="23"/>
  <c r="O66" i="23" s="1"/>
  <c r="P66" i="23" s="1"/>
  <c r="F67" i="23"/>
  <c r="H67" i="23" s="1"/>
  <c r="I67" i="23" s="1"/>
  <c r="K67" i="23"/>
  <c r="N67" i="23"/>
  <c r="H68" i="23"/>
  <c r="I68" i="23" s="1"/>
  <c r="N68" i="23"/>
  <c r="O68" i="23" s="1"/>
  <c r="H69" i="23"/>
  <c r="I69" i="23" s="1"/>
  <c r="N69" i="23"/>
  <c r="O69" i="23" s="1"/>
  <c r="P69" i="23" s="1"/>
  <c r="H70" i="23"/>
  <c r="I70" i="23" s="1"/>
  <c r="N70" i="23"/>
  <c r="C72" i="23"/>
  <c r="D72" i="23"/>
  <c r="E72" i="23"/>
  <c r="G72" i="23"/>
  <c r="J72" i="23"/>
  <c r="L72" i="23"/>
  <c r="Q72" i="23"/>
  <c r="R65" i="23" s="1"/>
  <c r="S72" i="23"/>
  <c r="T42" i="23" s="1"/>
  <c r="U42" i="23" s="1"/>
  <c r="X72" i="23"/>
  <c r="Y5" i="23" s="1"/>
  <c r="AD72" i="23"/>
  <c r="AG72" i="23"/>
  <c r="W4" i="18"/>
  <c r="V4" i="18"/>
  <c r="S4" i="18"/>
  <c r="T1" i="18"/>
  <c r="R1" i="18"/>
  <c r="R4" i="18"/>
  <c r="O4" i="18"/>
  <c r="P1" i="18"/>
  <c r="O1" i="18"/>
  <c r="G30" i="18"/>
  <c r="N37" i="18"/>
  <c r="G4" i="18"/>
  <c r="E4" i="18"/>
  <c r="C7" i="21"/>
  <c r="D3" i="21" s="1"/>
  <c r="C19" i="21"/>
  <c r="D11" i="21" s="1"/>
  <c r="C31" i="21"/>
  <c r="D20" i="21" s="1"/>
  <c r="C41" i="21"/>
  <c r="D36" i="21" s="1"/>
  <c r="D47" i="21"/>
  <c r="D49" i="21"/>
  <c r="C51" i="21"/>
  <c r="D44" i="21" s="1"/>
  <c r="C65" i="21"/>
  <c r="D57" i="21" s="1"/>
  <c r="C71" i="21"/>
  <c r="D67" i="21" s="1"/>
  <c r="D73" i="21"/>
  <c r="C77" i="21"/>
  <c r="D76" i="21" s="1"/>
  <c r="C2" i="20"/>
  <c r="C3" i="20"/>
  <c r="C4" i="20"/>
  <c r="C5" i="20"/>
  <c r="C6" i="20"/>
  <c r="C7" i="20"/>
  <c r="C8" i="20"/>
  <c r="C9" i="20"/>
  <c r="C70" i="20" s="1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58" i="20"/>
  <c r="C59" i="20"/>
  <c r="C60" i="20"/>
  <c r="C61" i="20"/>
  <c r="C62" i="20"/>
  <c r="C63" i="20"/>
  <c r="C64" i="20"/>
  <c r="C65" i="20"/>
  <c r="C66" i="20"/>
  <c r="C67" i="20"/>
  <c r="C68" i="20"/>
  <c r="B70" i="20"/>
  <c r="K4" i="19"/>
  <c r="L4" i="19"/>
  <c r="M4" i="19" s="1"/>
  <c r="T4" i="19"/>
  <c r="U4" i="19"/>
  <c r="V4" i="19"/>
  <c r="K5" i="19"/>
  <c r="L5" i="19"/>
  <c r="M5" i="19" s="1"/>
  <c r="T5" i="19"/>
  <c r="U5" i="19"/>
  <c r="V5" i="19"/>
  <c r="K6" i="19"/>
  <c r="L6" i="19"/>
  <c r="V6" i="19" s="1"/>
  <c r="M6" i="19"/>
  <c r="T6" i="19"/>
  <c r="U6" i="19"/>
  <c r="K7" i="19"/>
  <c r="L7" i="19"/>
  <c r="M7" i="19" s="1"/>
  <c r="T7" i="19"/>
  <c r="U7" i="19"/>
  <c r="K8" i="19"/>
  <c r="L8" i="19"/>
  <c r="M8" i="19"/>
  <c r="T8" i="19"/>
  <c r="U8" i="19" s="1"/>
  <c r="K9" i="19"/>
  <c r="L9" i="19"/>
  <c r="M9" i="19" s="1"/>
  <c r="O9" i="19"/>
  <c r="T9" i="19"/>
  <c r="V9" i="19" s="1"/>
  <c r="U9" i="19"/>
  <c r="K10" i="19"/>
  <c r="L10" i="19"/>
  <c r="M10" i="19" s="1"/>
  <c r="T10" i="19"/>
  <c r="V10" i="19" s="1"/>
  <c r="U10" i="19"/>
  <c r="K11" i="19"/>
  <c r="L11" i="19"/>
  <c r="M11" i="19" s="1"/>
  <c r="T11" i="19"/>
  <c r="V11" i="19" s="1"/>
  <c r="U11" i="19"/>
  <c r="K12" i="19"/>
  <c r="L12" i="19"/>
  <c r="M12" i="19" s="1"/>
  <c r="T12" i="19"/>
  <c r="V12" i="19" s="1"/>
  <c r="U12" i="19"/>
  <c r="K13" i="19"/>
  <c r="L13" i="19"/>
  <c r="M13" i="19" s="1"/>
  <c r="T13" i="19"/>
  <c r="V13" i="19" s="1"/>
  <c r="U13" i="19"/>
  <c r="K14" i="19"/>
  <c r="L14" i="19"/>
  <c r="M14" i="19" s="1"/>
  <c r="T14" i="19"/>
  <c r="V14" i="19" s="1"/>
  <c r="U14" i="19"/>
  <c r="K15" i="19"/>
  <c r="L15" i="19"/>
  <c r="M15" i="19" s="1"/>
  <c r="O15" i="19"/>
  <c r="Q15" i="19"/>
  <c r="Q72" i="19" s="1"/>
  <c r="K16" i="19"/>
  <c r="L16" i="19"/>
  <c r="V16" i="19" s="1"/>
  <c r="M16" i="19"/>
  <c r="T16" i="19"/>
  <c r="U16" i="19"/>
  <c r="W16" i="19"/>
  <c r="Y16" i="19"/>
  <c r="K17" i="19"/>
  <c r="L17" i="19"/>
  <c r="V17" i="19" s="1"/>
  <c r="W17" i="19" s="1"/>
  <c r="M17" i="19"/>
  <c r="T17" i="19"/>
  <c r="U17" i="19"/>
  <c r="Y17" i="19"/>
  <c r="K18" i="19"/>
  <c r="L18" i="19"/>
  <c r="V18" i="19" s="1"/>
  <c r="W18" i="19" s="1"/>
  <c r="M18" i="19"/>
  <c r="T18" i="19"/>
  <c r="U18" i="19"/>
  <c r="K19" i="19"/>
  <c r="L19" i="19"/>
  <c r="M19" i="19"/>
  <c r="S19" i="19"/>
  <c r="T19" i="19"/>
  <c r="U19" i="19"/>
  <c r="V19" i="19"/>
  <c r="Y19" i="19" s="1"/>
  <c r="W19" i="19"/>
  <c r="K20" i="19"/>
  <c r="L20" i="19"/>
  <c r="M20" i="19" s="1"/>
  <c r="T20" i="19"/>
  <c r="U20" i="19"/>
  <c r="K21" i="19"/>
  <c r="L21" i="19"/>
  <c r="M21" i="19" s="1"/>
  <c r="T21" i="19"/>
  <c r="U21" i="19"/>
  <c r="V21" i="19"/>
  <c r="Y21" i="19" s="1"/>
  <c r="W21" i="19"/>
  <c r="K22" i="19"/>
  <c r="L22" i="19"/>
  <c r="M22" i="19" s="1"/>
  <c r="O22" i="19"/>
  <c r="T22" i="19"/>
  <c r="U22" i="19"/>
  <c r="V22" i="19"/>
  <c r="K23" i="19"/>
  <c r="L23" i="19"/>
  <c r="M23" i="19"/>
  <c r="T23" i="19"/>
  <c r="U23" i="19"/>
  <c r="V23" i="19"/>
  <c r="K24" i="19"/>
  <c r="L24" i="19"/>
  <c r="M24" i="19"/>
  <c r="T24" i="19"/>
  <c r="U24" i="19"/>
  <c r="V24" i="19"/>
  <c r="K25" i="19"/>
  <c r="L25" i="19"/>
  <c r="M25" i="19"/>
  <c r="T25" i="19"/>
  <c r="U25" i="19"/>
  <c r="V25" i="19"/>
  <c r="K26" i="19"/>
  <c r="L26" i="19"/>
  <c r="M26" i="19"/>
  <c r="T26" i="19"/>
  <c r="U26" i="19"/>
  <c r="V26" i="19"/>
  <c r="K27" i="19"/>
  <c r="L27" i="19"/>
  <c r="M27" i="19"/>
  <c r="T27" i="19"/>
  <c r="U27" i="19"/>
  <c r="V27" i="19"/>
  <c r="K28" i="19"/>
  <c r="L28" i="19"/>
  <c r="M28" i="19"/>
  <c r="T28" i="19"/>
  <c r="U28" i="19"/>
  <c r="V28" i="19"/>
  <c r="K29" i="19"/>
  <c r="L29" i="19"/>
  <c r="M29" i="19"/>
  <c r="T29" i="19"/>
  <c r="U29" i="19"/>
  <c r="V29" i="19"/>
  <c r="K30" i="19"/>
  <c r="L30" i="19"/>
  <c r="M30" i="19"/>
  <c r="T30" i="19"/>
  <c r="U30" i="19"/>
  <c r="V30" i="19"/>
  <c r="K31" i="19"/>
  <c r="L31" i="19"/>
  <c r="M31" i="19"/>
  <c r="T31" i="19"/>
  <c r="U31" i="19"/>
  <c r="V31" i="19"/>
  <c r="K32" i="19"/>
  <c r="L32" i="19"/>
  <c r="M32" i="19"/>
  <c r="T32" i="19"/>
  <c r="U32" i="19"/>
  <c r="V32" i="19"/>
  <c r="K33" i="19"/>
  <c r="L33" i="19"/>
  <c r="M33" i="19"/>
  <c r="Q33" i="19"/>
  <c r="T33" i="19"/>
  <c r="V33" i="19" s="1"/>
  <c r="W33" i="19" s="1"/>
  <c r="U33" i="19"/>
  <c r="K34" i="19"/>
  <c r="L34" i="19"/>
  <c r="M34" i="19"/>
  <c r="T34" i="19"/>
  <c r="V34" i="19" s="1"/>
  <c r="W34" i="19" s="1"/>
  <c r="U34" i="19"/>
  <c r="K35" i="19"/>
  <c r="L35" i="19"/>
  <c r="M35" i="19"/>
  <c r="O35" i="19"/>
  <c r="T35" i="19"/>
  <c r="U35" i="19" s="1"/>
  <c r="V35" i="19"/>
  <c r="Y35" i="19" s="1"/>
  <c r="K36" i="19"/>
  <c r="L36" i="19"/>
  <c r="M36" i="19"/>
  <c r="T36" i="19"/>
  <c r="U36" i="19" s="1"/>
  <c r="V36" i="19"/>
  <c r="Y36" i="19" s="1"/>
  <c r="W36" i="19"/>
  <c r="K37" i="19"/>
  <c r="L37" i="19"/>
  <c r="M37" i="19"/>
  <c r="T37" i="19"/>
  <c r="U37" i="19" s="1"/>
  <c r="K38" i="19"/>
  <c r="L38" i="19"/>
  <c r="M38" i="19"/>
  <c r="O38" i="19"/>
  <c r="T38" i="19" s="1"/>
  <c r="Q38" i="19"/>
  <c r="S38" i="19"/>
  <c r="K39" i="19"/>
  <c r="L39" i="19"/>
  <c r="M39" i="19"/>
  <c r="T39" i="19"/>
  <c r="K40" i="19"/>
  <c r="L40" i="19"/>
  <c r="M40" i="19"/>
  <c r="T40" i="19"/>
  <c r="K41" i="19"/>
  <c r="L41" i="19"/>
  <c r="M41" i="19"/>
  <c r="T41" i="19"/>
  <c r="K42" i="19"/>
  <c r="L42" i="19"/>
  <c r="M42" i="19"/>
  <c r="T42" i="19"/>
  <c r="K43" i="19"/>
  <c r="L43" i="19"/>
  <c r="M43" i="19"/>
  <c r="T43" i="19"/>
  <c r="K44" i="19"/>
  <c r="L44" i="19"/>
  <c r="M44" i="19"/>
  <c r="O44" i="19"/>
  <c r="T44" i="19" s="1"/>
  <c r="U44" i="19" s="1"/>
  <c r="V44" i="19"/>
  <c r="W44" i="19"/>
  <c r="Y44" i="19"/>
  <c r="K45" i="19"/>
  <c r="L45" i="19"/>
  <c r="M45" i="19" s="1"/>
  <c r="T45" i="19"/>
  <c r="U45" i="19"/>
  <c r="K46" i="19"/>
  <c r="L46" i="19"/>
  <c r="M46" i="19" s="1"/>
  <c r="T46" i="19"/>
  <c r="U46" i="19"/>
  <c r="K47" i="19"/>
  <c r="L47" i="19"/>
  <c r="M47" i="19" s="1"/>
  <c r="T47" i="19"/>
  <c r="U47" i="19"/>
  <c r="I48" i="19"/>
  <c r="I72" i="19" s="1"/>
  <c r="K48" i="19"/>
  <c r="L48" i="19"/>
  <c r="M48" i="19" s="1"/>
  <c r="T48" i="19"/>
  <c r="U48" i="19"/>
  <c r="V48" i="19"/>
  <c r="Y48" i="19" s="1"/>
  <c r="W48" i="19"/>
  <c r="K49" i="19"/>
  <c r="L49" i="19"/>
  <c r="M49" i="19" s="1"/>
  <c r="T49" i="19"/>
  <c r="U49" i="19"/>
  <c r="K50" i="19"/>
  <c r="L50" i="19"/>
  <c r="M50" i="19" s="1"/>
  <c r="T50" i="19"/>
  <c r="U50" i="19"/>
  <c r="V50" i="19"/>
  <c r="W50" i="19" s="1"/>
  <c r="X50" i="19"/>
  <c r="I51" i="19"/>
  <c r="O51" i="19"/>
  <c r="T51" i="19" s="1"/>
  <c r="K52" i="19"/>
  <c r="L52" i="19"/>
  <c r="M52" i="19"/>
  <c r="T52" i="19"/>
  <c r="U52" i="19" s="1"/>
  <c r="V52" i="19"/>
  <c r="Y52" i="19" s="1"/>
  <c r="X52" i="19"/>
  <c r="K53" i="19"/>
  <c r="L53" i="19"/>
  <c r="M53" i="19"/>
  <c r="T53" i="19"/>
  <c r="U53" i="19"/>
  <c r="V53" i="19"/>
  <c r="W53" i="19" s="1"/>
  <c r="X53" i="19"/>
  <c r="K54" i="19"/>
  <c r="L54" i="19"/>
  <c r="M54" i="19" s="1"/>
  <c r="T54" i="19"/>
  <c r="V54" i="19" s="1"/>
  <c r="W54" i="19" s="1"/>
  <c r="U54" i="19"/>
  <c r="Y54" i="19"/>
  <c r="K55" i="19"/>
  <c r="L55" i="19"/>
  <c r="M55" i="19" s="1"/>
  <c r="T55" i="19"/>
  <c r="V55" i="19" s="1"/>
  <c r="W55" i="19" s="1"/>
  <c r="I56" i="19"/>
  <c r="L56" i="19" s="1"/>
  <c r="K56" i="19"/>
  <c r="M56" i="19"/>
  <c r="O56" i="19"/>
  <c r="T56" i="19" s="1"/>
  <c r="U56" i="19" s="1"/>
  <c r="K57" i="19"/>
  <c r="L57" i="19"/>
  <c r="M57" i="19"/>
  <c r="T57" i="19"/>
  <c r="U57" i="19"/>
  <c r="V57" i="19"/>
  <c r="Y57" i="19" s="1"/>
  <c r="W57" i="19"/>
  <c r="K58" i="19"/>
  <c r="L58" i="19"/>
  <c r="M58" i="19"/>
  <c r="T58" i="19"/>
  <c r="U58" i="19"/>
  <c r="V58" i="19"/>
  <c r="Y58" i="19" s="1"/>
  <c r="W58" i="19"/>
  <c r="K59" i="19"/>
  <c r="L59" i="19"/>
  <c r="M59" i="19"/>
  <c r="T59" i="19"/>
  <c r="U59" i="19"/>
  <c r="V59" i="19"/>
  <c r="Y59" i="19" s="1"/>
  <c r="W59" i="19"/>
  <c r="K60" i="19"/>
  <c r="L60" i="19"/>
  <c r="M60" i="19"/>
  <c r="O60" i="19"/>
  <c r="T60" i="19"/>
  <c r="U60" i="19"/>
  <c r="V60" i="19"/>
  <c r="Y60" i="19" s="1"/>
  <c r="K61" i="19"/>
  <c r="L61" i="19"/>
  <c r="M61" i="19" s="1"/>
  <c r="T61" i="19"/>
  <c r="U61" i="19"/>
  <c r="V61" i="19"/>
  <c r="Y61" i="19" s="1"/>
  <c r="K62" i="19"/>
  <c r="L62" i="19"/>
  <c r="M62" i="19" s="1"/>
  <c r="T62" i="19"/>
  <c r="U62" i="19"/>
  <c r="V62" i="19"/>
  <c r="Y62" i="19" s="1"/>
  <c r="W62" i="19"/>
  <c r="K63" i="19"/>
  <c r="L63" i="19"/>
  <c r="M63" i="19" s="1"/>
  <c r="T63" i="19"/>
  <c r="U63" i="19"/>
  <c r="X63" i="19"/>
  <c r="K64" i="19"/>
  <c r="L64" i="19"/>
  <c r="M64" i="19"/>
  <c r="T64" i="19"/>
  <c r="U64" i="19" s="1"/>
  <c r="V64" i="19"/>
  <c r="W64" i="19" s="1"/>
  <c r="Y64" i="19"/>
  <c r="K65" i="19"/>
  <c r="L65" i="19"/>
  <c r="M65" i="19"/>
  <c r="T65" i="19"/>
  <c r="U65" i="19" s="1"/>
  <c r="K66" i="19"/>
  <c r="L66" i="19"/>
  <c r="M66" i="19"/>
  <c r="T66" i="19"/>
  <c r="V66" i="19" s="1"/>
  <c r="U66" i="19"/>
  <c r="X66" i="19"/>
  <c r="I67" i="19"/>
  <c r="K67" i="19"/>
  <c r="L67" i="19"/>
  <c r="M67" i="19" s="1"/>
  <c r="O67" i="19"/>
  <c r="T67" i="19" s="1"/>
  <c r="U67" i="19" s="1"/>
  <c r="K68" i="19"/>
  <c r="L68" i="19"/>
  <c r="M68" i="19"/>
  <c r="T68" i="19"/>
  <c r="U68" i="19"/>
  <c r="V68" i="19"/>
  <c r="K69" i="19"/>
  <c r="L69" i="19"/>
  <c r="M69" i="19"/>
  <c r="T69" i="19"/>
  <c r="U69" i="19"/>
  <c r="V69" i="19"/>
  <c r="K70" i="19"/>
  <c r="L70" i="19"/>
  <c r="M70" i="19" s="1"/>
  <c r="T70" i="19"/>
  <c r="U70" i="19"/>
  <c r="C72" i="19"/>
  <c r="D72" i="19"/>
  <c r="E72" i="19"/>
  <c r="F72" i="19"/>
  <c r="G72" i="19"/>
  <c r="N75" i="19" s="1"/>
  <c r="H72" i="19"/>
  <c r="J72" i="19"/>
  <c r="N72" i="19"/>
  <c r="O72" i="19"/>
  <c r="O75" i="19" s="1"/>
  <c r="P72" i="19"/>
  <c r="R72" i="19"/>
  <c r="S72" i="19"/>
  <c r="X72" i="19"/>
  <c r="X72" i="18"/>
  <c r="O59" i="23" l="1"/>
  <c r="O45" i="23"/>
  <c r="P45" i="23" s="1"/>
  <c r="O16" i="23"/>
  <c r="P16" i="23" s="1"/>
  <c r="E75" i="23"/>
  <c r="O15" i="23"/>
  <c r="P15" i="23" s="1"/>
  <c r="O8" i="23"/>
  <c r="O63" i="23"/>
  <c r="O49" i="23"/>
  <c r="F72" i="23"/>
  <c r="AH72" i="23"/>
  <c r="AG81" i="23"/>
  <c r="O62" i="23"/>
  <c r="P62" i="23" s="1"/>
  <c r="O47" i="23"/>
  <c r="P47" i="23" s="1"/>
  <c r="O4" i="23"/>
  <c r="P4" i="23" s="1"/>
  <c r="V8" i="19"/>
  <c r="G66" i="24"/>
  <c r="G34" i="24"/>
  <c r="G50" i="24"/>
  <c r="G18" i="24"/>
  <c r="O61" i="23"/>
  <c r="P61" i="23" s="1"/>
  <c r="O54" i="23"/>
  <c r="O25" i="23"/>
  <c r="O5" i="23"/>
  <c r="O67" i="23"/>
  <c r="O31" i="23"/>
  <c r="P31" i="23" s="1"/>
  <c r="J75" i="23"/>
  <c r="O57" i="23"/>
  <c r="P57" i="23" s="1"/>
  <c r="O55" i="23"/>
  <c r="P55" i="23" s="1"/>
  <c r="O39" i="23"/>
  <c r="I22" i="23"/>
  <c r="O20" i="23"/>
  <c r="P20" i="23" s="1"/>
  <c r="O26" i="23"/>
  <c r="P26" i="23" s="1"/>
  <c r="O17" i="23"/>
  <c r="P17" i="23" s="1"/>
  <c r="O13" i="23"/>
  <c r="P13" i="23" s="1"/>
  <c r="O43" i="23"/>
  <c r="P43" i="23" s="1"/>
  <c r="O28" i="23"/>
  <c r="P28" i="23" s="1"/>
  <c r="O19" i="23"/>
  <c r="P19" i="23" s="1"/>
  <c r="O6" i="23"/>
  <c r="O70" i="23"/>
  <c r="R68" i="23"/>
  <c r="O64" i="23"/>
  <c r="P64" i="23" s="1"/>
  <c r="O21" i="23"/>
  <c r="P21" i="23" s="1"/>
  <c r="O10" i="23"/>
  <c r="P10" i="23" s="1"/>
  <c r="R61" i="23"/>
  <c r="M72" i="23"/>
  <c r="O46" i="23"/>
  <c r="P46" i="23" s="1"/>
  <c r="O42" i="23"/>
  <c r="P42" i="23" s="1"/>
  <c r="O36" i="23"/>
  <c r="P36" i="23" s="1"/>
  <c r="O30" i="23"/>
  <c r="P30" i="23" s="1"/>
  <c r="O52" i="23"/>
  <c r="P52" i="23" s="1"/>
  <c r="O27" i="23"/>
  <c r="P27" i="23" s="1"/>
  <c r="O7" i="23"/>
  <c r="K72" i="23"/>
  <c r="K75" i="23" s="1"/>
  <c r="Y70" i="23"/>
  <c r="Z70" i="23" s="1"/>
  <c r="AA70" i="23" s="1"/>
  <c r="O32" i="23"/>
  <c r="P32" i="23" s="1"/>
  <c r="O24" i="23"/>
  <c r="P24" i="23" s="1"/>
  <c r="O18" i="23"/>
  <c r="Z5" i="23"/>
  <c r="AA5" i="23" s="1"/>
  <c r="O12" i="23"/>
  <c r="P12" i="23" s="1"/>
  <c r="O56" i="23"/>
  <c r="O33" i="23"/>
  <c r="P33" i="23" s="1"/>
  <c r="O29" i="23"/>
  <c r="P29" i="23" s="1"/>
  <c r="O14" i="23"/>
  <c r="P14" i="23" s="1"/>
  <c r="O11" i="23"/>
  <c r="P11" i="23" s="1"/>
  <c r="F9" i="24"/>
  <c r="G9" i="24"/>
  <c r="E69" i="24"/>
  <c r="G63" i="24"/>
  <c r="G55" i="24"/>
  <c r="E53" i="24"/>
  <c r="G47" i="24"/>
  <c r="E45" i="24"/>
  <c r="G39" i="24"/>
  <c r="E37" i="24"/>
  <c r="G31" i="24"/>
  <c r="E29" i="24"/>
  <c r="G23" i="24"/>
  <c r="E21" i="24"/>
  <c r="G15" i="24"/>
  <c r="E13" i="24"/>
  <c r="G7" i="24"/>
  <c r="E5" i="24"/>
  <c r="E68" i="24"/>
  <c r="G62" i="24"/>
  <c r="E60" i="24"/>
  <c r="G54" i="24"/>
  <c r="E52" i="24"/>
  <c r="G46" i="24"/>
  <c r="E44" i="24"/>
  <c r="G38" i="24"/>
  <c r="E36" i="24"/>
  <c r="G30" i="24"/>
  <c r="E28" i="24"/>
  <c r="G22" i="24"/>
  <c r="E20" i="24"/>
  <c r="G14" i="24"/>
  <c r="E12" i="24"/>
  <c r="G6" i="24"/>
  <c r="G67" i="24"/>
  <c r="E65" i="24"/>
  <c r="G59" i="24"/>
  <c r="E57" i="24"/>
  <c r="G51" i="24"/>
  <c r="E49" i="24"/>
  <c r="G43" i="24"/>
  <c r="E41" i="24"/>
  <c r="G35" i="24"/>
  <c r="E33" i="24"/>
  <c r="G27" i="24"/>
  <c r="E25" i="24"/>
  <c r="G19" i="24"/>
  <c r="E17" i="24"/>
  <c r="G11" i="24"/>
  <c r="G3" i="24"/>
  <c r="G64" i="24"/>
  <c r="G56" i="24"/>
  <c r="G48" i="24"/>
  <c r="G40" i="24"/>
  <c r="G32" i="24"/>
  <c r="G24" i="24"/>
  <c r="G16" i="24"/>
  <c r="G8" i="24"/>
  <c r="N72" i="23"/>
  <c r="O51" i="23"/>
  <c r="P56" i="23"/>
  <c r="P67" i="23"/>
  <c r="P63" i="23"/>
  <c r="P59" i="23"/>
  <c r="P38" i="23"/>
  <c r="P65" i="23"/>
  <c r="P70" i="23"/>
  <c r="P60" i="23"/>
  <c r="P68" i="23"/>
  <c r="P49" i="23"/>
  <c r="R9" i="23"/>
  <c r="R16" i="23"/>
  <c r="R22" i="23"/>
  <c r="R30" i="23"/>
  <c r="R38" i="23"/>
  <c r="R42" i="23"/>
  <c r="R4" i="23"/>
  <c r="R10" i="23"/>
  <c r="R17" i="23"/>
  <c r="R23" i="23"/>
  <c r="R35" i="23"/>
  <c r="R11" i="23"/>
  <c r="R18" i="23"/>
  <c r="R24" i="23"/>
  <c r="R31" i="23"/>
  <c r="R39" i="23"/>
  <c r="R43" i="23"/>
  <c r="R5" i="23"/>
  <c r="R12" i="23"/>
  <c r="R25" i="23"/>
  <c r="R32" i="23"/>
  <c r="R36" i="23"/>
  <c r="R47" i="23"/>
  <c r="R6" i="23"/>
  <c r="R13" i="23"/>
  <c r="R7" i="23"/>
  <c r="R14" i="23"/>
  <c r="R20" i="23"/>
  <c r="R27" i="23"/>
  <c r="R33" i="23"/>
  <c r="Y69" i="23"/>
  <c r="Z69" i="23" s="1"/>
  <c r="AA69" i="23" s="1"/>
  <c r="T67" i="23"/>
  <c r="U67" i="23" s="1"/>
  <c r="Y66" i="23"/>
  <c r="Z66" i="23" s="1"/>
  <c r="AA66" i="23" s="1"/>
  <c r="T64" i="23"/>
  <c r="U64" i="23" s="1"/>
  <c r="Y62" i="23"/>
  <c r="Z62" i="23" s="1"/>
  <c r="AA62" i="23" s="1"/>
  <c r="T60" i="23"/>
  <c r="U60" i="23" s="1"/>
  <c r="R57" i="23"/>
  <c r="R54" i="23"/>
  <c r="O48" i="23"/>
  <c r="R37" i="23"/>
  <c r="P35" i="23"/>
  <c r="R28" i="23"/>
  <c r="Y25" i="23"/>
  <c r="Z25" i="23" s="1"/>
  <c r="AA25" i="23" s="1"/>
  <c r="Y22" i="23"/>
  <c r="Z22" i="23" s="1"/>
  <c r="AA22" i="23" s="1"/>
  <c r="P18" i="23"/>
  <c r="T15" i="23"/>
  <c r="T29" i="23"/>
  <c r="T45" i="23"/>
  <c r="U45" i="23" s="1"/>
  <c r="T9" i="23"/>
  <c r="T16" i="23"/>
  <c r="T22" i="23"/>
  <c r="T30" i="23"/>
  <c r="U30" i="23" s="1"/>
  <c r="T38" i="23"/>
  <c r="U38" i="23" s="1"/>
  <c r="T4" i="23"/>
  <c r="T10" i="23"/>
  <c r="T17" i="23"/>
  <c r="T23" i="23"/>
  <c r="T35" i="23"/>
  <c r="U35" i="23" s="1"/>
  <c r="T46" i="23"/>
  <c r="U46" i="23" s="1"/>
  <c r="T11" i="23"/>
  <c r="T18" i="23"/>
  <c r="T24" i="23"/>
  <c r="T31" i="23"/>
  <c r="T39" i="23"/>
  <c r="U39" i="23" s="1"/>
  <c r="T43" i="23"/>
  <c r="U43" i="23" s="1"/>
  <c r="T5" i="23"/>
  <c r="T12" i="23"/>
  <c r="T6" i="23"/>
  <c r="T13" i="23"/>
  <c r="T19" i="23"/>
  <c r="T26" i="23"/>
  <c r="T37" i="23"/>
  <c r="U37" i="23" s="1"/>
  <c r="T40" i="23"/>
  <c r="U40" i="23" s="1"/>
  <c r="H72" i="23"/>
  <c r="I72" i="23" s="1"/>
  <c r="R67" i="23"/>
  <c r="R64" i="23"/>
  <c r="R60" i="23"/>
  <c r="Y58" i="23"/>
  <c r="Z58" i="23" s="1"/>
  <c r="AA58" i="23" s="1"/>
  <c r="T56" i="23"/>
  <c r="U56" i="23" s="1"/>
  <c r="Y55" i="23"/>
  <c r="Z55" i="23" s="1"/>
  <c r="AA55" i="23" s="1"/>
  <c r="P54" i="23"/>
  <c r="T53" i="23"/>
  <c r="U53" i="23" s="1"/>
  <c r="Y51" i="23"/>
  <c r="Z51" i="23" s="1"/>
  <c r="AA51" i="23" s="1"/>
  <c r="T50" i="23"/>
  <c r="U50" i="23" s="1"/>
  <c r="Y48" i="23"/>
  <c r="Z48" i="23" s="1"/>
  <c r="AA48" i="23" s="1"/>
  <c r="Y47" i="23"/>
  <c r="Z47" i="23" s="1"/>
  <c r="AA47" i="23" s="1"/>
  <c r="R46" i="23"/>
  <c r="T44" i="23"/>
  <c r="U44" i="23" s="1"/>
  <c r="O37" i="23"/>
  <c r="I36" i="23"/>
  <c r="T34" i="23"/>
  <c r="U34" i="23" s="1"/>
  <c r="T27" i="23"/>
  <c r="Y24" i="23"/>
  <c r="Z24" i="23" s="1"/>
  <c r="Y11" i="23"/>
  <c r="Z11" i="23" s="1"/>
  <c r="T70" i="23"/>
  <c r="U70" i="23" s="1"/>
  <c r="Y68" i="23"/>
  <c r="Z68" i="23" s="1"/>
  <c r="AA68" i="23" s="1"/>
  <c r="Y65" i="23"/>
  <c r="Z65" i="23" s="1"/>
  <c r="AA65" i="23" s="1"/>
  <c r="T63" i="23"/>
  <c r="U63" i="23" s="1"/>
  <c r="Y61" i="23"/>
  <c r="Z61" i="23" s="1"/>
  <c r="AA61" i="23" s="1"/>
  <c r="R56" i="23"/>
  <c r="R53" i="23"/>
  <c r="R50" i="23"/>
  <c r="R44" i="23"/>
  <c r="Y43" i="23"/>
  <c r="Z43" i="23" s="1"/>
  <c r="AA43" i="23" s="1"/>
  <c r="R34" i="23"/>
  <c r="T25" i="23"/>
  <c r="O23" i="23"/>
  <c r="T21" i="23"/>
  <c r="Y12" i="23"/>
  <c r="Z12" i="23" s="1"/>
  <c r="P7" i="23"/>
  <c r="Y6" i="23"/>
  <c r="Z6" i="23" s="1"/>
  <c r="AA6" i="23" s="1"/>
  <c r="Y13" i="23"/>
  <c r="Z13" i="23" s="1"/>
  <c r="Y19" i="23"/>
  <c r="Z19" i="23" s="1"/>
  <c r="AA19" i="23" s="1"/>
  <c r="Y26" i="23"/>
  <c r="Z26" i="23" s="1"/>
  <c r="AA26" i="23" s="1"/>
  <c r="Y32" i="23"/>
  <c r="Z32" i="23" s="1"/>
  <c r="AA32" i="23" s="1"/>
  <c r="Y7" i="23"/>
  <c r="Z7" i="23" s="1"/>
  <c r="Y14" i="23"/>
  <c r="Z14" i="23" s="1"/>
  <c r="Y20" i="23"/>
  <c r="Z20" i="23" s="1"/>
  <c r="Y27" i="23"/>
  <c r="Z27" i="23" s="1"/>
  <c r="Y33" i="23"/>
  <c r="Z33" i="23" s="1"/>
  <c r="AA33" i="23" s="1"/>
  <c r="Y37" i="23"/>
  <c r="Z37" i="23" s="1"/>
  <c r="Y40" i="23"/>
  <c r="Z40" i="23" s="1"/>
  <c r="AA40" i="23" s="1"/>
  <c r="Y8" i="23"/>
  <c r="Z8" i="23" s="1"/>
  <c r="AA8" i="23" s="1"/>
  <c r="Y21" i="23"/>
  <c r="Z21" i="23" s="1"/>
  <c r="Y28" i="23"/>
  <c r="Z28" i="23" s="1"/>
  <c r="AA28" i="23" s="1"/>
  <c r="Y44" i="23"/>
  <c r="Z44" i="23" s="1"/>
  <c r="AA44" i="23" s="1"/>
  <c r="Y15" i="23"/>
  <c r="Z15" i="23" s="1"/>
  <c r="AA15" i="23" s="1"/>
  <c r="Y29" i="23"/>
  <c r="Z29" i="23" s="1"/>
  <c r="AA29" i="23" s="1"/>
  <c r="Y34" i="23"/>
  <c r="Z34" i="23" s="1"/>
  <c r="AA34" i="23" s="1"/>
  <c r="Y41" i="23"/>
  <c r="Z41" i="23" s="1"/>
  <c r="AA41" i="23" s="1"/>
  <c r="Y9" i="23"/>
  <c r="Z9" i="23" s="1"/>
  <c r="AA9" i="23" s="1"/>
  <c r="Y4" i="23"/>
  <c r="Z4" i="23" s="1"/>
  <c r="Y10" i="23"/>
  <c r="Z10" i="23" s="1"/>
  <c r="Y17" i="23"/>
  <c r="Z17" i="23" s="1"/>
  <c r="Y23" i="23"/>
  <c r="Z23" i="23" s="1"/>
  <c r="Y30" i="23"/>
  <c r="Z30" i="23" s="1"/>
  <c r="Y38" i="23"/>
  <c r="Z38" i="23" s="1"/>
  <c r="AA38" i="23" s="1"/>
  <c r="R70" i="23"/>
  <c r="R63" i="23"/>
  <c r="T59" i="23"/>
  <c r="U59" i="23" s="1"/>
  <c r="Y57" i="23"/>
  <c r="Z57" i="23" s="1"/>
  <c r="AA57" i="23" s="1"/>
  <c r="Y54" i="23"/>
  <c r="Z54" i="23" s="1"/>
  <c r="AA54" i="23" s="1"/>
  <c r="T52" i="23"/>
  <c r="U52" i="23" s="1"/>
  <c r="T49" i="23"/>
  <c r="U49" i="23" s="1"/>
  <c r="Y45" i="23"/>
  <c r="Z45" i="23" s="1"/>
  <c r="AA45" i="23" s="1"/>
  <c r="T41" i="23"/>
  <c r="U41" i="23" s="1"/>
  <c r="Y39" i="23"/>
  <c r="Z39" i="23" s="1"/>
  <c r="P34" i="23"/>
  <c r="T33" i="23"/>
  <c r="R26" i="23"/>
  <c r="R21" i="23"/>
  <c r="T69" i="23"/>
  <c r="U69" i="23" s="1"/>
  <c r="Y67" i="23"/>
  <c r="Z67" i="23" s="1"/>
  <c r="AA67" i="23" s="1"/>
  <c r="T66" i="23"/>
  <c r="U66" i="23" s="1"/>
  <c r="Y64" i="23"/>
  <c r="Z64" i="23" s="1"/>
  <c r="AA64" i="23" s="1"/>
  <c r="T62" i="23"/>
  <c r="U62" i="23" s="1"/>
  <c r="Y60" i="23"/>
  <c r="Z60" i="23" s="1"/>
  <c r="AA60" i="23" s="1"/>
  <c r="R59" i="23"/>
  <c r="O53" i="23"/>
  <c r="R52" i="23"/>
  <c r="O50" i="23"/>
  <c r="R49" i="23"/>
  <c r="R41" i="23"/>
  <c r="Y31" i="23"/>
  <c r="Z31" i="23" s="1"/>
  <c r="AA31" i="23" s="1"/>
  <c r="T20" i="23"/>
  <c r="R69" i="23"/>
  <c r="R66" i="23"/>
  <c r="R62" i="23"/>
  <c r="T58" i="23"/>
  <c r="U58" i="23" s="1"/>
  <c r="Y56" i="23"/>
  <c r="Z56" i="23" s="1"/>
  <c r="AA56" i="23" s="1"/>
  <c r="T55" i="23"/>
  <c r="U55" i="23" s="1"/>
  <c r="Y53" i="23"/>
  <c r="Z53" i="23" s="1"/>
  <c r="AA53" i="23" s="1"/>
  <c r="T51" i="23"/>
  <c r="U51" i="23" s="1"/>
  <c r="Y50" i="23"/>
  <c r="Z50" i="23" s="1"/>
  <c r="T48" i="23"/>
  <c r="U48" i="23" s="1"/>
  <c r="T47" i="23"/>
  <c r="U47" i="23" s="1"/>
  <c r="R45" i="23"/>
  <c r="P41" i="23"/>
  <c r="Y36" i="23"/>
  <c r="Z36" i="23" s="1"/>
  <c r="T32" i="23"/>
  <c r="U32" i="23" s="1"/>
  <c r="P25" i="23"/>
  <c r="Y16" i="23"/>
  <c r="Z16" i="23" s="1"/>
  <c r="I12" i="23"/>
  <c r="I5" i="23"/>
  <c r="T68" i="23"/>
  <c r="U68" i="23" s="1"/>
  <c r="T65" i="23"/>
  <c r="U65" i="23" s="1"/>
  <c r="Y63" i="23"/>
  <c r="Z63" i="23" s="1"/>
  <c r="AA63" i="23" s="1"/>
  <c r="T61" i="23"/>
  <c r="U61" i="23" s="1"/>
  <c r="R58" i="23"/>
  <c r="R55" i="23"/>
  <c r="R51" i="23"/>
  <c r="R48" i="23"/>
  <c r="Y46" i="23"/>
  <c r="Z46" i="23" s="1"/>
  <c r="AA46" i="23" s="1"/>
  <c r="Y42" i="23"/>
  <c r="Z42" i="23" s="1"/>
  <c r="R40" i="23"/>
  <c r="P39" i="23"/>
  <c r="Y35" i="23"/>
  <c r="Z35" i="23" s="1"/>
  <c r="AA35" i="23" s="1"/>
  <c r="R29" i="23"/>
  <c r="R19" i="23"/>
  <c r="Y18" i="23"/>
  <c r="Z18" i="23" s="1"/>
  <c r="R15" i="23"/>
  <c r="T8" i="23"/>
  <c r="P5" i="23"/>
  <c r="Y59" i="23"/>
  <c r="Z59" i="23" s="1"/>
  <c r="AA59" i="23" s="1"/>
  <c r="T57" i="23"/>
  <c r="U57" i="23" s="1"/>
  <c r="T54" i="23"/>
  <c r="U54" i="23" s="1"/>
  <c r="Y52" i="23"/>
  <c r="Z52" i="23" s="1"/>
  <c r="Y49" i="23"/>
  <c r="Z49" i="23" s="1"/>
  <c r="AA49" i="23" s="1"/>
  <c r="P40" i="23"/>
  <c r="T36" i="23"/>
  <c r="T28" i="23"/>
  <c r="T14" i="23"/>
  <c r="R8" i="23"/>
  <c r="T7" i="23"/>
  <c r="P6" i="23"/>
  <c r="P8" i="23"/>
  <c r="D80" i="21"/>
  <c r="D75" i="21"/>
  <c r="D59" i="21"/>
  <c r="D43" i="21"/>
  <c r="D35" i="21"/>
  <c r="D27" i="21"/>
  <c r="D74" i="21"/>
  <c r="D66" i="21"/>
  <c r="D58" i="21"/>
  <c r="D50" i="21"/>
  <c r="D42" i="21"/>
  <c r="D34" i="21"/>
  <c r="D26" i="21"/>
  <c r="D18" i="21"/>
  <c r="D10" i="21"/>
  <c r="D33" i="21"/>
  <c r="D25" i="21"/>
  <c r="D17" i="21"/>
  <c r="D9" i="21"/>
  <c r="D72" i="21"/>
  <c r="D64" i="21"/>
  <c r="D56" i="21"/>
  <c r="D48" i="21"/>
  <c r="D40" i="21"/>
  <c r="D32" i="21"/>
  <c r="D24" i="21"/>
  <c r="D16" i="21"/>
  <c r="D8" i="21"/>
  <c r="C78" i="21"/>
  <c r="D70" i="21"/>
  <c r="D62" i="21"/>
  <c r="D54" i="21"/>
  <c r="D46" i="21"/>
  <c r="D38" i="21"/>
  <c r="D30" i="21"/>
  <c r="D22" i="21"/>
  <c r="D14" i="21"/>
  <c r="D6" i="21"/>
  <c r="D69" i="21"/>
  <c r="D61" i="21"/>
  <c r="D53" i="21"/>
  <c r="D45" i="21"/>
  <c r="D37" i="21"/>
  <c r="D29" i="21"/>
  <c r="D21" i="21"/>
  <c r="D13" i="21"/>
  <c r="D5" i="21"/>
  <c r="C80" i="21"/>
  <c r="D63" i="21"/>
  <c r="D55" i="21"/>
  <c r="D39" i="21"/>
  <c r="D23" i="21"/>
  <c r="D15" i="21"/>
  <c r="D68" i="21"/>
  <c r="D60" i="21"/>
  <c r="D52" i="21"/>
  <c r="D28" i="21"/>
  <c r="D12" i="21"/>
  <c r="D4" i="21"/>
  <c r="U38" i="19"/>
  <c r="V38" i="19"/>
  <c r="W66" i="19"/>
  <c r="Y66" i="19"/>
  <c r="U51" i="19"/>
  <c r="V51" i="19"/>
  <c r="K72" i="19"/>
  <c r="W6" i="19"/>
  <c r="Y6" i="19"/>
  <c r="W5" i="19"/>
  <c r="Y5" i="19"/>
  <c r="K51" i="19"/>
  <c r="L51" i="19"/>
  <c r="V47" i="19"/>
  <c r="U40" i="19"/>
  <c r="V40" i="19"/>
  <c r="W31" i="19"/>
  <c r="Y31" i="19"/>
  <c r="Y18" i="19"/>
  <c r="T15" i="19"/>
  <c r="W9" i="19"/>
  <c r="Y9" i="19"/>
  <c r="V67" i="19"/>
  <c r="V65" i="19"/>
  <c r="V63" i="19"/>
  <c r="Y55" i="19"/>
  <c r="V49" i="19"/>
  <c r="V37" i="19"/>
  <c r="W32" i="19"/>
  <c r="Y32" i="19"/>
  <c r="W28" i="19"/>
  <c r="Y28" i="19"/>
  <c r="W24" i="19"/>
  <c r="Y24" i="19"/>
  <c r="U43" i="19"/>
  <c r="V43" i="19"/>
  <c r="V70" i="19"/>
  <c r="V46" i="19"/>
  <c r="V45" i="19"/>
  <c r="W27" i="19"/>
  <c r="Y27" i="19"/>
  <c r="W23" i="19"/>
  <c r="Y23" i="19"/>
  <c r="W13" i="19"/>
  <c r="Y13" i="19"/>
  <c r="W11" i="19"/>
  <c r="Y11" i="19"/>
  <c r="Y50" i="19"/>
  <c r="W60" i="19"/>
  <c r="U55" i="19"/>
  <c r="U41" i="19"/>
  <c r="V41" i="19"/>
  <c r="Y33" i="19"/>
  <c r="V20" i="19"/>
  <c r="V7" i="19"/>
  <c r="W68" i="19"/>
  <c r="Y68" i="19"/>
  <c r="Y53" i="19"/>
  <c r="Y34" i="19"/>
  <c r="W29" i="19"/>
  <c r="Y29" i="19"/>
  <c r="W25" i="19"/>
  <c r="Y25" i="19"/>
  <c r="W14" i="19"/>
  <c r="Y14" i="19"/>
  <c r="W12" i="19"/>
  <c r="Y12" i="19"/>
  <c r="W10" i="19"/>
  <c r="Y10" i="19"/>
  <c r="W61" i="19"/>
  <c r="V56" i="19"/>
  <c r="W52" i="19"/>
  <c r="U42" i="19"/>
  <c r="V42" i="19"/>
  <c r="U39" i="19"/>
  <c r="V39" i="19"/>
  <c r="W35" i="19"/>
  <c r="W8" i="19"/>
  <c r="Y8" i="19"/>
  <c r="W69" i="19"/>
  <c r="Y69" i="19"/>
  <c r="W30" i="19"/>
  <c r="Y30" i="19"/>
  <c r="W26" i="19"/>
  <c r="Y26" i="19"/>
  <c r="W22" i="19"/>
  <c r="Y22" i="19"/>
  <c r="Y4" i="19"/>
  <c r="W4" i="19"/>
  <c r="S1" i="18"/>
  <c r="I4" i="18"/>
  <c r="J4" i="18" s="1"/>
  <c r="I5" i="18"/>
  <c r="I6" i="18"/>
  <c r="J6" i="18" s="1"/>
  <c r="I7" i="18"/>
  <c r="I8" i="18"/>
  <c r="J8" i="18" s="1"/>
  <c r="I9" i="18"/>
  <c r="I10" i="18"/>
  <c r="J10" i="18" s="1"/>
  <c r="I11" i="18"/>
  <c r="I12" i="18"/>
  <c r="J12" i="18" s="1"/>
  <c r="I13" i="18"/>
  <c r="J13" i="18" s="1"/>
  <c r="I14" i="18"/>
  <c r="J14" i="18" s="1"/>
  <c r="I15" i="18"/>
  <c r="I16" i="18"/>
  <c r="J16" i="18" s="1"/>
  <c r="I17" i="18"/>
  <c r="J17" i="18" s="1"/>
  <c r="I18" i="18"/>
  <c r="J18" i="18" s="1"/>
  <c r="I19" i="18"/>
  <c r="I20" i="18"/>
  <c r="L20" i="18" s="1"/>
  <c r="I21" i="18"/>
  <c r="J21" i="18" s="1"/>
  <c r="I22" i="18"/>
  <c r="L22" i="18" s="1"/>
  <c r="I23" i="18"/>
  <c r="I24" i="18"/>
  <c r="J24" i="18" s="1"/>
  <c r="I25" i="18"/>
  <c r="J25" i="18" s="1"/>
  <c r="I26" i="18"/>
  <c r="J26" i="18" s="1"/>
  <c r="I27" i="18"/>
  <c r="I28" i="18"/>
  <c r="J28" i="18" s="1"/>
  <c r="I29" i="18"/>
  <c r="J29" i="18" s="1"/>
  <c r="I30" i="18"/>
  <c r="J30" i="18" s="1"/>
  <c r="I31" i="18"/>
  <c r="J31" i="18" s="1"/>
  <c r="I32" i="18"/>
  <c r="L32" i="18" s="1"/>
  <c r="I33" i="18"/>
  <c r="J33" i="18" s="1"/>
  <c r="I34" i="18"/>
  <c r="J34" i="18" s="1"/>
  <c r="I35" i="18"/>
  <c r="I36" i="18"/>
  <c r="L36" i="18" s="1"/>
  <c r="I37" i="18"/>
  <c r="J37" i="18" s="1"/>
  <c r="I38" i="18"/>
  <c r="I39" i="18"/>
  <c r="L39" i="18" s="1"/>
  <c r="M39" i="18" s="1"/>
  <c r="I40" i="18"/>
  <c r="J40" i="18" s="1"/>
  <c r="I41" i="18"/>
  <c r="J41" i="18" s="1"/>
  <c r="I42" i="18"/>
  <c r="L42" i="18" s="1"/>
  <c r="M42" i="18" s="1"/>
  <c r="I43" i="18"/>
  <c r="L43" i="18" s="1"/>
  <c r="I44" i="18"/>
  <c r="J44" i="18" s="1"/>
  <c r="I45" i="18"/>
  <c r="J45" i="18" s="1"/>
  <c r="I46" i="18"/>
  <c r="I47" i="18"/>
  <c r="I48" i="18"/>
  <c r="J48" i="18" s="1"/>
  <c r="I49" i="18"/>
  <c r="J49" i="18" s="1"/>
  <c r="I50" i="18"/>
  <c r="I51" i="18"/>
  <c r="J51" i="18" s="1"/>
  <c r="I52" i="18"/>
  <c r="J52" i="18" s="1"/>
  <c r="I53" i="18"/>
  <c r="J53" i="18" s="1"/>
  <c r="I54" i="18"/>
  <c r="I55" i="18"/>
  <c r="J55" i="18" s="1"/>
  <c r="I56" i="18"/>
  <c r="J56" i="18" s="1"/>
  <c r="I57" i="18"/>
  <c r="I58" i="18"/>
  <c r="L58" i="18" s="1"/>
  <c r="I59" i="18"/>
  <c r="J59" i="18" s="1"/>
  <c r="I60" i="18"/>
  <c r="J60" i="18" s="1"/>
  <c r="I61" i="18"/>
  <c r="J61" i="18" s="1"/>
  <c r="I62" i="18"/>
  <c r="I63" i="18"/>
  <c r="J63" i="18" s="1"/>
  <c r="I64" i="18"/>
  <c r="J64" i="18" s="1"/>
  <c r="I65" i="18"/>
  <c r="J65" i="18" s="1"/>
  <c r="I66" i="18"/>
  <c r="L66" i="18" s="1"/>
  <c r="M66" i="18" s="1"/>
  <c r="I67" i="18"/>
  <c r="I68" i="18"/>
  <c r="J68" i="18" s="1"/>
  <c r="I69" i="18"/>
  <c r="I70" i="18"/>
  <c r="L70" i="18" s="1"/>
  <c r="D72" i="18"/>
  <c r="E57" i="18" s="1"/>
  <c r="F72" i="18"/>
  <c r="G34" i="18" s="1"/>
  <c r="N34" i="18" s="1"/>
  <c r="H72" i="18"/>
  <c r="K72" i="18"/>
  <c r="Q72" i="18"/>
  <c r="R31" i="18" s="1"/>
  <c r="AA16" i="23" l="1"/>
  <c r="AA27" i="23"/>
  <c r="AA20" i="23"/>
  <c r="AA14" i="23"/>
  <c r="AA7" i="23"/>
  <c r="AA10" i="23"/>
  <c r="AA42" i="23"/>
  <c r="AA36" i="23"/>
  <c r="AA39" i="23"/>
  <c r="AA18" i="23"/>
  <c r="AA21" i="23"/>
  <c r="AA17" i="23"/>
  <c r="AA37" i="23"/>
  <c r="AA30" i="23"/>
  <c r="AA13" i="23"/>
  <c r="AA24" i="23"/>
  <c r="AA52" i="23"/>
  <c r="AA12" i="23"/>
  <c r="AA11" i="23"/>
  <c r="AA50" i="23"/>
  <c r="G33" i="24"/>
  <c r="F33" i="24"/>
  <c r="F65" i="24"/>
  <c r="G65" i="24"/>
  <c r="F28" i="24"/>
  <c r="G28" i="24"/>
  <c r="F60" i="24"/>
  <c r="G60" i="24"/>
  <c r="G21" i="24"/>
  <c r="F21" i="24"/>
  <c r="G53" i="24"/>
  <c r="F53" i="24"/>
  <c r="F4" i="24"/>
  <c r="G4" i="24"/>
  <c r="F36" i="24"/>
  <c r="G36" i="24"/>
  <c r="G61" i="24"/>
  <c r="F61" i="24"/>
  <c r="F41" i="24"/>
  <c r="G41" i="24"/>
  <c r="G29" i="24"/>
  <c r="F29" i="24"/>
  <c r="F17" i="24"/>
  <c r="G17" i="24"/>
  <c r="F49" i="24"/>
  <c r="G49" i="24"/>
  <c r="F12" i="24"/>
  <c r="G12" i="24"/>
  <c r="F44" i="24"/>
  <c r="G44" i="24"/>
  <c r="G5" i="24"/>
  <c r="F5" i="24"/>
  <c r="G37" i="24"/>
  <c r="F37" i="24"/>
  <c r="G69" i="24"/>
  <c r="F69" i="24"/>
  <c r="F68" i="24"/>
  <c r="G68" i="24"/>
  <c r="E71" i="24"/>
  <c r="G25" i="24"/>
  <c r="F25" i="24"/>
  <c r="G57" i="24"/>
  <c r="F57" i="24"/>
  <c r="F20" i="24"/>
  <c r="G20" i="24"/>
  <c r="F52" i="24"/>
  <c r="G52" i="24"/>
  <c r="G13" i="24"/>
  <c r="F13" i="24"/>
  <c r="G45" i="24"/>
  <c r="F45" i="24"/>
  <c r="AA23" i="23"/>
  <c r="P50" i="23"/>
  <c r="Z72" i="23"/>
  <c r="AA4" i="23"/>
  <c r="P48" i="23"/>
  <c r="U72" i="23"/>
  <c r="P53" i="23"/>
  <c r="P37" i="23"/>
  <c r="P51" i="23"/>
  <c r="P23" i="23"/>
  <c r="O72" i="23"/>
  <c r="S31" i="18"/>
  <c r="V72" i="19"/>
  <c r="Y49" i="19"/>
  <c r="W49" i="19"/>
  <c r="W42" i="19"/>
  <c r="Y42" i="19"/>
  <c r="W38" i="19"/>
  <c r="Y38" i="19"/>
  <c r="W63" i="19"/>
  <c r="Y63" i="19"/>
  <c r="W65" i="19"/>
  <c r="Y65" i="19"/>
  <c r="W40" i="19"/>
  <c r="Y40" i="19"/>
  <c r="W56" i="19"/>
  <c r="Y56" i="19"/>
  <c r="W7" i="19"/>
  <c r="Y7" i="19"/>
  <c r="W45" i="19"/>
  <c r="Y45" i="19"/>
  <c r="W67" i="19"/>
  <c r="Y67" i="19"/>
  <c r="Y20" i="19"/>
  <c r="W20" i="19"/>
  <c r="W46" i="19"/>
  <c r="Y46" i="19"/>
  <c r="Y47" i="19"/>
  <c r="W47" i="19"/>
  <c r="Y51" i="19"/>
  <c r="W51" i="19"/>
  <c r="W70" i="19"/>
  <c r="Y70" i="19"/>
  <c r="L72" i="19"/>
  <c r="M72" i="19" s="1"/>
  <c r="M51" i="19"/>
  <c r="W39" i="19"/>
  <c r="Y39" i="19"/>
  <c r="Y41" i="19"/>
  <c r="W41" i="19"/>
  <c r="W43" i="19"/>
  <c r="Y43" i="19"/>
  <c r="Y37" i="19"/>
  <c r="W37" i="19"/>
  <c r="U15" i="19"/>
  <c r="U72" i="19" s="1"/>
  <c r="V15" i="19"/>
  <c r="T72" i="19"/>
  <c r="L51" i="18"/>
  <c r="M51" i="18" s="1"/>
  <c r="J36" i="18"/>
  <c r="J22" i="18"/>
  <c r="L16" i="18"/>
  <c r="G57" i="18"/>
  <c r="N57" i="18" s="1"/>
  <c r="J20" i="18"/>
  <c r="L61" i="18"/>
  <c r="M61" i="18" s="1"/>
  <c r="L33" i="18"/>
  <c r="M33" i="18" s="1"/>
  <c r="L68" i="18"/>
  <c r="M68" i="18" s="1"/>
  <c r="R57" i="18"/>
  <c r="S57" i="18" s="1"/>
  <c r="L26" i="18"/>
  <c r="M26" i="18" s="1"/>
  <c r="L55" i="18"/>
  <c r="L41" i="18"/>
  <c r="M41" i="18" s="1"/>
  <c r="E30" i="18"/>
  <c r="E60" i="18"/>
  <c r="L34" i="18"/>
  <c r="M34" i="18" s="1"/>
  <c r="E65" i="18"/>
  <c r="R28" i="18"/>
  <c r="S28" i="18" s="1"/>
  <c r="L63" i="18"/>
  <c r="M63" i="18" s="1"/>
  <c r="L18" i="18"/>
  <c r="M18" i="18" s="1"/>
  <c r="L48" i="18"/>
  <c r="M48" i="18" s="1"/>
  <c r="L44" i="18"/>
  <c r="M44" i="18" s="1"/>
  <c r="G69" i="18"/>
  <c r="N69" i="18" s="1"/>
  <c r="L65" i="18"/>
  <c r="M65" i="18" s="1"/>
  <c r="L59" i="18"/>
  <c r="M59" i="18" s="1"/>
  <c r="G56" i="18"/>
  <c r="N56" i="18" s="1"/>
  <c r="G52" i="18"/>
  <c r="N52" i="18" s="1"/>
  <c r="L31" i="18"/>
  <c r="M31" i="18" s="1"/>
  <c r="L12" i="18"/>
  <c r="I72" i="18"/>
  <c r="J72" i="18" s="1"/>
  <c r="G65" i="18"/>
  <c r="N65" i="18" s="1"/>
  <c r="J43" i="18"/>
  <c r="L4" i="18"/>
  <c r="M4" i="18" s="1"/>
  <c r="L64" i="18"/>
  <c r="M64" i="18" s="1"/>
  <c r="R42" i="18"/>
  <c r="S42" i="18" s="1"/>
  <c r="T42" i="18" s="1"/>
  <c r="G37" i="18"/>
  <c r="L29" i="18"/>
  <c r="L25" i="18"/>
  <c r="E67" i="18"/>
  <c r="L60" i="18"/>
  <c r="M60" i="18" s="1"/>
  <c r="R53" i="18"/>
  <c r="S53" i="18" s="1"/>
  <c r="L49" i="18"/>
  <c r="M49" i="18" s="1"/>
  <c r="E45" i="18"/>
  <c r="L8" i="18"/>
  <c r="E39" i="18"/>
  <c r="E23" i="18"/>
  <c r="R64" i="18"/>
  <c r="S64" i="18" s="1"/>
  <c r="G61" i="18"/>
  <c r="N61" i="18" s="1"/>
  <c r="E56" i="18"/>
  <c r="L53" i="18"/>
  <c r="E52" i="18"/>
  <c r="G46" i="18"/>
  <c r="N46" i="18" s="1"/>
  <c r="E43" i="18"/>
  <c r="G41" i="18"/>
  <c r="N41" i="18" s="1"/>
  <c r="E37" i="18"/>
  <c r="R56" i="18"/>
  <c r="S56" i="18" s="1"/>
  <c r="G53" i="18"/>
  <c r="N53" i="18" s="1"/>
  <c r="L40" i="18"/>
  <c r="M40" i="18" s="1"/>
  <c r="G38" i="18"/>
  <c r="N38" i="18" s="1"/>
  <c r="G31" i="18"/>
  <c r="L28" i="18"/>
  <c r="M28" i="18" s="1"/>
  <c r="L14" i="18"/>
  <c r="M14" i="18" s="1"/>
  <c r="L6" i="18"/>
  <c r="M6" i="18" s="1"/>
  <c r="T28" i="18"/>
  <c r="E15" i="18"/>
  <c r="R70" i="18"/>
  <c r="S70" i="18" s="1"/>
  <c r="T70" i="18" s="1"/>
  <c r="G66" i="18"/>
  <c r="N66" i="18" s="1"/>
  <c r="G62" i="18"/>
  <c r="N62" i="18" s="1"/>
  <c r="J58" i="18"/>
  <c r="L45" i="18"/>
  <c r="M45" i="18" s="1"/>
  <c r="G44" i="18"/>
  <c r="N44" i="18" s="1"/>
  <c r="J42" i="18"/>
  <c r="J32" i="18"/>
  <c r="L30" i="18"/>
  <c r="M30" i="18" s="1"/>
  <c r="G25" i="18"/>
  <c r="E22" i="18"/>
  <c r="L10" i="18"/>
  <c r="M10" i="18" s="1"/>
  <c r="T31" i="18"/>
  <c r="G70" i="18"/>
  <c r="N70" i="18" s="1"/>
  <c r="G68" i="18"/>
  <c r="N68" i="18" s="1"/>
  <c r="G64" i="18"/>
  <c r="N64" i="18" s="1"/>
  <c r="L56" i="18"/>
  <c r="M56" i="18" s="1"/>
  <c r="L52" i="18"/>
  <c r="M52" i="18" s="1"/>
  <c r="E51" i="18"/>
  <c r="G48" i="18"/>
  <c r="N48" i="18" s="1"/>
  <c r="E44" i="18"/>
  <c r="L24" i="18"/>
  <c r="M24" i="18" s="1"/>
  <c r="L17" i="18"/>
  <c r="M17" i="18" s="1"/>
  <c r="E68" i="18"/>
  <c r="E64" i="18"/>
  <c r="G60" i="18"/>
  <c r="N60" i="18" s="1"/>
  <c r="G58" i="18"/>
  <c r="G45" i="18"/>
  <c r="N45" i="18" s="1"/>
  <c r="R41" i="18"/>
  <c r="S41" i="18" s="1"/>
  <c r="J39" i="18"/>
  <c r="L37" i="18"/>
  <c r="M37" i="18" s="1"/>
  <c r="G32" i="18"/>
  <c r="N32" i="18" s="1"/>
  <c r="L13" i="18"/>
  <c r="M13" i="18" s="1"/>
  <c r="J57" i="18"/>
  <c r="L57" i="18"/>
  <c r="L62" i="18"/>
  <c r="J62" i="18"/>
  <c r="L54" i="18"/>
  <c r="J54" i="18"/>
  <c r="L47" i="18"/>
  <c r="J47" i="18"/>
  <c r="M70" i="18"/>
  <c r="J67" i="18"/>
  <c r="L67" i="18"/>
  <c r="M55" i="18"/>
  <c r="J69" i="18"/>
  <c r="L69" i="18"/>
  <c r="L50" i="18"/>
  <c r="J50" i="18"/>
  <c r="J70" i="18"/>
  <c r="R68" i="18"/>
  <c r="S68" i="18" s="1"/>
  <c r="R66" i="18"/>
  <c r="S66" i="18" s="1"/>
  <c r="T66" i="18" s="1"/>
  <c r="R52" i="18"/>
  <c r="S52" i="18" s="1"/>
  <c r="R37" i="18"/>
  <c r="S37" i="18" s="1"/>
  <c r="E63" i="18"/>
  <c r="R60" i="18"/>
  <c r="S60" i="18" s="1"/>
  <c r="E59" i="18"/>
  <c r="M58" i="18"/>
  <c r="E55" i="18"/>
  <c r="R49" i="18"/>
  <c r="S49" i="18" s="1"/>
  <c r="R36" i="18"/>
  <c r="S36" i="18" s="1"/>
  <c r="T36" i="18" s="1"/>
  <c r="E27" i="18"/>
  <c r="E26" i="18"/>
  <c r="L21" i="18"/>
  <c r="G17" i="18"/>
  <c r="J15" i="18"/>
  <c r="L15" i="18"/>
  <c r="L35" i="18"/>
  <c r="J35" i="18"/>
  <c r="R30" i="18"/>
  <c r="S30" i="18" s="1"/>
  <c r="R43" i="18"/>
  <c r="S43" i="18" s="1"/>
  <c r="T43" i="18" s="1"/>
  <c r="R51" i="18"/>
  <c r="S51" i="18" s="1"/>
  <c r="R5" i="18"/>
  <c r="S5" i="18" s="1"/>
  <c r="R9" i="18"/>
  <c r="S9" i="18" s="1"/>
  <c r="R13" i="18"/>
  <c r="S13" i="18" s="1"/>
  <c r="R17" i="18"/>
  <c r="S17" i="18" s="1"/>
  <c r="R21" i="18"/>
  <c r="S21" i="18" s="1"/>
  <c r="R25" i="18"/>
  <c r="S25" i="18" s="1"/>
  <c r="R29" i="18"/>
  <c r="S29" i="18" s="1"/>
  <c r="R35" i="18"/>
  <c r="S35" i="18" s="1"/>
  <c r="R39" i="18"/>
  <c r="S39" i="18" s="1"/>
  <c r="T39" i="18" s="1"/>
  <c r="R47" i="18"/>
  <c r="S47" i="18" s="1"/>
  <c r="R7" i="18"/>
  <c r="S7" i="18" s="1"/>
  <c r="R14" i="18"/>
  <c r="S14" i="18" s="1"/>
  <c r="T14" i="18" s="1"/>
  <c r="R15" i="18"/>
  <c r="S15" i="18" s="1"/>
  <c r="R22" i="18"/>
  <c r="S22" i="18" s="1"/>
  <c r="T22" i="18" s="1"/>
  <c r="R23" i="18"/>
  <c r="S23" i="18" s="1"/>
  <c r="R38" i="18"/>
  <c r="S38" i="18" s="1"/>
  <c r="R40" i="18"/>
  <c r="S40" i="18" s="1"/>
  <c r="R55" i="18"/>
  <c r="S55" i="18" s="1"/>
  <c r="T55" i="18" s="1"/>
  <c r="R63" i="18"/>
  <c r="S63" i="18" s="1"/>
  <c r="R62" i="18"/>
  <c r="S62" i="18" s="1"/>
  <c r="R6" i="18"/>
  <c r="S6" i="18" s="1"/>
  <c r="R16" i="18"/>
  <c r="S16" i="18" s="1"/>
  <c r="T16" i="18" s="1"/>
  <c r="R24" i="18"/>
  <c r="S24" i="18" s="1"/>
  <c r="R45" i="18"/>
  <c r="S45" i="18" s="1"/>
  <c r="R54" i="18"/>
  <c r="S54" i="18" s="1"/>
  <c r="R10" i="18"/>
  <c r="S10" i="18" s="1"/>
  <c r="R11" i="18"/>
  <c r="S11" i="18" s="1"/>
  <c r="R18" i="18"/>
  <c r="S18" i="18" s="1"/>
  <c r="T18" i="18" s="1"/>
  <c r="R19" i="18"/>
  <c r="S19" i="18" s="1"/>
  <c r="R26" i="18"/>
  <c r="S26" i="18" s="1"/>
  <c r="R27" i="18"/>
  <c r="S27" i="18" s="1"/>
  <c r="R32" i="18"/>
  <c r="S32" i="18" s="1"/>
  <c r="T32" i="18" s="1"/>
  <c r="R46" i="18"/>
  <c r="S46" i="18" s="1"/>
  <c r="R48" i="18"/>
  <c r="S48" i="18" s="1"/>
  <c r="R59" i="18"/>
  <c r="S59" i="18" s="1"/>
  <c r="R67" i="18"/>
  <c r="S67" i="18" s="1"/>
  <c r="M22" i="18"/>
  <c r="J5" i="18"/>
  <c r="L5" i="18"/>
  <c r="R50" i="18"/>
  <c r="S50" i="18" s="1"/>
  <c r="R33" i="18"/>
  <c r="S33" i="18" s="1"/>
  <c r="E69" i="18"/>
  <c r="J66" i="18"/>
  <c r="L46" i="18"/>
  <c r="J46" i="18"/>
  <c r="M43" i="18"/>
  <c r="L38" i="18"/>
  <c r="J38" i="18"/>
  <c r="R20" i="18"/>
  <c r="S20" i="18" s="1"/>
  <c r="T20" i="18" s="1"/>
  <c r="M16" i="18"/>
  <c r="M36" i="18"/>
  <c r="R65" i="18"/>
  <c r="S65" i="18" s="1"/>
  <c r="M29" i="18"/>
  <c r="G7" i="18"/>
  <c r="G6" i="18"/>
  <c r="G10" i="18"/>
  <c r="G14" i="18"/>
  <c r="G18" i="18"/>
  <c r="G22" i="18"/>
  <c r="G26" i="18"/>
  <c r="E35" i="18"/>
  <c r="G36" i="18"/>
  <c r="E42" i="18"/>
  <c r="E50" i="18"/>
  <c r="E5" i="18"/>
  <c r="E9" i="18"/>
  <c r="E13" i="18"/>
  <c r="E17" i="18"/>
  <c r="E21" i="18"/>
  <c r="E25" i="18"/>
  <c r="E29" i="18"/>
  <c r="E34" i="18"/>
  <c r="G5" i="18"/>
  <c r="G9" i="18"/>
  <c r="G8" i="18"/>
  <c r="G12" i="18"/>
  <c r="G16" i="18"/>
  <c r="G20" i="18"/>
  <c r="G24" i="18"/>
  <c r="G28" i="18"/>
  <c r="E32" i="18"/>
  <c r="G33" i="18"/>
  <c r="E38" i="18"/>
  <c r="E46" i="18"/>
  <c r="E10" i="18"/>
  <c r="E18" i="18"/>
  <c r="E8" i="18"/>
  <c r="G11" i="18"/>
  <c r="E12" i="18"/>
  <c r="G19" i="18"/>
  <c r="E20" i="18"/>
  <c r="G27" i="18"/>
  <c r="E28" i="18"/>
  <c r="E33" i="18"/>
  <c r="E40" i="18"/>
  <c r="E49" i="18"/>
  <c r="E54" i="18"/>
  <c r="E62" i="18"/>
  <c r="E70" i="18"/>
  <c r="G13" i="18"/>
  <c r="G21" i="18"/>
  <c r="G29" i="18"/>
  <c r="E47" i="18"/>
  <c r="E53" i="18"/>
  <c r="E61" i="18"/>
  <c r="E14" i="18"/>
  <c r="E6" i="18"/>
  <c r="G15" i="18"/>
  <c r="E16" i="18"/>
  <c r="G23" i="18"/>
  <c r="E24" i="18"/>
  <c r="E31" i="18"/>
  <c r="E36" i="18"/>
  <c r="E41" i="18"/>
  <c r="E48" i="18"/>
  <c r="E58" i="18"/>
  <c r="E66" i="18"/>
  <c r="R69" i="18"/>
  <c r="S69" i="18" s="1"/>
  <c r="R58" i="18"/>
  <c r="S58" i="18" s="1"/>
  <c r="T58" i="18" s="1"/>
  <c r="R34" i="18"/>
  <c r="S34" i="18" s="1"/>
  <c r="M25" i="18"/>
  <c r="M20" i="18"/>
  <c r="E19" i="18"/>
  <c r="R12" i="18"/>
  <c r="S12" i="18" s="1"/>
  <c r="E11" i="18"/>
  <c r="J9" i="18"/>
  <c r="L9" i="18"/>
  <c r="E7" i="18"/>
  <c r="M12" i="18"/>
  <c r="J23" i="18"/>
  <c r="L23" i="18"/>
  <c r="R8" i="18"/>
  <c r="S8" i="18" s="1"/>
  <c r="T8" i="18" s="1"/>
  <c r="R61" i="18"/>
  <c r="S61" i="18" s="1"/>
  <c r="R44" i="18"/>
  <c r="S44" i="18" s="1"/>
  <c r="T44" i="18" s="1"/>
  <c r="G67" i="18"/>
  <c r="N67" i="18" s="1"/>
  <c r="G59" i="18"/>
  <c r="N59" i="18" s="1"/>
  <c r="G50" i="18"/>
  <c r="N50" i="18" s="1"/>
  <c r="J7" i="18"/>
  <c r="L7" i="18"/>
  <c r="M8" i="18"/>
  <c r="G54" i="18"/>
  <c r="N54" i="18" s="1"/>
  <c r="G49" i="18"/>
  <c r="N49" i="18" s="1"/>
  <c r="G40" i="18"/>
  <c r="N40" i="18" s="1"/>
  <c r="J27" i="18"/>
  <c r="L27" i="18"/>
  <c r="J19" i="18"/>
  <c r="L19" i="18"/>
  <c r="J11" i="18"/>
  <c r="L11" i="18"/>
  <c r="N30" i="18"/>
  <c r="G43" i="18"/>
  <c r="N43" i="18" s="1"/>
  <c r="G51" i="18"/>
  <c r="N51" i="18" s="1"/>
  <c r="G35" i="18"/>
  <c r="N35" i="18" s="1"/>
  <c r="G39" i="18"/>
  <c r="N39" i="18" s="1"/>
  <c r="G47" i="18"/>
  <c r="N47" i="18" s="1"/>
  <c r="G63" i="18"/>
  <c r="N63" i="18" s="1"/>
  <c r="G55" i="18"/>
  <c r="N55" i="18" s="1"/>
  <c r="G42" i="18"/>
  <c r="N42" i="18" s="1"/>
  <c r="M32" i="18"/>
  <c r="G73" i="24" l="1"/>
  <c r="G71" i="24"/>
  <c r="AA72" i="23"/>
  <c r="F71" i="24"/>
  <c r="Y1" i="23"/>
  <c r="AC1" i="23"/>
  <c r="W1" i="23"/>
  <c r="P72" i="23"/>
  <c r="AA1" i="23"/>
  <c r="Y72" i="19"/>
  <c r="W72" i="19"/>
  <c r="W15" i="19"/>
  <c r="Y15" i="19"/>
  <c r="T26" i="18"/>
  <c r="T63" i="18"/>
  <c r="T25" i="18"/>
  <c r="T45" i="18"/>
  <c r="T51" i="18"/>
  <c r="T62" i="18"/>
  <c r="T49" i="18"/>
  <c r="T57" i="18"/>
  <c r="T12" i="18"/>
  <c r="T50" i="18"/>
  <c r="T33" i="18"/>
  <c r="T54" i="18"/>
  <c r="T61" i="18"/>
  <c r="T48" i="18"/>
  <c r="T10" i="18"/>
  <c r="T68" i="18"/>
  <c r="T41" i="18"/>
  <c r="T65" i="18"/>
  <c r="T29" i="18"/>
  <c r="T34" i="18"/>
  <c r="T53" i="18"/>
  <c r="T40" i="18"/>
  <c r="T64" i="18"/>
  <c r="T24" i="18"/>
  <c r="T60" i="18"/>
  <c r="T67" i="18"/>
  <c r="T6" i="18"/>
  <c r="T59" i="18"/>
  <c r="T56" i="18"/>
  <c r="T69" i="18"/>
  <c r="T30" i="18"/>
  <c r="T15" i="18"/>
  <c r="T11" i="18"/>
  <c r="T17" i="18"/>
  <c r="T37" i="18"/>
  <c r="M53" i="18"/>
  <c r="T13" i="18"/>
  <c r="T52" i="18"/>
  <c r="T21" i="18"/>
  <c r="M11" i="18"/>
  <c r="M38" i="18"/>
  <c r="T7" i="18"/>
  <c r="N72" i="18"/>
  <c r="M46" i="18"/>
  <c r="T46" i="18"/>
  <c r="T4" i="18"/>
  <c r="S72" i="18"/>
  <c r="T72" i="18" s="1"/>
  <c r="T47" i="18"/>
  <c r="T9" i="18"/>
  <c r="M35" i="18"/>
  <c r="M54" i="18"/>
  <c r="M47" i="18"/>
  <c r="M19" i="18"/>
  <c r="T5" i="18"/>
  <c r="M15" i="18"/>
  <c r="M69" i="18"/>
  <c r="T27" i="18"/>
  <c r="T38" i="18"/>
  <c r="T35" i="18"/>
  <c r="M67" i="18"/>
  <c r="M62" i="18"/>
  <c r="M27" i="18"/>
  <c r="M23" i="18"/>
  <c r="M9" i="18"/>
  <c r="T23" i="18"/>
  <c r="M50" i="18"/>
  <c r="M57" i="18"/>
  <c r="M7" i="18"/>
  <c r="M5" i="18"/>
  <c r="L72" i="18"/>
  <c r="T19" i="18"/>
  <c r="M21" i="18"/>
  <c r="V18" i="23" l="1"/>
  <c r="V35" i="23"/>
  <c r="V7" i="23"/>
  <c r="V14" i="23"/>
  <c r="V32" i="23"/>
  <c r="V58" i="23"/>
  <c r="V24" i="23"/>
  <c r="V27" i="23"/>
  <c r="V61" i="23"/>
  <c r="V65" i="23"/>
  <c r="V68" i="23"/>
  <c r="V15" i="23"/>
  <c r="V42" i="23"/>
  <c r="V49" i="23"/>
  <c r="V11" i="23"/>
  <c r="V41" i="23"/>
  <c r="V25" i="23"/>
  <c r="V12" i="23"/>
  <c r="V56" i="23"/>
  <c r="V46" i="23"/>
  <c r="V57" i="23"/>
  <c r="V70" i="23"/>
  <c r="V64" i="23"/>
  <c r="AB64" i="23" s="1"/>
  <c r="V69" i="23"/>
  <c r="V22" i="23"/>
  <c r="V21" i="23"/>
  <c r="V30" i="23"/>
  <c r="AB30" i="23" s="1"/>
  <c r="V36" i="23"/>
  <c r="V17" i="23"/>
  <c r="V63" i="23"/>
  <c r="V54" i="23"/>
  <c r="V60" i="23"/>
  <c r="V10" i="23"/>
  <c r="V19" i="23"/>
  <c r="V39" i="23"/>
  <c r="V38" i="23"/>
  <c r="V47" i="23"/>
  <c r="V8" i="23"/>
  <c r="V28" i="23"/>
  <c r="V66" i="23"/>
  <c r="V45" i="23"/>
  <c r="V9" i="23"/>
  <c r="V33" i="23"/>
  <c r="V31" i="23"/>
  <c r="V5" i="23"/>
  <c r="V67" i="23"/>
  <c r="V59" i="23"/>
  <c r="V13" i="23"/>
  <c r="V52" i="23"/>
  <c r="V6" i="23"/>
  <c r="V26" i="23"/>
  <c r="V4" i="23"/>
  <c r="V55" i="23"/>
  <c r="V34" i="23"/>
  <c r="V20" i="23"/>
  <c r="V44" i="23"/>
  <c r="V43" i="23"/>
  <c r="V16" i="23"/>
  <c r="V40" i="23"/>
  <c r="V62" i="23"/>
  <c r="V29" i="23"/>
  <c r="V23" i="23"/>
  <c r="V50" i="23"/>
  <c r="V48" i="23"/>
  <c r="V37" i="23"/>
  <c r="V53" i="23"/>
  <c r="V51" i="23"/>
  <c r="V75" i="18"/>
  <c r="M72" i="18"/>
  <c r="AB6" i="23" l="1"/>
  <c r="W6" i="23"/>
  <c r="AC6" i="23"/>
  <c r="W21" i="23"/>
  <c r="AB21" i="23"/>
  <c r="AC21" i="23"/>
  <c r="AB65" i="23"/>
  <c r="W65" i="23"/>
  <c r="AC65" i="23"/>
  <c r="AB52" i="23"/>
  <c r="W52" i="23"/>
  <c r="AC52" i="23"/>
  <c r="AB10" i="23"/>
  <c r="W10" i="23"/>
  <c r="AC10" i="23"/>
  <c r="AB25" i="23"/>
  <c r="W25" i="23"/>
  <c r="AC25" i="23"/>
  <c r="AB61" i="23"/>
  <c r="W61" i="23"/>
  <c r="AC61" i="23"/>
  <c r="AB48" i="23"/>
  <c r="W48" i="23"/>
  <c r="AC48" i="23"/>
  <c r="W44" i="23"/>
  <c r="AB44" i="23"/>
  <c r="AC44" i="23"/>
  <c r="AB13" i="23"/>
  <c r="W13" i="23"/>
  <c r="AC13" i="23"/>
  <c r="AB66" i="23"/>
  <c r="W66" i="23"/>
  <c r="AC66" i="23"/>
  <c r="W60" i="23"/>
  <c r="AB60" i="23"/>
  <c r="AC60" i="23"/>
  <c r="AB69" i="23"/>
  <c r="W69" i="23"/>
  <c r="AC69" i="23"/>
  <c r="W41" i="23"/>
  <c r="AB41" i="23"/>
  <c r="AC41" i="23"/>
  <c r="W27" i="23"/>
  <c r="AB27" i="23"/>
  <c r="AC27" i="23"/>
  <c r="W9" i="23"/>
  <c r="AB9" i="23"/>
  <c r="AC9" i="23"/>
  <c r="AB12" i="23"/>
  <c r="W12" i="23"/>
  <c r="AC12" i="23"/>
  <c r="W37" i="23"/>
  <c r="AB37" i="23"/>
  <c r="AC37" i="23"/>
  <c r="W45" i="23"/>
  <c r="AB45" i="23"/>
  <c r="AC45" i="23"/>
  <c r="W22" i="23"/>
  <c r="AB22" i="23"/>
  <c r="AC22" i="23"/>
  <c r="AB18" i="23"/>
  <c r="W18" i="23"/>
  <c r="AC18" i="23"/>
  <c r="W50" i="23"/>
  <c r="AB50" i="23"/>
  <c r="AC50" i="23"/>
  <c r="W20" i="23"/>
  <c r="AB20" i="23"/>
  <c r="AC20" i="23"/>
  <c r="AB59" i="23"/>
  <c r="W59" i="23"/>
  <c r="AC59" i="23"/>
  <c r="W28" i="23"/>
  <c r="AB28" i="23"/>
  <c r="AC28" i="23"/>
  <c r="W54" i="23"/>
  <c r="AB54" i="23"/>
  <c r="AC54" i="23"/>
  <c r="W64" i="23"/>
  <c r="AC64" i="23"/>
  <c r="AB11" i="23"/>
  <c r="W11" i="23"/>
  <c r="AC11" i="23"/>
  <c r="AB24" i="23"/>
  <c r="W24" i="23"/>
  <c r="AC24" i="23"/>
  <c r="AB58" i="23"/>
  <c r="W58" i="23"/>
  <c r="AC58" i="23"/>
  <c r="W34" i="23"/>
  <c r="AB34" i="23"/>
  <c r="AC34" i="23"/>
  <c r="W16" i="23"/>
  <c r="AB16" i="23"/>
  <c r="AC16" i="23"/>
  <c r="W67" i="23"/>
  <c r="AB67" i="23"/>
  <c r="AC67" i="23"/>
  <c r="W63" i="23"/>
  <c r="AB63" i="23"/>
  <c r="AC63" i="23"/>
  <c r="AB49" i="23"/>
  <c r="W49" i="23"/>
  <c r="AC49" i="23"/>
  <c r="AB55" i="23"/>
  <c r="W55" i="23"/>
  <c r="AC55" i="23"/>
  <c r="AB47" i="23"/>
  <c r="W47" i="23"/>
  <c r="AC47" i="23"/>
  <c r="W57" i="23"/>
  <c r="AB57" i="23"/>
  <c r="AC57" i="23"/>
  <c r="AB32" i="23"/>
  <c r="W32" i="23"/>
  <c r="AC32" i="23"/>
  <c r="AB62" i="23"/>
  <c r="W62" i="23"/>
  <c r="AC62" i="23"/>
  <c r="AB4" i="23"/>
  <c r="W4" i="23"/>
  <c r="V72" i="23"/>
  <c r="W72" i="23" s="1"/>
  <c r="AC4" i="23"/>
  <c r="AB31" i="23"/>
  <c r="W31" i="23"/>
  <c r="AC31" i="23"/>
  <c r="AB38" i="23"/>
  <c r="W38" i="23"/>
  <c r="AC38" i="23"/>
  <c r="AB36" i="23"/>
  <c r="W36" i="23"/>
  <c r="AC36" i="23"/>
  <c r="W46" i="23"/>
  <c r="AB46" i="23"/>
  <c r="AC46" i="23"/>
  <c r="W15" i="23"/>
  <c r="AB15" i="23"/>
  <c r="AC15" i="23"/>
  <c r="W14" i="23"/>
  <c r="AB14" i="23"/>
  <c r="AC14" i="23"/>
  <c r="W53" i="23"/>
  <c r="AB53" i="23"/>
  <c r="AC53" i="23"/>
  <c r="AB23" i="23"/>
  <c r="W23" i="23"/>
  <c r="AC23" i="23"/>
  <c r="W8" i="23"/>
  <c r="AB8" i="23"/>
  <c r="AC8" i="23"/>
  <c r="W70" i="23"/>
  <c r="AB70" i="23"/>
  <c r="AC70" i="23"/>
  <c r="W29" i="23"/>
  <c r="AB29" i="23"/>
  <c r="AC29" i="23"/>
  <c r="AB5" i="23"/>
  <c r="W5" i="23"/>
  <c r="AC5" i="23"/>
  <c r="AB17" i="23"/>
  <c r="W17" i="23"/>
  <c r="AC17" i="23"/>
  <c r="AB42" i="23"/>
  <c r="W42" i="23"/>
  <c r="AC42" i="23"/>
  <c r="AB51" i="23"/>
  <c r="W51" i="23"/>
  <c r="AC51" i="23"/>
  <c r="W40" i="23"/>
  <c r="AB40" i="23"/>
  <c r="AC40" i="23"/>
  <c r="AB26" i="23"/>
  <c r="W26" i="23"/>
  <c r="AC26" i="23"/>
  <c r="W33" i="23"/>
  <c r="AB33" i="23"/>
  <c r="AC33" i="23"/>
  <c r="AB39" i="23"/>
  <c r="W39" i="23"/>
  <c r="AC39" i="23"/>
  <c r="W30" i="23"/>
  <c r="AC30" i="23"/>
  <c r="W56" i="23"/>
  <c r="AB56" i="23"/>
  <c r="AC56" i="23"/>
  <c r="AB68" i="23"/>
  <c r="W68" i="23"/>
  <c r="AC68" i="23"/>
  <c r="W7" i="23"/>
  <c r="AB7" i="23"/>
  <c r="AC7" i="23"/>
  <c r="AB19" i="23"/>
  <c r="W19" i="23"/>
  <c r="AC19" i="23"/>
  <c r="AB35" i="23"/>
  <c r="W35" i="23"/>
  <c r="AC35" i="23"/>
  <c r="AB43" i="23"/>
  <c r="W43" i="23"/>
  <c r="AC43" i="23"/>
  <c r="O10" i="18"/>
  <c r="O18" i="18"/>
  <c r="O26" i="18"/>
  <c r="O40" i="18"/>
  <c r="O39" i="18"/>
  <c r="O42" i="18"/>
  <c r="O30" i="18"/>
  <c r="O29" i="18"/>
  <c r="O32" i="18"/>
  <c r="O66" i="18"/>
  <c r="O48" i="18"/>
  <c r="O68" i="18"/>
  <c r="O58" i="18"/>
  <c r="O33" i="18"/>
  <c r="O36" i="18"/>
  <c r="O13" i="18"/>
  <c r="O44" i="18"/>
  <c r="O52" i="18"/>
  <c r="O43" i="18"/>
  <c r="O20" i="18"/>
  <c r="O70" i="18"/>
  <c r="O51" i="18"/>
  <c r="O8" i="18"/>
  <c r="O31" i="18"/>
  <c r="O64" i="18"/>
  <c r="O22" i="18"/>
  <c r="O45" i="18"/>
  <c r="O49" i="18"/>
  <c r="O41" i="18"/>
  <c r="O16" i="18"/>
  <c r="O61" i="18"/>
  <c r="O63" i="18"/>
  <c r="O14" i="18"/>
  <c r="O12" i="18"/>
  <c r="O17" i="18"/>
  <c r="O53" i="18"/>
  <c r="O56" i="18"/>
  <c r="O65" i="18"/>
  <c r="O28" i="18"/>
  <c r="O59" i="18"/>
  <c r="O55" i="18"/>
  <c r="O24" i="18"/>
  <c r="O60" i="18"/>
  <c r="O25" i="18"/>
  <c r="O6" i="18"/>
  <c r="O37" i="18"/>
  <c r="O34" i="18"/>
  <c r="O47" i="18"/>
  <c r="O15" i="18"/>
  <c r="O67" i="18"/>
  <c r="O50" i="18"/>
  <c r="O69" i="18"/>
  <c r="O19" i="18"/>
  <c r="O62" i="18"/>
  <c r="O35" i="18"/>
  <c r="O23" i="18"/>
  <c r="O5" i="18"/>
  <c r="O11" i="18"/>
  <c r="O46" i="18"/>
  <c r="O57" i="18"/>
  <c r="O9" i="18"/>
  <c r="O54" i="18"/>
  <c r="O7" i="18"/>
  <c r="O38" i="18"/>
  <c r="O27" i="18"/>
  <c r="O21" i="18"/>
  <c r="AF70" i="23" l="1"/>
  <c r="AF57" i="23"/>
  <c r="AB72" i="23"/>
  <c r="AF49" i="23"/>
  <c r="AF64" i="23"/>
  <c r="AF45" i="23"/>
  <c r="AF65" i="23"/>
  <c r="AF5" i="23"/>
  <c r="AF46" i="23"/>
  <c r="AF62" i="23"/>
  <c r="AF16" i="23"/>
  <c r="AF59" i="23"/>
  <c r="AF9" i="23"/>
  <c r="AF48" i="23"/>
  <c r="AF43" i="23"/>
  <c r="AF33" i="23"/>
  <c r="AF58" i="23"/>
  <c r="AF7" i="23"/>
  <c r="AF51" i="23"/>
  <c r="AF53" i="23"/>
  <c r="AF66" i="23"/>
  <c r="AF30" i="23"/>
  <c r="AF35" i="23"/>
  <c r="AF26" i="23"/>
  <c r="AF8" i="23"/>
  <c r="AF31" i="23"/>
  <c r="AF47" i="23"/>
  <c r="AF24" i="23"/>
  <c r="AF18" i="23"/>
  <c r="AF69" i="23"/>
  <c r="AF10" i="23"/>
  <c r="AF68" i="23"/>
  <c r="AF42" i="23"/>
  <c r="AF63" i="23"/>
  <c r="AF37" i="23"/>
  <c r="AF13" i="23"/>
  <c r="AF21" i="23"/>
  <c r="AF14" i="23"/>
  <c r="AF39" i="23"/>
  <c r="AF32" i="23"/>
  <c r="AF19" i="23"/>
  <c r="AF40" i="23"/>
  <c r="AF23" i="23"/>
  <c r="AF4" i="23"/>
  <c r="AC72" i="23"/>
  <c r="AF55" i="23"/>
  <c r="AF11" i="23"/>
  <c r="AF22" i="23"/>
  <c r="AF60" i="23"/>
  <c r="AF52" i="23"/>
  <c r="AF54" i="23"/>
  <c r="AF29" i="23"/>
  <c r="AF36" i="23"/>
  <c r="AF34" i="23"/>
  <c r="AF20" i="23"/>
  <c r="AF27" i="23"/>
  <c r="AF61" i="23"/>
  <c r="AF56" i="23"/>
  <c r="AF17" i="23"/>
  <c r="AF15" i="23"/>
  <c r="AF67" i="23"/>
  <c r="AF28" i="23"/>
  <c r="AF12" i="23"/>
  <c r="AF44" i="23"/>
  <c r="AF6" i="23"/>
  <c r="AF38" i="23"/>
  <c r="AF50" i="23"/>
  <c r="AF41" i="23"/>
  <c r="AF25" i="23"/>
  <c r="P35" i="18"/>
  <c r="U35" i="18"/>
  <c r="V35" i="18"/>
  <c r="Z35" i="18" s="1"/>
  <c r="P63" i="18"/>
  <c r="U63" i="18"/>
  <c r="V63" i="18"/>
  <c r="Z63" i="18" s="1"/>
  <c r="P13" i="18"/>
  <c r="U13" i="18"/>
  <c r="V13" i="18"/>
  <c r="Z13" i="18" s="1"/>
  <c r="P54" i="18"/>
  <c r="U54" i="18"/>
  <c r="V54" i="18"/>
  <c r="Z54" i="18" s="1"/>
  <c r="U37" i="18"/>
  <c r="P37" i="18"/>
  <c r="V37" i="18"/>
  <c r="Z37" i="18" s="1"/>
  <c r="U28" i="18"/>
  <c r="P28" i="18"/>
  <c r="V28" i="18"/>
  <c r="Z28" i="18" s="1"/>
  <c r="P61" i="18"/>
  <c r="U61" i="18"/>
  <c r="V61" i="18"/>
  <c r="Z61" i="18" s="1"/>
  <c r="U8" i="18"/>
  <c r="P8" i="18"/>
  <c r="V8" i="18"/>
  <c r="Z8" i="18" s="1"/>
  <c r="U36" i="18"/>
  <c r="P36" i="18"/>
  <c r="V36" i="18"/>
  <c r="Z36" i="18" s="1"/>
  <c r="P30" i="18"/>
  <c r="U30" i="18"/>
  <c r="V30" i="18"/>
  <c r="Z30" i="18" s="1"/>
  <c r="U4" i="18"/>
  <c r="P4" i="18"/>
  <c r="O72" i="18"/>
  <c r="P72" i="18" s="1"/>
  <c r="Z4" i="18"/>
  <c r="U31" i="18"/>
  <c r="P31" i="18"/>
  <c r="V31" i="18"/>
  <c r="Z31" i="18" s="1"/>
  <c r="P29" i="18"/>
  <c r="U29" i="18"/>
  <c r="V29" i="18"/>
  <c r="Z29" i="18" s="1"/>
  <c r="P62" i="18"/>
  <c r="U62" i="18"/>
  <c r="V62" i="18"/>
  <c r="Z62" i="18" s="1"/>
  <c r="P9" i="18"/>
  <c r="U9" i="18"/>
  <c r="V9" i="18"/>
  <c r="Z9" i="18" s="1"/>
  <c r="P19" i="18"/>
  <c r="U19" i="18"/>
  <c r="V19" i="18"/>
  <c r="Z19" i="18" s="1"/>
  <c r="P6" i="18"/>
  <c r="U6" i="18"/>
  <c r="V6" i="18"/>
  <c r="Z6" i="18" s="1"/>
  <c r="P65" i="18"/>
  <c r="U65" i="18"/>
  <c r="V65" i="18"/>
  <c r="Z65" i="18" s="1"/>
  <c r="U16" i="18"/>
  <c r="P16" i="18"/>
  <c r="V16" i="18"/>
  <c r="Z16" i="18" s="1"/>
  <c r="U51" i="18"/>
  <c r="P51" i="18"/>
  <c r="V51" i="18"/>
  <c r="Z51" i="18" s="1"/>
  <c r="U33" i="18"/>
  <c r="P33" i="18"/>
  <c r="V33" i="18"/>
  <c r="Z33" i="18" s="1"/>
  <c r="P42" i="18"/>
  <c r="U42" i="18"/>
  <c r="V42" i="18"/>
  <c r="Z42" i="18" s="1"/>
  <c r="U57" i="18"/>
  <c r="P57" i="18"/>
  <c r="V57" i="18"/>
  <c r="Z57" i="18" s="1"/>
  <c r="U41" i="18"/>
  <c r="P41" i="18"/>
  <c r="V41" i="18"/>
  <c r="Z41" i="18" s="1"/>
  <c r="P46" i="18"/>
  <c r="U46" i="18"/>
  <c r="V46" i="18"/>
  <c r="Z46" i="18" s="1"/>
  <c r="U49" i="18"/>
  <c r="P49" i="18"/>
  <c r="V49" i="18"/>
  <c r="Z49" i="18" s="1"/>
  <c r="U20" i="18"/>
  <c r="P20" i="18"/>
  <c r="V20" i="18"/>
  <c r="Z20" i="18" s="1"/>
  <c r="U68" i="18"/>
  <c r="P68" i="18"/>
  <c r="V68" i="18"/>
  <c r="Z68" i="18" s="1"/>
  <c r="U40" i="18"/>
  <c r="P40" i="18"/>
  <c r="V40" i="18"/>
  <c r="Z40" i="18" s="1"/>
  <c r="U7" i="18"/>
  <c r="P7" i="18"/>
  <c r="V7" i="18"/>
  <c r="Z7" i="18" s="1"/>
  <c r="U56" i="18"/>
  <c r="P56" i="18"/>
  <c r="V56" i="18"/>
  <c r="Z56" i="18" s="1"/>
  <c r="P58" i="18"/>
  <c r="U58" i="18"/>
  <c r="V58" i="18"/>
  <c r="Z58" i="18" s="1"/>
  <c r="P53" i="18"/>
  <c r="U53" i="18"/>
  <c r="V53" i="18"/>
  <c r="Z53" i="18" s="1"/>
  <c r="P67" i="18"/>
  <c r="U67" i="18"/>
  <c r="V67" i="18"/>
  <c r="Z67" i="18" s="1"/>
  <c r="U24" i="18"/>
  <c r="P24" i="18"/>
  <c r="V24" i="18"/>
  <c r="Z24" i="18" s="1"/>
  <c r="P17" i="18"/>
  <c r="U17" i="18"/>
  <c r="V17" i="18"/>
  <c r="Z17" i="18" s="1"/>
  <c r="P45" i="18"/>
  <c r="V45" i="18"/>
  <c r="Z45" i="18" s="1"/>
  <c r="U45" i="18"/>
  <c r="P43" i="18"/>
  <c r="U43" i="18"/>
  <c r="V43" i="18"/>
  <c r="Z43" i="18" s="1"/>
  <c r="U48" i="18"/>
  <c r="V48" i="18"/>
  <c r="Z48" i="18" s="1"/>
  <c r="P48" i="18"/>
  <c r="U26" i="18"/>
  <c r="P26" i="18"/>
  <c r="V26" i="18"/>
  <c r="Z26" i="18" s="1"/>
  <c r="U69" i="18"/>
  <c r="P69" i="18"/>
  <c r="V69" i="18"/>
  <c r="Z69" i="18" s="1"/>
  <c r="U39" i="18"/>
  <c r="P39" i="18"/>
  <c r="V39" i="18"/>
  <c r="Z39" i="18" s="1"/>
  <c r="P50" i="18"/>
  <c r="U50" i="18"/>
  <c r="V50" i="18"/>
  <c r="Z50" i="18" s="1"/>
  <c r="P11" i="18"/>
  <c r="U11" i="18"/>
  <c r="V11" i="18"/>
  <c r="Z11" i="18" s="1"/>
  <c r="U5" i="18"/>
  <c r="P5" i="18"/>
  <c r="V5" i="18"/>
  <c r="Z5" i="18" s="1"/>
  <c r="P15" i="18"/>
  <c r="U15" i="18"/>
  <c r="V15" i="18"/>
  <c r="Z15" i="18" s="1"/>
  <c r="P55" i="18"/>
  <c r="U55" i="18"/>
  <c r="Z55" i="18"/>
  <c r="U12" i="18"/>
  <c r="P12" i="18"/>
  <c r="V12" i="18"/>
  <c r="Z12" i="18" s="1"/>
  <c r="U22" i="18"/>
  <c r="P22" i="18"/>
  <c r="V22" i="18"/>
  <c r="Z22" i="18" s="1"/>
  <c r="U52" i="18"/>
  <c r="P52" i="18"/>
  <c r="V52" i="18"/>
  <c r="Z52" i="18" s="1"/>
  <c r="P66" i="18"/>
  <c r="U66" i="18"/>
  <c r="V66" i="18"/>
  <c r="Z66" i="18" s="1"/>
  <c r="U18" i="18"/>
  <c r="P18" i="18"/>
  <c r="V18" i="18"/>
  <c r="Z18" i="18" s="1"/>
  <c r="P34" i="18"/>
  <c r="U34" i="18"/>
  <c r="V34" i="18"/>
  <c r="Z34" i="18" s="1"/>
  <c r="P25" i="18"/>
  <c r="U25" i="18"/>
  <c r="V25" i="18"/>
  <c r="Z25" i="18" s="1"/>
  <c r="P70" i="18"/>
  <c r="U70" i="18"/>
  <c r="V70" i="18"/>
  <c r="Z70" i="18" s="1"/>
  <c r="U60" i="18"/>
  <c r="V60" i="18"/>
  <c r="Z60" i="18" s="1"/>
  <c r="P60" i="18"/>
  <c r="P21" i="18"/>
  <c r="U21" i="18"/>
  <c r="V21" i="18"/>
  <c r="Z21" i="18" s="1"/>
  <c r="P27" i="18"/>
  <c r="U27" i="18"/>
  <c r="V27" i="18"/>
  <c r="Z27" i="18" s="1"/>
  <c r="P38" i="18"/>
  <c r="U38" i="18"/>
  <c r="V38" i="18"/>
  <c r="Z38" i="18" s="1"/>
  <c r="P23" i="18"/>
  <c r="U23" i="18"/>
  <c r="V23" i="18"/>
  <c r="Z23" i="18" s="1"/>
  <c r="U47" i="18"/>
  <c r="P47" i="18"/>
  <c r="V47" i="18"/>
  <c r="Z47" i="18" s="1"/>
  <c r="U59" i="18"/>
  <c r="P59" i="18"/>
  <c r="V59" i="18"/>
  <c r="Z59" i="18" s="1"/>
  <c r="U14" i="18"/>
  <c r="P14" i="18"/>
  <c r="V14" i="18"/>
  <c r="Z14" i="18" s="1"/>
  <c r="U64" i="18"/>
  <c r="P64" i="18"/>
  <c r="V64" i="18"/>
  <c r="Z64" i="18" s="1"/>
  <c r="U44" i="18"/>
  <c r="P44" i="18"/>
  <c r="V44" i="18"/>
  <c r="Z44" i="18" s="1"/>
  <c r="P32" i="18"/>
  <c r="U32" i="18"/>
  <c r="V32" i="18"/>
  <c r="Z32" i="18" s="1"/>
  <c r="U10" i="18"/>
  <c r="P10" i="18"/>
  <c r="V10" i="18"/>
  <c r="Z10" i="18" s="1"/>
  <c r="AF76" i="23" l="1"/>
  <c r="AF74" i="23"/>
  <c r="Z76" i="18"/>
  <c r="Z78" i="18"/>
  <c r="W39" i="18"/>
  <c r="W45" i="18"/>
  <c r="W67" i="18"/>
  <c r="W49" i="18"/>
  <c r="W65" i="18"/>
  <c r="W37" i="18"/>
  <c r="W14" i="18"/>
  <c r="W70" i="18"/>
  <c r="W55" i="18"/>
  <c r="W56" i="18"/>
  <c r="W57" i="18"/>
  <c r="W9" i="18"/>
  <c r="W30" i="18"/>
  <c r="W63" i="18"/>
  <c r="W34" i="18"/>
  <c r="W29" i="18"/>
  <c r="W32" i="18"/>
  <c r="W52" i="18"/>
  <c r="W44" i="18"/>
  <c r="W21" i="18"/>
  <c r="W22" i="18"/>
  <c r="W69" i="18"/>
  <c r="W53" i="18"/>
  <c r="W46" i="18"/>
  <c r="W6" i="18"/>
  <c r="W54" i="18"/>
  <c r="W60" i="18"/>
  <c r="W40" i="18"/>
  <c r="W33" i="18"/>
  <c r="W11" i="18"/>
  <c r="W48" i="18"/>
  <c r="W51" i="18"/>
  <c r="W31" i="18"/>
  <c r="W59" i="18"/>
  <c r="W25" i="18"/>
  <c r="W15" i="18"/>
  <c r="W43" i="18"/>
  <c r="W7" i="18"/>
  <c r="W42" i="18"/>
  <c r="W62" i="18"/>
  <c r="W36" i="18"/>
  <c r="W35" i="18"/>
  <c r="W5" i="18"/>
  <c r="W8" i="18"/>
  <c r="W23" i="18"/>
  <c r="W17" i="18"/>
  <c r="W10" i="18"/>
  <c r="W38" i="18"/>
  <c r="W66" i="18"/>
  <c r="W50" i="18"/>
  <c r="W24" i="18"/>
  <c r="W20" i="18"/>
  <c r="W16" i="18"/>
  <c r="W28" i="18"/>
  <c r="W47" i="18"/>
  <c r="W27" i="18"/>
  <c r="W18" i="18"/>
  <c r="W68" i="18"/>
  <c r="W61" i="18"/>
  <c r="W64" i="18"/>
  <c r="W12" i="18"/>
  <c r="W26" i="18"/>
  <c r="W58" i="18"/>
  <c r="W41" i="18"/>
  <c r="W19" i="18"/>
  <c r="W13" i="18"/>
  <c r="U72" i="18"/>
  <c r="V72" i="18"/>
  <c r="W72" i="18" s="1"/>
  <c r="AA72" i="18" l="1"/>
  <c r="AA74" i="18" l="1"/>
  <c r="B5" i="8" l="1"/>
  <c r="B7" i="8" s="1"/>
  <c r="B11" i="8" s="1"/>
  <c r="B12" i="8" s="1"/>
</calcChain>
</file>

<file path=xl/sharedStrings.xml><?xml version="1.0" encoding="utf-8"?>
<sst xmlns="http://schemas.openxmlformats.org/spreadsheetml/2006/main" count="669" uniqueCount="185">
  <si>
    <t>County</t>
  </si>
  <si>
    <t>Calhoun</t>
  </si>
  <si>
    <t>Lafayette</t>
  </si>
  <si>
    <t>Liberty</t>
  </si>
  <si>
    <t>Union</t>
  </si>
  <si>
    <t>Baker</t>
  </si>
  <si>
    <t>Dixie</t>
  </si>
  <si>
    <t>Franklin</t>
  </si>
  <si>
    <t>Gilchrist</t>
  </si>
  <si>
    <t>Glades</t>
  </si>
  <si>
    <t>Gulf</t>
  </si>
  <si>
    <t>Hamilton</t>
  </si>
  <si>
    <t>Holmes</t>
  </si>
  <si>
    <t>Jefferson</t>
  </si>
  <si>
    <t>Taylor</t>
  </si>
  <si>
    <t>Washington</t>
  </si>
  <si>
    <t>Bradford</t>
  </si>
  <si>
    <t>DeSoto</t>
  </si>
  <si>
    <t>Gadsden</t>
  </si>
  <si>
    <t>Hardee</t>
  </si>
  <si>
    <t>Hendry</t>
  </si>
  <si>
    <t>Jackson</t>
  </si>
  <si>
    <t>Levy</t>
  </si>
  <si>
    <t>Madison</t>
  </si>
  <si>
    <t>Okeechobee</t>
  </si>
  <si>
    <t>Suwannee</t>
  </si>
  <si>
    <t>Wakulla</t>
  </si>
  <si>
    <t>Citrus</t>
  </si>
  <si>
    <t>Columbia</t>
  </si>
  <si>
    <t>Flagler</t>
  </si>
  <si>
    <t>Highlands</t>
  </si>
  <si>
    <t>Indian River</t>
  </si>
  <si>
    <t>Nassau</t>
  </si>
  <si>
    <t>Putnam</t>
  </si>
  <si>
    <t>Sumter</t>
  </si>
  <si>
    <t>Walton</t>
  </si>
  <si>
    <t>Alachua</t>
  </si>
  <si>
    <t>Charlotte</t>
  </si>
  <si>
    <t>Clay</t>
  </si>
  <si>
    <t>Hernando</t>
  </si>
  <si>
    <t>Martin</t>
  </si>
  <si>
    <t>Monroe</t>
  </si>
  <si>
    <t>Okaloosa</t>
  </si>
  <si>
    <t>Saint Johns</t>
  </si>
  <si>
    <t>Santa Rosa</t>
  </si>
  <si>
    <t>Bay</t>
  </si>
  <si>
    <t>Brevard</t>
  </si>
  <si>
    <t>Collier</t>
  </si>
  <si>
    <t>Escambia</t>
  </si>
  <si>
    <t>Lake</t>
  </si>
  <si>
    <t>Leon</t>
  </si>
  <si>
    <t>Manatee</t>
  </si>
  <si>
    <t>Marion</t>
  </si>
  <si>
    <t>Osceola</t>
  </si>
  <si>
    <t>Pasco</t>
  </si>
  <si>
    <t>Saint Lucie</t>
  </si>
  <si>
    <t>Sarasota</t>
  </si>
  <si>
    <t>Seminole</t>
  </si>
  <si>
    <t>Duval</t>
  </si>
  <si>
    <t>Lee</t>
  </si>
  <si>
    <t>Pinellas</t>
  </si>
  <si>
    <t>Polk</t>
  </si>
  <si>
    <t>Volusia</t>
  </si>
  <si>
    <t>Broward</t>
  </si>
  <si>
    <t>Hillsborough</t>
  </si>
  <si>
    <t>Miami-Dade</t>
  </si>
  <si>
    <t>Orange</t>
  </si>
  <si>
    <t>Palm Beach</t>
  </si>
  <si>
    <t>STATEWIDE TOTAL</t>
  </si>
  <si>
    <t>Calculation Line</t>
  </si>
  <si>
    <t>CFY 2021-22 NEEDS-BASED BUDGET</t>
  </si>
  <si>
    <t>Budget Issues Increase</t>
  </si>
  <si>
    <t>Percentage Increase Over Base $410M</t>
  </si>
  <si>
    <t>Net Budget Increase</t>
  </si>
  <si>
    <t>Statutorily Required Amount to Reserve (10%)</t>
  </si>
  <si>
    <t>New Revenue Summary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</si>
  <si>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Approved </t>
    </r>
    <r>
      <rPr>
        <b/>
        <sz val="10"/>
        <rFont val="Franklin Gothic Book"/>
        <family val="2"/>
      </rPr>
      <t>Statewide</t>
    </r>
    <r>
      <rPr>
        <b/>
        <sz val="10"/>
        <color theme="1"/>
        <rFont val="Franklin Gothic Book"/>
        <family val="2"/>
      </rPr>
      <t xml:space="preserve"> Issues</t>
    </r>
  </si>
  <si>
    <t xml:space="preserve">CFY 2021-22 Adjusted-Base Budget </t>
  </si>
  <si>
    <t>CFY 2020-21
Revenue-Limited Budget</t>
  </si>
  <si>
    <t>CFY 2021-22 REVENUE-LIMITED BUDGET</t>
  </si>
  <si>
    <t>CFY 2021-22 ADJUSTED-BASE BUDGET</t>
  </si>
  <si>
    <r>
      <rPr>
        <b/>
        <sz val="10"/>
        <color theme="7"/>
        <rFont val="Franklin Gothic Book"/>
        <family val="2"/>
      </rPr>
      <t xml:space="preserve">ADD </t>
    </r>
    <r>
      <rPr>
        <b/>
        <sz val="10"/>
        <color theme="1"/>
        <rFont val="Franklin Gothic Book"/>
        <family val="2"/>
      </rPr>
      <t xml:space="preserve">
Approved  Funding Requests</t>
    </r>
  </si>
  <si>
    <t>PG</t>
  </si>
  <si>
    <t>Adjusted-Base Budget Increase</t>
  </si>
  <si>
    <t>x</t>
  </si>
  <si>
    <t>Add Percentage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</si>
  <si>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Weighted Cases Distribution
60%</t>
    </r>
  </si>
  <si>
    <t>Percent of Weighted Cases</t>
  </si>
  <si>
    <t>Total Weighted Case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</si>
  <si>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Across the Board
40%</t>
    </r>
  </si>
  <si>
    <t>Percent of Total Budget</t>
  </si>
  <si>
    <t>Fiscally Constrained Counties (FCC)</t>
  </si>
  <si>
    <t>Difference of $444.9M Budget from Approved $474.9M Needs-Based</t>
  </si>
  <si>
    <t>CFY 2020-21
Revenue-Limited Budget (only non-FC Counties)</t>
  </si>
  <si>
    <t>CFY 2021-22 Revenue-Limited Budget</t>
  </si>
  <si>
    <r>
      <rPr>
        <b/>
        <sz val="10"/>
        <color rgb="FF00B050"/>
        <rFont val="Franklin Gothic Book"/>
        <family val="2"/>
      </rPr>
      <t>ADD</t>
    </r>
    <r>
      <rPr>
        <b/>
        <sz val="10"/>
        <rFont val="Franklin Gothic Book"/>
        <family val="2"/>
      </rPr>
      <t xml:space="preserve">
$2.1M Restore Reduction from Held Harmless Counties in CFY 2020-21</t>
    </r>
  </si>
  <si>
    <t xml:space="preserve">Number of Counties: </t>
  </si>
  <si>
    <t>CFY 2021-22 Needs-Based + 3 percent Salary Adjust for FC Counties Removed in CFY 2020-21</t>
  </si>
  <si>
    <t>$410M +  Statewide Issues + Approved Requests</t>
  </si>
  <si>
    <t>Add 3 Percent Salary for Fiscally Constrained Counties from CFY 2020-21</t>
  </si>
  <si>
    <t>Adjusted Distribution to Revenue-Limited Budget</t>
  </si>
  <si>
    <t>TOTAL:</t>
  </si>
  <si>
    <t>CFY 2021-22 Needs-Based Budget (Requested FTE removed)</t>
  </si>
  <si>
    <t>Additional FTE</t>
  </si>
  <si>
    <t>TOTAL 
Funding 
Issues (Requested FTE removed)</t>
  </si>
  <si>
    <t>TOTAL 
Funding 
Issues</t>
  </si>
  <si>
    <t>Cost Shift Corrections</t>
  </si>
  <si>
    <t>Glades IT Server Replacement Purchase (non-recurring)</t>
  </si>
  <si>
    <t>3.5% Across the Board Pay Increase</t>
  </si>
  <si>
    <t>Additional Health Insurance Requests</t>
  </si>
  <si>
    <t>Additional FRS Requests</t>
  </si>
  <si>
    <t>Adjusted Base Budget Increase</t>
  </si>
  <si>
    <t>TOTAL  Approved Statewide Issues</t>
  </si>
  <si>
    <r>
      <t xml:space="preserve">Minimum Wage Issue  - $10
</t>
    </r>
    <r>
      <rPr>
        <sz val="9"/>
        <color theme="1"/>
        <rFont val="Franklin Gothic Book"/>
        <family val="2"/>
      </rPr>
      <t>(INFORMATIONAL)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</si>
  <si>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New Judges
</t>
    </r>
    <r>
      <rPr>
        <sz val="9"/>
        <color theme="1"/>
        <rFont val="Franklin Gothic Book"/>
        <family val="2"/>
      </rPr>
      <t>(15 Judges Created in 2020 &amp; 2021)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</si>
  <si>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Health Insurance Increase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</si>
  <si>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FRS Increase
</t>
    </r>
    <r>
      <rPr>
        <b/>
        <sz val="9"/>
        <rFont val="Franklin Gothic Book"/>
        <family val="2"/>
      </rPr>
      <t>(ESTIMATES)</t>
    </r>
  </si>
  <si>
    <r>
      <rPr>
        <b/>
        <sz val="10"/>
        <color theme="7"/>
        <rFont val="Franklin Gothic Book"/>
        <family val="2"/>
      </rPr>
      <t>Budget Committee Approved Enhancements</t>
    </r>
    <r>
      <rPr>
        <b/>
        <sz val="10"/>
        <color theme="9"/>
        <rFont val="Franklin Gothic Book"/>
        <family val="2"/>
      </rPr>
      <t xml:space="preserve">
</t>
    </r>
    <r>
      <rPr>
        <sz val="10"/>
        <color theme="1"/>
        <rFont val="Franklin Gothic Book"/>
        <family val="2"/>
      </rPr>
      <t>FRS Increases Only</t>
    </r>
  </si>
  <si>
    <t>TOTAL
CFY2021
Base Budget</t>
  </si>
  <si>
    <t>Approved 
CFY1920 Budget Authority</t>
  </si>
  <si>
    <t>Peer
Group</t>
  </si>
  <si>
    <t>ADDITIONAL FUNDING ISSUES</t>
  </si>
  <si>
    <t>APPROVED STATEWIDE ENHANCEMENT ISSUES</t>
  </si>
  <si>
    <t>Total</t>
  </si>
  <si>
    <t>Proposed 3.5% Salary Increase Amount</t>
  </si>
  <si>
    <t>CFY 2020-21 Operational Budget Salary Amount</t>
  </si>
  <si>
    <t>Subsection 28.35(2)(f)9., F.S., requires CCOC to identify the budget of any clerk which exceeds the average budget of similarly situated clerks by more than 10%.</t>
  </si>
  <si>
    <t xml:space="preserve">Grand Total </t>
  </si>
  <si>
    <t>Grand Average</t>
  </si>
  <si>
    <t>Peer Group 8 Average</t>
  </si>
  <si>
    <t>Peer Group 7 Average</t>
  </si>
  <si>
    <t>Peer Group 6 Average</t>
  </si>
  <si>
    <t>Peer Group 5 Average</t>
  </si>
  <si>
    <t>Peer Group 4 Average</t>
  </si>
  <si>
    <t>Peer Group 3 Average</t>
  </si>
  <si>
    <t>2 Average</t>
  </si>
  <si>
    <t>Peer Group 2 Average</t>
  </si>
  <si>
    <t>Peer Group 1 Average</t>
  </si>
  <si>
    <t>Percent Above or Below PG Average</t>
  </si>
  <si>
    <t>CFY 2021-22 Proposed Budget</t>
  </si>
  <si>
    <t>Peer Groups</t>
  </si>
  <si>
    <t>Budget Comparison to the Peer Group Average</t>
  </si>
  <si>
    <t>HEALTH TOTAL</t>
  </si>
  <si>
    <t>FRS TOTAL</t>
  </si>
  <si>
    <t>TOTAL</t>
  </si>
  <si>
    <r>
      <t xml:space="preserve">$410M +  Statewide Issues + Approved Requests </t>
    </r>
    <r>
      <rPr>
        <b/>
        <sz val="9"/>
        <color theme="2"/>
        <rFont val="Franklin Gothic Book"/>
        <family val="2"/>
      </rPr>
      <t>(Requested FTE removed)</t>
    </r>
  </si>
  <si>
    <t>TOTAL 
Additional Funding Issues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</si>
  <si>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Cost Shift Corrections &amp; Glades IT Server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</si>
  <si>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3.5% Across the Board Pay Increase</t>
    </r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</si>
  <si>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 Additional FRS Requests</t>
    </r>
  </si>
  <si>
    <t>Percentage Increase</t>
  </si>
  <si>
    <t xml:space="preserve">$410M + Statewide Issues </t>
  </si>
  <si>
    <t>DATA FOR CALCULATIONS</t>
  </si>
  <si>
    <t>Difference</t>
  </si>
  <si>
    <t>Percentage of Total Budget</t>
  </si>
  <si>
    <t>WWM Applied to 100% of the $444.9M</t>
  </si>
  <si>
    <t>Total Weighted Workload Measure</t>
  </si>
  <si>
    <t>ADDITIONAL FUNDING ISSUES
(Adopted in July)</t>
  </si>
  <si>
    <t>ADDING THE ADDITIONAL $14.7M OF AVAILABLE REVENUE
(Adopted in August)</t>
  </si>
  <si>
    <t>Statewide</t>
  </si>
  <si>
    <t>CCOC Expenditures
(Oct 19-Sep 20)
(EC Report)</t>
  </si>
  <si>
    <t>Excess Revenue Sent to the TF 
(Oct 19-Sep 20)
(DOR Report)</t>
  </si>
  <si>
    <t>Total Revenues
for Settle-Up</t>
  </si>
  <si>
    <t>CFY 2018-19 Additional Revenues
(EC Report)</t>
  </si>
  <si>
    <t>CCOC Revenues
(Sep 19-Aug 20)
(EC Report)</t>
  </si>
  <si>
    <t>Received from TF
(Sep 19-Aug 20)
(EC Report)</t>
  </si>
  <si>
    <t>Final Spending Authority 
(Adopted by E.C. 8/24)</t>
  </si>
  <si>
    <r>
      <rPr>
        <b/>
        <sz val="10"/>
        <color theme="7"/>
        <rFont val="Franklin Gothic Book"/>
        <family val="2"/>
      </rPr>
      <t>ADD</t>
    </r>
    <r>
      <rPr>
        <b/>
        <sz val="10"/>
        <color theme="1"/>
        <rFont val="Franklin Gothic Book"/>
        <family val="2"/>
      </rPr>
      <t xml:space="preserve">
Additional Health Insurance Requests 
(up to 10%)</t>
    </r>
  </si>
  <si>
    <r>
      <t xml:space="preserve">CFY 2021-22 Needs-Based Budget 
</t>
    </r>
    <r>
      <rPr>
        <b/>
        <sz val="9"/>
        <color theme="0"/>
        <rFont val="Franklin Gothic Book"/>
        <family val="2"/>
      </rPr>
      <t>(B.C. Approved Aug. 2021)</t>
    </r>
  </si>
  <si>
    <r>
      <t xml:space="preserve">CFY 2020-21 Needs-Based Budget
</t>
    </r>
    <r>
      <rPr>
        <b/>
        <sz val="9"/>
        <color theme="0"/>
        <rFont val="Franklin Gothic Book"/>
        <family val="2"/>
      </rPr>
      <t>(B.C. Approved Sept. 2020)</t>
    </r>
  </si>
  <si>
    <r>
      <t xml:space="preserve">CFY 2021-22 Adjusted-Base Budget 
</t>
    </r>
    <r>
      <rPr>
        <b/>
        <sz val="9"/>
        <rFont val="Franklin Gothic Book"/>
        <family val="2"/>
      </rPr>
      <t>(B.C. Approved May 2021)</t>
    </r>
  </si>
  <si>
    <t xml:space="preserve">Jury Reimbursement Funding:   </t>
  </si>
  <si>
    <t xml:space="preserve">Pandemic Recovery Plan Funding:   </t>
  </si>
  <si>
    <t xml:space="preserve">TOTAL NEEDS-BASED BUDGET:  </t>
  </si>
  <si>
    <t xml:space="preserve">Difference between Needs-Based Budget &amp; Revenue-Limited Budget:   </t>
  </si>
  <si>
    <r>
      <t xml:space="preserve">REC Revenue Estimate </t>
    </r>
    <r>
      <rPr>
        <sz val="14"/>
        <color theme="1"/>
        <rFont val="Franklin Gothic Book"/>
        <family val="2"/>
      </rPr>
      <t xml:space="preserve">(CFY 2021-22) </t>
    </r>
  </si>
  <si>
    <r>
      <t xml:space="preserve">Unspent Budgeted Funds </t>
    </r>
    <r>
      <rPr>
        <sz val="14"/>
        <color theme="1"/>
        <rFont val="Franklin Gothic Book"/>
        <family val="2"/>
      </rPr>
      <t>(CFY 2019-20)</t>
    </r>
  </si>
  <si>
    <r>
      <t xml:space="preserve">REC Cumulative Excess Estimate - Clerks' Share of 50% </t>
    </r>
    <r>
      <rPr>
        <sz val="14"/>
        <color theme="1"/>
        <rFont val="Franklin Gothic Book"/>
        <family val="2"/>
      </rPr>
      <t xml:space="preserve">(CFY 2020-21) </t>
    </r>
  </si>
  <si>
    <r>
      <t xml:space="preserve">Revenue-Limited Budget </t>
    </r>
    <r>
      <rPr>
        <sz val="14"/>
        <color theme="1"/>
        <rFont val="Franklin Gothic Book"/>
        <family val="2"/>
      </rPr>
      <t>(CFY 2020-21)</t>
    </r>
  </si>
  <si>
    <t>Weighted Workload Measure</t>
  </si>
  <si>
    <t>$410M +  Statewide Issues + Approved Requests + Added Issues</t>
  </si>
  <si>
    <t xml:space="preserve">Funds Added to Reserve: </t>
  </si>
  <si>
    <t xml:space="preserve">TOTAL COURT-RELATED BUDGET:  </t>
  </si>
  <si>
    <t>APPROVED STATEWIDE ENHANCEMENT ISSUES 
(Adopted in May)</t>
  </si>
  <si>
    <t>Difference of $444.9M Budget and Approved $474.9M Needs-Based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</si>
</sst>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0%"/>
    <numFmt numFmtId="170" formatCode="0.0%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0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b/>
      <sz val="1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theme="7"/>
      <name val="Franklin Gothic Book"/>
      <family val="2"/>
    </font>
    <font>
      <sz val="1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b/>
      <sz val="12"/>
      <color theme="1"/>
      <name val="Franklin Gothic Book"/>
      <family val="2"/>
    </font>
    <font>
      <sz val="10"/>
      <name val="Franklin Gothic Book"/>
      <family val="2"/>
    </font>
    <font>
      <i/>
      <sz val="10"/>
      <color theme="1"/>
      <name val="Franklin Gothic Book"/>
      <family val="2"/>
    </font>
    <font>
      <sz val="9"/>
      <name val="Franklin Gothic Book"/>
      <family val="2"/>
    </font>
    <font>
      <sz val="9"/>
      <color rgb="FFFF0000"/>
      <name val="Franklin Gothic Book"/>
      <family val="2"/>
    </font>
    <font>
      <b/>
      <sz val="10"/>
      <color rgb="FF00B050"/>
      <name val="Franklin Gothic Book"/>
      <family val="2"/>
    </font>
    <font>
      <sz val="14"/>
      <color theme="1"/>
      <name val="Franklin Gothic Book"/>
      <family val="2"/>
    </font>
    <font>
      <b/>
      <sz val="9"/>
      <color theme="2"/>
      <name val="Franklin Gothic Book"/>
      <family val="2"/>
    </font>
    <font>
      <sz val="9"/>
      <color theme="2"/>
      <name val="Franklin Gothic Book"/>
      <family val="2"/>
    </font>
    <font>
      <b/>
      <sz val="10"/>
      <color rgb="FFFF0000"/>
      <name val="Franklin Gothic Book"/>
      <family val="2"/>
    </font>
    <font>
      <i/>
      <sz val="9"/>
      <name val="Franklin Gothic Book"/>
      <family val="2"/>
    </font>
    <font>
      <b/>
      <sz val="8"/>
      <name val="Franklin Gothic Book"/>
      <family val="2"/>
    </font>
    <font>
      <sz val="10"/>
      <color theme="7"/>
      <name val="Franklin Gothic Book"/>
      <family val="2"/>
    </font>
    <font>
      <sz val="9"/>
      <color theme="1"/>
      <name val="Calibri"/>
      <family val="2"/>
      <scheme val="minor"/>
    </font>
    <font>
      <b/>
      <sz val="10"/>
      <color theme="9"/>
      <name val="Franklin Gothic Book"/>
      <family val="2"/>
    </font>
    <font>
      <b/>
      <sz val="12"/>
      <color theme="0"/>
      <name val="Franklin Gothic Book"/>
      <family val="2"/>
    </font>
    <font>
      <sz val="12"/>
      <color theme="0"/>
      <name val="Franklin Gothic Book"/>
      <family val="2"/>
    </font>
    <font>
      <b/>
      <sz val="9"/>
      <color rgb="FFFF0000"/>
      <name val="Franklin Gothic Book"/>
      <family val="2"/>
    </font>
    <font>
      <i/>
      <sz val="9"/>
      <color theme="1"/>
      <name val="Franklin Gothic Book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b/>
      <sz val="11"/>
      <color theme="5" tint="-0.249977111117893"/>
      <name val="Calibri"/>
      <family val="2"/>
      <scheme val="minor"/>
    </font>
    <font>
      <b/>
      <sz val="9"/>
      <color theme="0"/>
      <name val="Franklin Gothic Book"/>
      <family val="2"/>
    </font>
    <font>
      <b/>
      <sz val="10"/>
      <color theme="0"/>
      <name val="Franklin Gothic Book"/>
      <family val="2"/>
    </font>
    <font>
      <b/>
      <sz val="16"/>
      <color theme="1"/>
      <name val="Franklin Gothic Book"/>
      <family val="2"/>
    </font>
    <font>
      <sz val="16"/>
      <color theme="1"/>
      <name val="Franklin Gothic Book"/>
      <family val="2"/>
    </font>
    <font>
      <sz val="16"/>
      <color rgb="FFFF0000"/>
      <name val="Franklin Gothic Book"/>
      <family val="2"/>
    </font>
    <font>
      <i/>
      <sz val="16"/>
      <color theme="1"/>
      <name val="Franklin Gothic Book"/>
      <family val="2"/>
    </font>
    <font>
      <b/>
      <sz val="7"/>
      <color theme="1"/>
      <name val="Franklin Gothic Book"/>
      <family val="2"/>
    </font>
    <font>
      <i/>
      <sz val="8"/>
      <name val="Franklin Gothic Book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162C"/>
        <bgColor indexed="64"/>
      </patternFill>
    </fill>
    <fill>
      <patternFill patternType="solid">
        <fgColor rgb="FF002D73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12" fillId="5" borderId="24">
      <alignment horizontal="center" vertical="center"/>
      <protection locked="0"/>
    </xf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435">
    <xf numFmtId="0" fontId="0" fillId="0" borderId="0" xfId="0"/>
    <xf numFmtId="6" fontId="7" fillId="0" borderId="1" xfId="1" applyNumberFormat="1" applyFont="1" applyBorder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6" fontId="7" fillId="0" borderId="1" xfId="1" applyNumberFormat="1" applyFont="1" applyBorder="1"/>
    <xf numFmtId="0" fontId="7" fillId="0" borderId="8" xfId="0" applyFont="1" applyBorder="1" applyAlignment="1">
      <alignment horizontal="center" vertical="center" wrapText="1"/>
    </xf>
    <xf numFmtId="6" fontId="7" fillId="0" borderId="5" xfId="1" applyNumberFormat="1" applyFont="1" applyBorder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6" fontId="8" fillId="0" borderId="1" xfId="1" applyNumberFormat="1" applyFont="1" applyBorder="1"/>
    <xf numFmtId="6" fontId="7" fillId="0" borderId="5" xfId="0" applyNumberFormat="1" applyFont="1" applyBorder="1"/>
    <xf numFmtId="6" fontId="13" fillId="0" borderId="1" xfId="1" applyNumberFormat="1" applyFont="1" applyBorder="1" applyAlignment="1">
      <alignment horizontal="center" vertical="center"/>
    </xf>
    <xf numFmtId="6" fontId="13" fillId="0" borderId="0" xfId="0" applyNumberFormat="1" applyFont="1" applyAlignment="1">
      <alignment horizontal="center" vertical="center"/>
    </xf>
    <xf numFmtId="10" fontId="15" fillId="0" borderId="0" xfId="2" applyNumberFormat="1" applyFont="1" applyAlignment="1">
      <alignment horizontal="center" vertical="center"/>
    </xf>
    <xf numFmtId="0" fontId="14" fillId="0" borderId="0" xfId="0" applyFont="1"/>
    <xf numFmtId="10" fontId="13" fillId="0" borderId="0" xfId="2" applyNumberFormat="1" applyFont="1" applyAlignment="1">
      <alignment horizontal="center" vertical="center"/>
    </xf>
    <xf numFmtId="6" fontId="7" fillId="0" borderId="9" xfId="2" applyNumberFormat="1" applyFont="1" applyBorder="1" applyAlignment="1">
      <alignment horizontal="right" vertical="center"/>
    </xf>
    <xf numFmtId="6" fontId="3" fillId="0" borderId="12" xfId="1" applyNumberFormat="1" applyFont="1" applyFill="1" applyBorder="1" applyAlignment="1">
      <alignment vertical="top"/>
    </xf>
    <xf numFmtId="0" fontId="3" fillId="0" borderId="25" xfId="0" applyFont="1" applyBorder="1"/>
    <xf numFmtId="6" fontId="3" fillId="0" borderId="0" xfId="0" applyNumberFormat="1" applyFont="1"/>
    <xf numFmtId="0" fontId="3" fillId="0" borderId="0" xfId="0" applyFont="1"/>
    <xf numFmtId="164" fontId="7" fillId="6" borderId="0" xfId="14" applyNumberFormat="1" applyFont="1" applyFill="1"/>
    <xf numFmtId="164" fontId="18" fillId="0" borderId="0" xfId="0" applyNumberFormat="1" applyFont="1"/>
    <xf numFmtId="6" fontId="3" fillId="0" borderId="25" xfId="0" applyNumberFormat="1" applyFont="1" applyBorder="1" applyAlignment="1">
      <alignment horizontal="center" vertical="center"/>
    </xf>
    <xf numFmtId="6" fontId="14" fillId="0" borderId="25" xfId="0" applyNumberFormat="1" applyFont="1" applyBorder="1" applyAlignment="1">
      <alignment horizontal="center" vertical="center"/>
    </xf>
    <xf numFmtId="10" fontId="19" fillId="0" borderId="25" xfId="2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6" fontId="3" fillId="0" borderId="1" xfId="1" applyNumberFormat="1" applyFont="1" applyBorder="1" applyAlignment="1">
      <alignment horizontal="center" vertical="center"/>
    </xf>
    <xf numFmtId="6" fontId="7" fillId="0" borderId="5" xfId="2" applyNumberFormat="1" applyFont="1" applyBorder="1" applyAlignment="1">
      <alignment horizontal="right" vertical="center"/>
    </xf>
    <xf numFmtId="6" fontId="17" fillId="0" borderId="11" xfId="0" applyNumberFormat="1" applyFont="1" applyBorder="1" applyAlignment="1">
      <alignment vertical="top"/>
    </xf>
    <xf numFmtId="6" fontId="9" fillId="0" borderId="5" xfId="1" applyNumberFormat="1" applyFont="1" applyBorder="1" applyAlignment="1">
      <alignment vertical="top"/>
    </xf>
    <xf numFmtId="165" fontId="20" fillId="0" borderId="1" xfId="1" applyNumberFormat="1" applyFont="1" applyBorder="1"/>
    <xf numFmtId="164" fontId="8" fillId="0" borderId="1" xfId="0" applyNumberFormat="1" applyFont="1" applyBorder="1"/>
    <xf numFmtId="10" fontId="13" fillId="0" borderId="1" xfId="2" applyNumberFormat="1" applyFont="1" applyBorder="1" applyAlignment="1">
      <alignment horizontal="center" vertical="center"/>
    </xf>
    <xf numFmtId="6" fontId="7" fillId="0" borderId="31" xfId="2" applyNumberFormat="1" applyFont="1" applyBorder="1" applyAlignment="1">
      <alignment horizontal="right" vertical="center"/>
    </xf>
    <xf numFmtId="0" fontId="7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0" fontId="13" fillId="3" borderId="5" xfId="2" applyNumberFormat="1" applyFont="1" applyFill="1" applyBorder="1" applyAlignment="1">
      <alignment horizontal="center" vertical="center" wrapText="1"/>
    </xf>
    <xf numFmtId="167" fontId="9" fillId="0" borderId="0" xfId="14" applyNumberFormat="1" applyFont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10" fontId="23" fillId="2" borderId="2" xfId="2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10" fontId="14" fillId="0" borderId="13" xfId="2" applyNumberFormat="1" applyFont="1" applyFill="1" applyBorder="1" applyAlignment="1">
      <alignment horizontal="center" vertical="center"/>
    </xf>
    <xf numFmtId="10" fontId="14" fillId="0" borderId="13" xfId="2" applyNumberFormat="1" applyFont="1" applyBorder="1" applyAlignment="1">
      <alignment horizontal="center" vertical="center"/>
    </xf>
    <xf numFmtId="10" fontId="14" fillId="0" borderId="16" xfId="2" applyNumberFormat="1" applyFont="1" applyBorder="1" applyAlignment="1">
      <alignment horizontal="center" vertical="center"/>
    </xf>
    <xf numFmtId="165" fontId="8" fillId="0" borderId="1" xfId="1" applyNumberFormat="1" applyFont="1" applyBorder="1"/>
    <xf numFmtId="10" fontId="14" fillId="0" borderId="0" xfId="2" applyNumberFormat="1" applyFont="1" applyAlignment="1">
      <alignment horizontal="center"/>
    </xf>
    <xf numFmtId="10" fontId="19" fillId="0" borderId="9" xfId="2" applyNumberFormat="1" applyFont="1" applyBorder="1" applyAlignment="1">
      <alignment horizontal="center" vertical="top"/>
    </xf>
    <xf numFmtId="10" fontId="19" fillId="0" borderId="31" xfId="2" applyNumberFormat="1" applyFont="1" applyBorder="1" applyAlignment="1">
      <alignment horizontal="center" vertical="top"/>
    </xf>
    <xf numFmtId="165" fontId="20" fillId="0" borderId="1" xfId="1" applyNumberFormat="1" applyFont="1" applyBorder="1" applyAlignment="1">
      <alignment horizontal="center"/>
    </xf>
    <xf numFmtId="10" fontId="15" fillId="0" borderId="5" xfId="2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10" fontId="14" fillId="0" borderId="30" xfId="2" applyNumberFormat="1" applyFont="1" applyBorder="1" applyAlignment="1">
      <alignment horizontal="center"/>
    </xf>
    <xf numFmtId="10" fontId="14" fillId="0" borderId="15" xfId="2" applyNumberFormat="1" applyFont="1" applyBorder="1" applyAlignment="1">
      <alignment horizontal="center"/>
    </xf>
    <xf numFmtId="10" fontId="14" fillId="0" borderId="17" xfId="2" applyNumberFormat="1" applyFont="1" applyBorder="1" applyAlignment="1">
      <alignment horizontal="center"/>
    </xf>
    <xf numFmtId="0" fontId="18" fillId="0" borderId="25" xfId="0" applyFont="1" applyBorder="1"/>
    <xf numFmtId="2" fontId="7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5" fillId="0" borderId="0" xfId="2" applyNumberFormat="1" applyFont="1" applyAlignment="1">
      <alignment horizontal="center" vertical="center"/>
    </xf>
    <xf numFmtId="2" fontId="13" fillId="0" borderId="0" xfId="2" applyNumberFormat="1" applyFont="1" applyAlignment="1">
      <alignment horizontal="center" vertical="center"/>
    </xf>
    <xf numFmtId="10" fontId="19" fillId="0" borderId="19" xfId="2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6" fontId="17" fillId="0" borderId="32" xfId="0" applyNumberFormat="1" applyFont="1" applyBorder="1" applyAlignment="1">
      <alignment vertical="top"/>
    </xf>
    <xf numFmtId="6" fontId="17" fillId="0" borderId="33" xfId="0" applyNumberFormat="1" applyFont="1" applyBorder="1" applyAlignment="1">
      <alignment vertical="top"/>
    </xf>
    <xf numFmtId="10" fontId="14" fillId="0" borderId="0" xfId="2" applyNumberFormat="1" applyFont="1"/>
    <xf numFmtId="10" fontId="14" fillId="0" borderId="0" xfId="2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6" fontId="3" fillId="0" borderId="27" xfId="1" applyNumberFormat="1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6" fontId="3" fillId="0" borderId="15" xfId="1" applyNumberFormat="1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6" xfId="0" applyFont="1" applyBorder="1" applyAlignment="1">
      <alignment horizontal="center" vertical="top"/>
    </xf>
    <xf numFmtId="6" fontId="3" fillId="0" borderId="17" xfId="1" applyNumberFormat="1" applyFont="1" applyFill="1" applyBorder="1" applyAlignment="1">
      <alignment vertical="top"/>
    </xf>
    <xf numFmtId="6" fontId="3" fillId="0" borderId="18" xfId="1" applyNumberFormat="1" applyFont="1" applyFill="1" applyBorder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6" fontId="3" fillId="0" borderId="1" xfId="1" applyNumberFormat="1" applyFont="1" applyBorder="1"/>
    <xf numFmtId="164" fontId="14" fillId="0" borderId="0" xfId="0" applyNumberFormat="1" applyFont="1" applyAlignment="1">
      <alignment horizontal="center"/>
    </xf>
    <xf numFmtId="164" fontId="14" fillId="0" borderId="0" xfId="0" applyNumberFormat="1" applyFont="1"/>
    <xf numFmtId="2" fontId="3" fillId="0" borderId="0" xfId="0" applyNumberFormat="1" applyFont="1"/>
    <xf numFmtId="2" fontId="14" fillId="0" borderId="0" xfId="0" applyNumberFormat="1" applyFont="1" applyAlignment="1">
      <alignment horizontal="center"/>
    </xf>
    <xf numFmtId="2" fontId="14" fillId="0" borderId="0" xfId="0" applyNumberFormat="1" applyFont="1"/>
    <xf numFmtId="0" fontId="3" fillId="0" borderId="0" xfId="0" applyFont="1" applyAlignment="1">
      <alignment vertical="top"/>
    </xf>
    <xf numFmtId="0" fontId="10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168" fontId="3" fillId="0" borderId="0" xfId="0" applyNumberFormat="1" applyFont="1"/>
    <xf numFmtId="42" fontId="3" fillId="0" borderId="0" xfId="1" applyNumberFormat="1" applyFont="1"/>
    <xf numFmtId="164" fontId="9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top"/>
    </xf>
    <xf numFmtId="0" fontId="3" fillId="0" borderId="3" xfId="0" applyFont="1" applyBorder="1" applyAlignment="1">
      <alignment horizontal="center"/>
    </xf>
    <xf numFmtId="6" fontId="7" fillId="0" borderId="29" xfId="2" applyNumberFormat="1" applyFont="1" applyBorder="1" applyAlignment="1">
      <alignment horizontal="right" vertical="center"/>
    </xf>
    <xf numFmtId="6" fontId="17" fillId="0" borderId="9" xfId="1" applyNumberFormat="1" applyFont="1" applyBorder="1" applyAlignment="1">
      <alignment vertical="top"/>
    </xf>
    <xf numFmtId="6" fontId="17" fillId="0" borderId="20" xfId="0" applyNumberFormat="1" applyFont="1" applyBorder="1" applyAlignment="1">
      <alignment vertical="top"/>
    </xf>
    <xf numFmtId="10" fontId="14" fillId="0" borderId="20" xfId="2" applyNumberFormat="1" applyFont="1" applyFill="1" applyBorder="1" applyAlignment="1">
      <alignment horizontal="center" vertical="center"/>
    </xf>
    <xf numFmtId="164" fontId="3" fillId="0" borderId="21" xfId="0" applyNumberFormat="1" applyFont="1" applyBorder="1"/>
    <xf numFmtId="0" fontId="3" fillId="0" borderId="38" xfId="0" applyFont="1" applyBorder="1" applyAlignment="1">
      <alignment horizontal="center" vertical="top"/>
    </xf>
    <xf numFmtId="6" fontId="7" fillId="0" borderId="28" xfId="2" applyNumberFormat="1" applyFont="1" applyBorder="1" applyAlignment="1">
      <alignment horizontal="right" vertical="center"/>
    </xf>
    <xf numFmtId="164" fontId="3" fillId="0" borderId="20" xfId="0" applyNumberFormat="1" applyFont="1" applyBorder="1"/>
    <xf numFmtId="0" fontId="3" fillId="0" borderId="39" xfId="0" applyFont="1" applyBorder="1" applyAlignment="1">
      <alignment horizontal="center" vertical="top"/>
    </xf>
    <xf numFmtId="42" fontId="3" fillId="0" borderId="0" xfId="1" applyNumberFormat="1" applyFont="1" applyFill="1"/>
    <xf numFmtId="6" fontId="7" fillId="0" borderId="37" xfId="2" applyNumberFormat="1" applyFont="1" applyBorder="1" applyAlignment="1">
      <alignment horizontal="right" vertical="center"/>
    </xf>
    <xf numFmtId="164" fontId="3" fillId="0" borderId="10" xfId="0" applyNumberFormat="1" applyFont="1" applyBorder="1"/>
    <xf numFmtId="0" fontId="3" fillId="0" borderId="28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top" wrapText="1"/>
    </xf>
    <xf numFmtId="44" fontId="19" fillId="0" borderId="0" xfId="1" applyFont="1" applyBorder="1" applyAlignment="1">
      <alignment horizontal="center" vertical="center"/>
    </xf>
    <xf numFmtId="10" fontId="7" fillId="0" borderId="0" xfId="2" applyNumberFormat="1" applyFont="1" applyAlignment="1">
      <alignment horizontal="right" vertical="center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10" fontId="14" fillId="0" borderId="9" xfId="2" applyNumberFormat="1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169" fontId="23" fillId="4" borderId="2" xfId="2" applyNumberFormat="1" applyFont="1" applyFill="1" applyBorder="1" applyAlignment="1">
      <alignment horizontal="center" vertical="center" wrapText="1"/>
    </xf>
    <xf numFmtId="169" fontId="14" fillId="0" borderId="20" xfId="2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169" fontId="14" fillId="0" borderId="21" xfId="2" applyNumberFormat="1" applyFont="1" applyBorder="1" applyAlignment="1">
      <alignment horizontal="center"/>
    </xf>
    <xf numFmtId="6" fontId="13" fillId="0" borderId="1" xfId="1" applyNumberFormat="1" applyFont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 vertical="top" wrapText="1"/>
    </xf>
    <xf numFmtId="6" fontId="14" fillId="0" borderId="0" xfId="0" applyNumberFormat="1" applyFont="1" applyAlignment="1">
      <alignment horizontal="center"/>
    </xf>
    <xf numFmtId="164" fontId="3" fillId="0" borderId="26" xfId="0" applyNumberFormat="1" applyFont="1" applyBorder="1"/>
    <xf numFmtId="169" fontId="14" fillId="0" borderId="10" xfId="2" applyNumberFormat="1" applyFont="1" applyBorder="1" applyAlignment="1">
      <alignment horizontal="center"/>
    </xf>
    <xf numFmtId="164" fontId="3" fillId="0" borderId="14" xfId="0" applyNumberFormat="1" applyFont="1" applyBorder="1"/>
    <xf numFmtId="164" fontId="3" fillId="0" borderId="22" xfId="0" applyNumberFormat="1" applyFont="1" applyBorder="1"/>
    <xf numFmtId="10" fontId="14" fillId="0" borderId="10" xfId="2" applyNumberFormat="1" applyFont="1" applyFill="1" applyBorder="1" applyAlignment="1">
      <alignment horizontal="center" vertical="center"/>
    </xf>
    <xf numFmtId="6" fontId="17" fillId="0" borderId="10" xfId="0" applyNumberFormat="1" applyFont="1" applyBorder="1" applyAlignment="1">
      <alignment vertical="top"/>
    </xf>
    <xf numFmtId="6" fontId="17" fillId="0" borderId="19" xfId="1" applyNumberFormat="1" applyFont="1" applyBorder="1" applyAlignment="1">
      <alignment vertical="top"/>
    </xf>
    <xf numFmtId="10" fontId="14" fillId="0" borderId="21" xfId="2" applyNumberFormat="1" applyFont="1" applyFill="1" applyBorder="1" applyAlignment="1">
      <alignment horizontal="center" vertical="center"/>
    </xf>
    <xf numFmtId="6" fontId="17" fillId="0" borderId="21" xfId="0" applyNumberFormat="1" applyFont="1" applyBorder="1" applyAlignment="1">
      <alignment vertical="top"/>
    </xf>
    <xf numFmtId="6" fontId="17" fillId="0" borderId="31" xfId="1" applyNumberFormat="1" applyFont="1" applyBorder="1" applyAlignment="1">
      <alignment vertical="top"/>
    </xf>
    <xf numFmtId="0" fontId="2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6" fontId="3" fillId="0" borderId="9" xfId="0" applyNumberFormat="1" applyFont="1" applyBorder="1"/>
    <xf numFmtId="6" fontId="3" fillId="0" borderId="31" xfId="0" applyNumberFormat="1" applyFont="1" applyBorder="1"/>
    <xf numFmtId="6" fontId="7" fillId="0" borderId="5" xfId="1" applyNumberFormat="1" applyFont="1" applyBorder="1" applyAlignment="1">
      <alignment horizontal="right" vertical="center"/>
    </xf>
    <xf numFmtId="6" fontId="3" fillId="0" borderId="19" xfId="0" applyNumberFormat="1" applyFont="1" applyBorder="1"/>
    <xf numFmtId="6" fontId="7" fillId="0" borderId="19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169" fontId="19" fillId="0" borderId="32" xfId="2" applyNumberFormat="1" applyFont="1" applyBorder="1" applyAlignment="1">
      <alignment horizontal="center" vertical="top"/>
    </xf>
    <xf numFmtId="169" fontId="19" fillId="0" borderId="11" xfId="2" applyNumberFormat="1" applyFont="1" applyBorder="1" applyAlignment="1">
      <alignment horizontal="center" vertical="top"/>
    </xf>
    <xf numFmtId="169" fontId="19" fillId="0" borderId="33" xfId="2" applyNumberFormat="1" applyFont="1" applyBorder="1" applyAlignment="1">
      <alignment horizontal="center" vertical="top"/>
    </xf>
    <xf numFmtId="6" fontId="3" fillId="0" borderId="9" xfId="2" applyNumberFormat="1" applyFont="1" applyBorder="1" applyAlignment="1">
      <alignment horizontal="right" vertical="center"/>
    </xf>
    <xf numFmtId="10" fontId="9" fillId="0" borderId="0" xfId="2" applyNumberFormat="1" applyFont="1" applyAlignment="1">
      <alignment horizontal="center" vertical="center"/>
    </xf>
    <xf numFmtId="6" fontId="7" fillId="0" borderId="0" xfId="0" applyNumberFormat="1" applyFont="1"/>
    <xf numFmtId="43" fontId="27" fillId="0" borderId="0" xfId="14" applyFont="1" applyAlignment="1">
      <alignment horizontal="center" vertical="center"/>
    </xf>
    <xf numFmtId="43" fontId="15" fillId="0" borderId="0" xfId="14" applyFont="1" applyAlignment="1">
      <alignment horizontal="center" vertical="center"/>
    </xf>
    <xf numFmtId="43" fontId="13" fillId="0" borderId="0" xfId="14" applyFont="1" applyAlignment="1">
      <alignment horizontal="center" vertical="center"/>
    </xf>
    <xf numFmtId="8" fontId="14" fillId="0" borderId="0" xfId="0" applyNumberFormat="1" applyFont="1"/>
    <xf numFmtId="8" fontId="13" fillId="0" borderId="0" xfId="0" applyNumberFormat="1" applyFont="1" applyAlignment="1">
      <alignment horizontal="center" vertical="center"/>
    </xf>
    <xf numFmtId="43" fontId="23" fillId="2" borderId="2" xfId="14" applyFont="1" applyFill="1" applyBorder="1" applyAlignment="1">
      <alignment horizontal="right" vertical="top" wrapText="1"/>
    </xf>
    <xf numFmtId="10" fontId="23" fillId="2" borderId="2" xfId="2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vertical="top" wrapText="1"/>
    </xf>
    <xf numFmtId="10" fontId="13" fillId="3" borderId="5" xfId="2" applyNumberFormat="1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vertical="top" wrapText="1"/>
    </xf>
    <xf numFmtId="10" fontId="14" fillId="0" borderId="28" xfId="2" applyNumberFormat="1" applyFont="1" applyFill="1" applyBorder="1" applyAlignment="1">
      <alignment horizontal="center" vertical="center"/>
    </xf>
    <xf numFmtId="6" fontId="7" fillId="0" borderId="16" xfId="2" applyNumberFormat="1" applyFont="1" applyBorder="1" applyAlignment="1">
      <alignment horizontal="right" vertical="center"/>
    </xf>
    <xf numFmtId="10" fontId="13" fillId="0" borderId="16" xfId="2" applyNumberFormat="1" applyFont="1" applyBorder="1" applyAlignment="1">
      <alignment horizontal="center" vertical="center"/>
    </xf>
    <xf numFmtId="6" fontId="7" fillId="0" borderId="17" xfId="1" applyNumberFormat="1" applyFont="1" applyBorder="1" applyAlignment="1">
      <alignment vertical="top"/>
    </xf>
    <xf numFmtId="6" fontId="3" fillId="0" borderId="21" xfId="1" applyNumberFormat="1" applyFont="1" applyBorder="1" applyAlignment="1">
      <alignment vertical="top"/>
    </xf>
    <xf numFmtId="6" fontId="3" fillId="0" borderId="18" xfId="1" applyNumberFormat="1" applyFont="1" applyBorder="1" applyAlignment="1">
      <alignment vertical="top"/>
    </xf>
    <xf numFmtId="6" fontId="3" fillId="0" borderId="22" xfId="1" applyNumberFormat="1" applyFont="1" applyBorder="1" applyAlignment="1">
      <alignment vertical="top"/>
    </xf>
    <xf numFmtId="6" fontId="7" fillId="0" borderId="16" xfId="1" applyNumberFormat="1" applyFont="1" applyBorder="1" applyAlignment="1">
      <alignment vertical="top"/>
    </xf>
    <xf numFmtId="6" fontId="11" fillId="0" borderId="21" xfId="1" applyNumberFormat="1" applyFont="1" applyBorder="1" applyAlignment="1">
      <alignment vertical="top"/>
    </xf>
    <xf numFmtId="6" fontId="7" fillId="0" borderId="21" xfId="1" applyNumberFormat="1" applyFont="1" applyBorder="1" applyAlignment="1">
      <alignment vertical="top"/>
    </xf>
    <xf numFmtId="6" fontId="7" fillId="0" borderId="41" xfId="1" applyNumberFormat="1" applyFont="1" applyBorder="1" applyAlignment="1">
      <alignment vertical="top"/>
    </xf>
    <xf numFmtId="6" fontId="7" fillId="0" borderId="13" xfId="2" applyNumberFormat="1" applyFont="1" applyBorder="1" applyAlignment="1">
      <alignment horizontal="right" vertical="center"/>
    </xf>
    <xf numFmtId="6" fontId="3" fillId="0" borderId="12" xfId="1" applyNumberFormat="1" applyFont="1" applyBorder="1" applyAlignment="1">
      <alignment vertical="top"/>
    </xf>
    <xf numFmtId="10" fontId="13" fillId="0" borderId="13" xfId="2" applyNumberFormat="1" applyFont="1" applyBorder="1" applyAlignment="1">
      <alignment horizontal="center" vertical="center"/>
    </xf>
    <xf numFmtId="6" fontId="7" fillId="0" borderId="15" xfId="1" applyNumberFormat="1" applyFont="1" applyBorder="1" applyAlignment="1">
      <alignment vertical="top"/>
    </xf>
    <xf numFmtId="6" fontId="3" fillId="0" borderId="14" xfId="1" applyNumberFormat="1" applyFont="1" applyBorder="1" applyAlignment="1">
      <alignment vertical="top"/>
    </xf>
    <xf numFmtId="6" fontId="7" fillId="0" borderId="13" xfId="1" applyNumberFormat="1" applyFont="1" applyBorder="1" applyAlignment="1">
      <alignment vertical="top"/>
    </xf>
    <xf numFmtId="6" fontId="11" fillId="0" borderId="20" xfId="1" applyNumberFormat="1" applyFont="1" applyBorder="1" applyAlignment="1">
      <alignment vertical="top"/>
    </xf>
    <xf numFmtId="6" fontId="7" fillId="0" borderId="20" xfId="1" applyNumberFormat="1" applyFont="1" applyBorder="1" applyAlignment="1">
      <alignment vertical="top"/>
    </xf>
    <xf numFmtId="6" fontId="7" fillId="0" borderId="23" xfId="1" applyNumberFormat="1" applyFont="1" applyBorder="1" applyAlignment="1">
      <alignment vertical="top"/>
    </xf>
    <xf numFmtId="6" fontId="3" fillId="0" borderId="20" xfId="1" applyNumberFormat="1" applyFont="1" applyBorder="1" applyAlignment="1">
      <alignment vertical="top"/>
    </xf>
    <xf numFmtId="6" fontId="3" fillId="0" borderId="20" xfId="1" applyNumberFormat="1" applyFont="1" applyFill="1" applyBorder="1" applyAlignment="1">
      <alignment vertical="top"/>
    </xf>
    <xf numFmtId="6" fontId="28" fillId="0" borderId="20" xfId="1" applyNumberFormat="1" applyFont="1" applyBorder="1" applyAlignment="1">
      <alignment vertical="top"/>
    </xf>
    <xf numFmtId="6" fontId="7" fillId="0" borderId="13" xfId="2" applyNumberFormat="1" applyFont="1" applyFill="1" applyBorder="1" applyAlignment="1">
      <alignment horizontal="right" vertical="center"/>
    </xf>
    <xf numFmtId="10" fontId="13" fillId="0" borderId="13" xfId="2" applyNumberFormat="1" applyFont="1" applyFill="1" applyBorder="1" applyAlignment="1">
      <alignment horizontal="center" vertical="center"/>
    </xf>
    <xf numFmtId="6" fontId="7" fillId="0" borderId="15" xfId="1" applyNumberFormat="1" applyFont="1" applyFill="1" applyBorder="1" applyAlignment="1">
      <alignment vertical="top"/>
    </xf>
    <xf numFmtId="6" fontId="3" fillId="0" borderId="14" xfId="1" applyNumberFormat="1" applyFont="1" applyFill="1" applyBorder="1" applyAlignment="1">
      <alignment vertical="top"/>
    </xf>
    <xf numFmtId="6" fontId="7" fillId="0" borderId="13" xfId="1" applyNumberFormat="1" applyFont="1" applyFill="1" applyBorder="1" applyAlignment="1">
      <alignment vertical="top"/>
    </xf>
    <xf numFmtId="6" fontId="11" fillId="0" borderId="20" xfId="1" applyNumberFormat="1" applyFont="1" applyFill="1" applyBorder="1" applyAlignment="1">
      <alignment vertical="top"/>
    </xf>
    <xf numFmtId="6" fontId="7" fillId="0" borderId="20" xfId="1" applyNumberFormat="1" applyFont="1" applyFill="1" applyBorder="1" applyAlignment="1">
      <alignment vertical="top"/>
    </xf>
    <xf numFmtId="6" fontId="7" fillId="0" borderId="23" xfId="1" applyNumberFormat="1" applyFont="1" applyFill="1" applyBorder="1" applyAlignment="1">
      <alignment vertical="top"/>
    </xf>
    <xf numFmtId="10" fontId="13" fillId="0" borderId="19" xfId="2" applyNumberFormat="1" applyFont="1" applyBorder="1" applyAlignment="1">
      <alignment horizontal="center" vertical="center"/>
    </xf>
    <xf numFmtId="6" fontId="7" fillId="0" borderId="27" xfId="1" applyNumberFormat="1" applyFont="1" applyBorder="1" applyAlignment="1">
      <alignment vertical="top"/>
    </xf>
    <xf numFmtId="6" fontId="3" fillId="0" borderId="10" xfId="1" applyNumberFormat="1" applyFont="1" applyBorder="1" applyAlignment="1">
      <alignment vertical="top"/>
    </xf>
    <xf numFmtId="6" fontId="3" fillId="0" borderId="42" xfId="1" applyNumberFormat="1" applyFont="1" applyFill="1" applyBorder="1" applyAlignment="1">
      <alignment vertical="top"/>
    </xf>
    <xf numFmtId="6" fontId="3" fillId="0" borderId="26" xfId="1" applyNumberFormat="1" applyFont="1" applyFill="1" applyBorder="1" applyAlignment="1">
      <alignment vertical="top"/>
    </xf>
    <xf numFmtId="6" fontId="7" fillId="0" borderId="19" xfId="1" applyNumberFormat="1" applyFont="1" applyBorder="1" applyAlignment="1">
      <alignment vertical="top"/>
    </xf>
    <xf numFmtId="6" fontId="11" fillId="0" borderId="10" xfId="1" applyNumberFormat="1" applyFont="1" applyBorder="1" applyAlignment="1">
      <alignment vertical="top"/>
    </xf>
    <xf numFmtId="6" fontId="7" fillId="0" borderId="10" xfId="1" applyNumberFormat="1" applyFont="1" applyBorder="1" applyAlignment="1">
      <alignment vertical="top"/>
    </xf>
    <xf numFmtId="6" fontId="7" fillId="0" borderId="42" xfId="1" applyNumberFormat="1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10" fontId="7" fillId="0" borderId="5" xfId="2" applyNumberFormat="1" applyFont="1" applyFill="1" applyBorder="1" applyAlignment="1">
      <alignment horizontal="center" vertical="center" wrapText="1"/>
    </xf>
    <xf numFmtId="10" fontId="7" fillId="0" borderId="2" xfId="2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164" fontId="17" fillId="0" borderId="0" xfId="2" applyNumberFormat="1" applyFont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1" fillId="0" borderId="0" xfId="23"/>
    <xf numFmtId="0" fontId="16" fillId="0" borderId="0" xfId="23" applyFont="1"/>
    <xf numFmtId="165" fontId="16" fillId="0" borderId="20" xfId="21" applyNumberFormat="1" applyFont="1" applyBorder="1"/>
    <xf numFmtId="0" fontId="31" fillId="4" borderId="20" xfId="23" applyFont="1" applyFill="1" applyBorder="1"/>
    <xf numFmtId="165" fontId="1" fillId="0" borderId="20" xfId="21" applyNumberFormat="1" applyFont="1" applyFill="1" applyBorder="1"/>
    <xf numFmtId="165" fontId="1" fillId="0" borderId="20" xfId="21" applyNumberFormat="1" applyFont="1" applyBorder="1"/>
    <xf numFmtId="0" fontId="32" fillId="4" borderId="20" xfId="23" applyFont="1" applyFill="1" applyBorder="1"/>
    <xf numFmtId="44" fontId="1" fillId="0" borderId="0" xfId="23" applyNumberFormat="1"/>
    <xf numFmtId="10" fontId="1" fillId="0" borderId="0" xfId="2" applyNumberFormat="1" applyFont="1"/>
    <xf numFmtId="0" fontId="1" fillId="0" borderId="0" xfId="23" applyAlignment="1">
      <alignment wrapText="1"/>
    </xf>
    <xf numFmtId="0" fontId="31" fillId="2" borderId="20" xfId="23" applyFont="1" applyFill="1" applyBorder="1" applyAlignment="1">
      <alignment horizontal="center" vertical="center" wrapText="1"/>
    </xf>
    <xf numFmtId="0" fontId="3" fillId="0" borderId="0" xfId="24" applyFont="1"/>
    <xf numFmtId="10" fontId="3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0" fontId="3" fillId="0" borderId="0" xfId="24" applyFont="1" applyAlignment="1">
      <alignment horizontal="center" vertical="center"/>
    </xf>
    <xf numFmtId="10" fontId="7" fillId="0" borderId="0" xfId="2" applyNumberFormat="1" applyFont="1" applyBorder="1"/>
    <xf numFmtId="165" fontId="7" fillId="0" borderId="0" xfId="1" applyNumberFormat="1" applyFont="1" applyBorder="1" applyAlignment="1">
      <alignment horizontal="center" vertical="center"/>
    </xf>
    <xf numFmtId="0" fontId="7" fillId="0" borderId="0" xfId="24" applyFont="1" applyAlignment="1">
      <alignment horizontal="center" vertical="center"/>
    </xf>
    <xf numFmtId="167" fontId="7" fillId="8" borderId="5" xfId="14" applyNumberFormat="1" applyFont="1" applyFill="1" applyBorder="1" applyAlignment="1">
      <alignment horizontal="right"/>
    </xf>
    <xf numFmtId="165" fontId="7" fillId="0" borderId="34" xfId="1" applyNumberFormat="1" applyFont="1" applyBorder="1" applyAlignment="1">
      <alignment horizontal="center" vertical="center"/>
    </xf>
    <xf numFmtId="0" fontId="7" fillId="0" borderId="0" xfId="24" applyFont="1" applyAlignment="1">
      <alignment horizontal="right" vertical="center"/>
    </xf>
    <xf numFmtId="10" fontId="3" fillId="0" borderId="0" xfId="2" applyNumberFormat="1" applyFont="1" applyBorder="1"/>
    <xf numFmtId="165" fontId="3" fillId="0" borderId="0" xfId="1" applyNumberFormat="1" applyFont="1" applyBorder="1" applyAlignment="1">
      <alignment horizontal="center" vertical="center"/>
    </xf>
    <xf numFmtId="10" fontId="3" fillId="0" borderId="36" xfId="2" applyNumberFormat="1" applyFont="1" applyBorder="1"/>
    <xf numFmtId="165" fontId="3" fillId="0" borderId="36" xfId="1" applyNumberFormat="1" applyFont="1" applyBorder="1" applyAlignment="1">
      <alignment horizontal="center" vertical="center"/>
    </xf>
    <xf numFmtId="0" fontId="7" fillId="0" borderId="36" xfId="24" applyFont="1" applyBorder="1" applyAlignment="1">
      <alignment horizontal="center" vertical="center"/>
    </xf>
    <xf numFmtId="10" fontId="3" fillId="0" borderId="7" xfId="2" applyNumberFormat="1" applyFont="1" applyBorder="1"/>
    <xf numFmtId="165" fontId="7" fillId="0" borderId="2" xfId="1" applyNumberFormat="1" applyFont="1" applyBorder="1" applyAlignment="1">
      <alignment horizontal="center" vertical="center"/>
    </xf>
    <xf numFmtId="10" fontId="3" fillId="0" borderId="43" xfId="2" applyNumberFormat="1" applyFont="1" applyBorder="1"/>
    <xf numFmtId="165" fontId="3" fillId="0" borderId="44" xfId="1" applyNumberFormat="1" applyFont="1" applyBorder="1" applyAlignment="1">
      <alignment horizontal="center" vertical="center"/>
    </xf>
    <xf numFmtId="0" fontId="3" fillId="0" borderId="25" xfId="24" applyFont="1" applyBorder="1" applyAlignment="1">
      <alignment horizontal="center" vertical="center"/>
    </xf>
    <xf numFmtId="0" fontId="3" fillId="0" borderId="43" xfId="24" applyFont="1" applyBorder="1"/>
    <xf numFmtId="10" fontId="3" fillId="0" borderId="14" xfId="2" applyNumberFormat="1" applyFont="1" applyBorder="1"/>
    <xf numFmtId="165" fontId="3" fillId="0" borderId="9" xfId="1" applyNumberFormat="1" applyFont="1" applyBorder="1" applyAlignment="1">
      <alignment horizontal="center" vertical="center"/>
    </xf>
    <xf numFmtId="0" fontId="3" fillId="0" borderId="20" xfId="24" applyFont="1" applyBorder="1" applyAlignment="1">
      <alignment horizontal="center" vertical="center"/>
    </xf>
    <xf numFmtId="0" fontId="3" fillId="0" borderId="14" xfId="24" applyFont="1" applyBorder="1"/>
    <xf numFmtId="10" fontId="3" fillId="8" borderId="14" xfId="2" applyNumberFormat="1" applyFont="1" applyFill="1" applyBorder="1"/>
    <xf numFmtId="10" fontId="3" fillId="0" borderId="35" xfId="2" applyNumberFormat="1" applyFont="1" applyBorder="1"/>
    <xf numFmtId="0" fontId="3" fillId="0" borderId="36" xfId="24" applyFont="1" applyBorder="1" applyAlignment="1">
      <alignment horizontal="center" vertical="center"/>
    </xf>
    <xf numFmtId="0" fontId="3" fillId="0" borderId="35" xfId="24" applyFont="1" applyBorder="1"/>
    <xf numFmtId="10" fontId="3" fillId="0" borderId="5" xfId="2" applyNumberFormat="1" applyFont="1" applyBorder="1"/>
    <xf numFmtId="165" fontId="7" fillId="0" borderId="5" xfId="1" applyNumberFormat="1" applyFont="1" applyBorder="1" applyAlignment="1">
      <alignment horizontal="center" vertical="center"/>
    </xf>
    <xf numFmtId="10" fontId="3" fillId="8" borderId="35" xfId="2" applyNumberFormat="1" applyFont="1" applyFill="1" applyBorder="1"/>
    <xf numFmtId="10" fontId="3" fillId="8" borderId="43" xfId="2" applyNumberFormat="1" applyFont="1" applyFill="1" applyBorder="1"/>
    <xf numFmtId="10" fontId="3" fillId="0" borderId="14" xfId="2" applyNumberFormat="1" applyFont="1" applyFill="1" applyBorder="1"/>
    <xf numFmtId="10" fontId="3" fillId="8" borderId="45" xfId="2" applyNumberFormat="1" applyFont="1" applyFill="1" applyBorder="1"/>
    <xf numFmtId="10" fontId="7" fillId="0" borderId="34" xfId="2" applyNumberFormat="1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0" fontId="7" fillId="0" borderId="6" xfId="24" applyFont="1" applyBorder="1" applyAlignment="1">
      <alignment horizontal="center" vertical="center" wrapText="1"/>
    </xf>
    <xf numFmtId="0" fontId="7" fillId="0" borderId="34" xfId="24" applyFont="1" applyBorder="1" applyAlignment="1">
      <alignment horizontal="center" vertical="center" wrapText="1"/>
    </xf>
    <xf numFmtId="164" fontId="7" fillId="0" borderId="0" xfId="14" applyNumberFormat="1" applyFont="1" applyFill="1"/>
    <xf numFmtId="0" fontId="13" fillId="0" borderId="0" xfId="0" applyFont="1" applyAlignment="1">
      <alignment horizontal="center"/>
    </xf>
    <xf numFmtId="164" fontId="10" fillId="4" borderId="2" xfId="0" applyNumberFormat="1" applyFont="1" applyFill="1" applyBorder="1" applyAlignment="1">
      <alignment horizontal="right" vertical="center" wrapText="1"/>
    </xf>
    <xf numFmtId="10" fontId="23" fillId="4" borderId="2" xfId="2" applyNumberFormat="1" applyFont="1" applyFill="1" applyBorder="1" applyAlignment="1">
      <alignment horizontal="center" vertical="center" wrapText="1"/>
    </xf>
    <xf numFmtId="6" fontId="7" fillId="0" borderId="5" xfId="1" applyNumberFormat="1" applyFont="1" applyBorder="1" applyAlignment="1">
      <alignment horizontal="right" vertical="top"/>
    </xf>
    <xf numFmtId="164" fontId="9" fillId="9" borderId="5" xfId="0" applyNumberFormat="1" applyFont="1" applyFill="1" applyBorder="1" applyAlignment="1">
      <alignment vertical="top" wrapText="1"/>
    </xf>
    <xf numFmtId="164" fontId="10" fillId="2" borderId="2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6" fontId="7" fillId="0" borderId="29" xfId="1" applyNumberFormat="1" applyFont="1" applyBorder="1" applyAlignment="1">
      <alignment vertical="top"/>
    </xf>
    <xf numFmtId="6" fontId="17" fillId="0" borderId="16" xfId="0" applyNumberFormat="1" applyFont="1" applyBorder="1" applyAlignment="1">
      <alignment vertical="top"/>
    </xf>
    <xf numFmtId="169" fontId="14" fillId="10" borderId="17" xfId="2" applyNumberFormat="1" applyFont="1" applyFill="1" applyBorder="1" applyAlignment="1">
      <alignment horizontal="center"/>
    </xf>
    <xf numFmtId="164" fontId="3" fillId="10" borderId="21" xfId="0" applyNumberFormat="1" applyFont="1" applyFill="1" applyBorder="1"/>
    <xf numFmtId="169" fontId="14" fillId="10" borderId="21" xfId="2" applyNumberFormat="1" applyFont="1" applyFill="1" applyBorder="1" applyAlignment="1">
      <alignment horizontal="center"/>
    </xf>
    <xf numFmtId="164" fontId="3" fillId="10" borderId="22" xfId="0" applyNumberFormat="1" applyFont="1" applyFill="1" applyBorder="1"/>
    <xf numFmtId="10" fontId="14" fillId="0" borderId="31" xfId="2" applyNumberFormat="1" applyFont="1" applyFill="1" applyBorder="1" applyAlignment="1">
      <alignment horizontal="center" vertical="center"/>
    </xf>
    <xf numFmtId="164" fontId="3" fillId="0" borderId="17" xfId="0" applyNumberFormat="1" applyFont="1" applyBorder="1"/>
    <xf numFmtId="6" fontId="7" fillId="0" borderId="28" xfId="1" applyNumberFormat="1" applyFont="1" applyBorder="1" applyAlignment="1">
      <alignment vertical="top"/>
    </xf>
    <xf numFmtId="6" fontId="17" fillId="0" borderId="13" xfId="0" applyNumberFormat="1" applyFont="1" applyBorder="1" applyAlignment="1">
      <alignment vertical="top"/>
    </xf>
    <xf numFmtId="169" fontId="14" fillId="10" borderId="15" xfId="2" applyNumberFormat="1" applyFont="1" applyFill="1" applyBorder="1" applyAlignment="1">
      <alignment horizontal="center"/>
    </xf>
    <xf numFmtId="164" fontId="3" fillId="10" borderId="20" xfId="0" applyNumberFormat="1" applyFont="1" applyFill="1" applyBorder="1"/>
    <xf numFmtId="169" fontId="14" fillId="10" borderId="20" xfId="2" applyNumberFormat="1" applyFont="1" applyFill="1" applyBorder="1" applyAlignment="1">
      <alignment horizontal="center"/>
    </xf>
    <xf numFmtId="164" fontId="3" fillId="10" borderId="14" xfId="0" applyNumberFormat="1" applyFont="1" applyFill="1" applyBorder="1"/>
    <xf numFmtId="10" fontId="14" fillId="0" borderId="9" xfId="2" applyNumberFormat="1" applyFont="1" applyFill="1" applyBorder="1" applyAlignment="1">
      <alignment horizontal="center" vertical="center"/>
    </xf>
    <xf numFmtId="164" fontId="3" fillId="0" borderId="15" xfId="0" applyNumberFormat="1" applyFont="1" applyBorder="1"/>
    <xf numFmtId="6" fontId="7" fillId="0" borderId="37" xfId="1" applyNumberFormat="1" applyFont="1" applyBorder="1" applyAlignment="1">
      <alignment vertical="top"/>
    </xf>
    <xf numFmtId="6" fontId="17" fillId="0" borderId="19" xfId="0" applyNumberFormat="1" applyFont="1" applyBorder="1" applyAlignment="1">
      <alignment vertical="top"/>
    </xf>
    <xf numFmtId="169" fontId="14" fillId="10" borderId="27" xfId="2" applyNumberFormat="1" applyFont="1" applyFill="1" applyBorder="1" applyAlignment="1">
      <alignment horizontal="center"/>
    </xf>
    <xf numFmtId="164" fontId="3" fillId="10" borderId="10" xfId="0" applyNumberFormat="1" applyFont="1" applyFill="1" applyBorder="1"/>
    <xf numFmtId="169" fontId="14" fillId="10" borderId="10" xfId="2" applyNumberFormat="1" applyFont="1" applyFill="1" applyBorder="1" applyAlignment="1">
      <alignment horizontal="center"/>
    </xf>
    <xf numFmtId="164" fontId="3" fillId="10" borderId="26" xfId="0" applyNumberFormat="1" applyFont="1" applyFill="1" applyBorder="1"/>
    <xf numFmtId="10" fontId="14" fillId="0" borderId="19" xfId="2" applyNumberFormat="1" applyFont="1" applyFill="1" applyBorder="1" applyAlignment="1">
      <alignment horizontal="center" vertical="center"/>
    </xf>
    <xf numFmtId="164" fontId="3" fillId="0" borderId="27" xfId="0" applyNumberFormat="1" applyFont="1" applyBorder="1"/>
    <xf numFmtId="0" fontId="13" fillId="0" borderId="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69" fontId="15" fillId="9" borderId="2" xfId="2" applyNumberFormat="1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167" fontId="33" fillId="0" borderId="0" xfId="14" applyNumberFormat="1" applyFont="1" applyAlignment="1">
      <alignment horizontal="center" vertical="center"/>
    </xf>
    <xf numFmtId="166" fontId="9" fillId="0" borderId="5" xfId="2" applyNumberFormat="1" applyFont="1" applyBorder="1" applyAlignment="1">
      <alignment vertical="top"/>
    </xf>
    <xf numFmtId="6" fontId="7" fillId="0" borderId="5" xfId="1" applyNumberFormat="1" applyFont="1" applyFill="1" applyBorder="1" applyAlignment="1">
      <alignment vertical="top"/>
    </xf>
    <xf numFmtId="6" fontId="9" fillId="0" borderId="21" xfId="0" applyNumberFormat="1" applyFont="1" applyBorder="1" applyAlignment="1">
      <alignment vertical="top"/>
    </xf>
    <xf numFmtId="166" fontId="3" fillId="0" borderId="21" xfId="20" applyNumberFormat="1" applyFont="1" applyBorder="1" applyAlignment="1">
      <alignment vertical="top"/>
    </xf>
    <xf numFmtId="6" fontId="9" fillId="0" borderId="20" xfId="0" applyNumberFormat="1" applyFont="1" applyBorder="1" applyAlignment="1">
      <alignment vertical="top"/>
    </xf>
    <xf numFmtId="166" fontId="3" fillId="0" borderId="20" xfId="20" applyNumberFormat="1" applyFont="1" applyBorder="1" applyAlignment="1">
      <alignment vertical="top"/>
    </xf>
    <xf numFmtId="6" fontId="9" fillId="0" borderId="10" xfId="0" applyNumberFormat="1" applyFont="1" applyBorder="1" applyAlignment="1">
      <alignment vertical="top"/>
    </xf>
    <xf numFmtId="166" fontId="3" fillId="0" borderId="10" xfId="2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0" xfId="0" applyFont="1"/>
    <xf numFmtId="10" fontId="34" fillId="0" borderId="0" xfId="2" applyNumberFormat="1" applyFont="1" applyAlignment="1">
      <alignment horizontal="center" vertical="center"/>
    </xf>
    <xf numFmtId="10" fontId="34" fillId="0" borderId="0" xfId="2" applyNumberFormat="1" applyFont="1" applyAlignment="1">
      <alignment horizontal="center"/>
    </xf>
    <xf numFmtId="167" fontId="34" fillId="0" borderId="0" xfId="14" applyNumberFormat="1" applyFont="1"/>
    <xf numFmtId="10" fontId="14" fillId="0" borderId="27" xfId="2" applyNumberFormat="1" applyFont="1" applyBorder="1" applyAlignment="1">
      <alignment horizontal="center"/>
    </xf>
    <xf numFmtId="0" fontId="0" fillId="0" borderId="0" xfId="0" applyAlignment="1">
      <alignment vertical="top"/>
    </xf>
    <xf numFmtId="44" fontId="0" fillId="0" borderId="0" xfId="1" applyFont="1" applyAlignment="1">
      <alignment vertical="top"/>
    </xf>
    <xf numFmtId="0" fontId="36" fillId="0" borderId="0" xfId="0" applyFont="1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vertical="top"/>
    </xf>
    <xf numFmtId="0" fontId="35" fillId="0" borderId="0" xfId="0" applyFont="1" applyAlignment="1">
      <alignment vertical="top"/>
    </xf>
    <xf numFmtId="44" fontId="35" fillId="0" borderId="47" xfId="1" applyFont="1" applyBorder="1" applyAlignment="1">
      <alignment vertical="top"/>
    </xf>
    <xf numFmtId="0" fontId="35" fillId="0" borderId="36" xfId="0" applyFont="1" applyBorder="1" applyAlignment="1">
      <alignment vertical="top"/>
    </xf>
    <xf numFmtId="44" fontId="0" fillId="0" borderId="36" xfId="1" applyFont="1" applyFill="1" applyBorder="1" applyAlignment="1">
      <alignment vertical="center"/>
    </xf>
    <xf numFmtId="44" fontId="0" fillId="0" borderId="20" xfId="1" applyFont="1" applyFill="1" applyBorder="1" applyAlignment="1">
      <alignment vertical="center"/>
    </xf>
    <xf numFmtId="0" fontId="0" fillId="0" borderId="48" xfId="0" applyBorder="1" applyAlignment="1">
      <alignment horizontal="left" vertical="center"/>
    </xf>
    <xf numFmtId="44" fontId="0" fillId="0" borderId="20" xfId="0" applyNumberFormat="1" applyBorder="1" applyAlignment="1">
      <alignment vertical="top"/>
    </xf>
    <xf numFmtId="0" fontId="0" fillId="0" borderId="20" xfId="0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12" fillId="7" borderId="2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8" fillId="0" borderId="20" xfId="0" applyFont="1" applyBorder="1" applyAlignment="1">
      <alignment horizontal="center" wrapText="1"/>
    </xf>
    <xf numFmtId="44" fontId="37" fillId="11" borderId="20" xfId="1" applyFont="1" applyFill="1" applyBorder="1" applyAlignment="1">
      <alignment horizontal="center" vertical="center" wrapText="1"/>
    </xf>
    <xf numFmtId="0" fontId="37" fillId="12" borderId="20" xfId="0" applyFont="1" applyFill="1" applyBorder="1" applyAlignment="1">
      <alignment horizontal="center" vertical="center" wrapText="1"/>
    </xf>
    <xf numFmtId="44" fontId="37" fillId="12" borderId="20" xfId="1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44" fontId="38" fillId="13" borderId="47" xfId="1" applyFont="1" applyFill="1" applyBorder="1" applyAlignment="1">
      <alignment vertical="top"/>
    </xf>
    <xf numFmtId="0" fontId="40" fillId="2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6" fontId="3" fillId="9" borderId="27" xfId="1" applyNumberFormat="1" applyFont="1" applyFill="1" applyBorder="1" applyAlignment="1">
      <alignment vertical="top"/>
    </xf>
    <xf numFmtId="6" fontId="3" fillId="9" borderId="15" xfId="1" applyNumberFormat="1" applyFont="1" applyFill="1" applyBorder="1" applyAlignment="1">
      <alignment vertical="top"/>
    </xf>
    <xf numFmtId="6" fontId="3" fillId="9" borderId="17" xfId="1" applyNumberFormat="1" applyFont="1" applyFill="1" applyBorder="1" applyAlignment="1">
      <alignment vertical="top"/>
    </xf>
    <xf numFmtId="6" fontId="3" fillId="9" borderId="1" xfId="1" applyNumberFormat="1" applyFont="1" applyFill="1" applyBorder="1"/>
    <xf numFmtId="6" fontId="7" fillId="9" borderId="5" xfId="1" applyNumberFormat="1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center" wrapText="1"/>
    </xf>
    <xf numFmtId="6" fontId="3" fillId="0" borderId="21" xfId="1" applyNumberFormat="1" applyFont="1" applyFill="1" applyBorder="1" applyAlignment="1">
      <alignment vertical="top"/>
    </xf>
    <xf numFmtId="2" fontId="14" fillId="0" borderId="9" xfId="0" applyNumberFormat="1" applyFont="1" applyBorder="1"/>
    <xf numFmtId="0" fontId="29" fillId="0" borderId="13" xfId="0" applyFont="1" applyBorder="1"/>
    <xf numFmtId="0" fontId="14" fillId="0" borderId="13" xfId="0" applyFont="1" applyBorder="1"/>
    <xf numFmtId="2" fontId="14" fillId="0" borderId="13" xfId="0" applyNumberFormat="1" applyFont="1" applyBorder="1"/>
    <xf numFmtId="0" fontId="14" fillId="0" borderId="16" xfId="0" applyFont="1" applyBorder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6" fontId="7" fillId="0" borderId="4" xfId="0" applyNumberFormat="1" applyFont="1" applyBorder="1" applyAlignment="1">
      <alignment horizontal="right" vertical="center"/>
    </xf>
    <xf numFmtId="167" fontId="7" fillId="0" borderId="5" xfId="14" applyNumberFormat="1" applyFont="1" applyBorder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7" fontId="18" fillId="0" borderId="0" xfId="14" applyNumberFormat="1" applyFont="1" applyAlignment="1">
      <alignment horizontal="right" vertical="center"/>
    </xf>
    <xf numFmtId="0" fontId="18" fillId="0" borderId="0" xfId="0" applyFont="1" applyAlignment="1">
      <alignment horizontal="right"/>
    </xf>
    <xf numFmtId="0" fontId="42" fillId="0" borderId="0" xfId="15" applyFont="1"/>
    <xf numFmtId="165" fontId="42" fillId="0" borderId="0" xfId="16" applyNumberFormat="1" applyFont="1"/>
    <xf numFmtId="165" fontId="43" fillId="0" borderId="0" xfId="16" applyNumberFormat="1" applyFont="1"/>
    <xf numFmtId="170" fontId="44" fillId="0" borderId="0" xfId="2" applyNumberFormat="1" applyFont="1"/>
    <xf numFmtId="165" fontId="42" fillId="0" borderId="0" xfId="15" applyNumberFormat="1" applyFont="1"/>
    <xf numFmtId="0" fontId="44" fillId="0" borderId="0" xfId="15" applyFont="1"/>
    <xf numFmtId="165" fontId="44" fillId="0" borderId="0" xfId="16" applyNumberFormat="1" applyFont="1"/>
    <xf numFmtId="10" fontId="14" fillId="0" borderId="10" xfId="2" applyNumberFormat="1" applyFont="1" applyBorder="1" applyAlignment="1">
      <alignment horizontal="center"/>
    </xf>
    <xf numFmtId="10" fontId="14" fillId="0" borderId="20" xfId="2" applyNumberFormat="1" applyFont="1" applyBorder="1" applyAlignment="1">
      <alignment horizontal="center"/>
    </xf>
    <xf numFmtId="10" fontId="14" fillId="0" borderId="20" xfId="2" applyNumberFormat="1" applyFont="1" applyFill="1" applyBorder="1" applyAlignment="1">
      <alignment horizontal="center"/>
    </xf>
    <xf numFmtId="10" fontId="14" fillId="0" borderId="21" xfId="2" applyNumberFormat="1" applyFont="1" applyBorder="1" applyAlignment="1">
      <alignment horizontal="center"/>
    </xf>
    <xf numFmtId="165" fontId="41" fillId="0" borderId="49" xfId="16" applyNumberFormat="1" applyFont="1" applyBorder="1"/>
    <xf numFmtId="165" fontId="42" fillId="0" borderId="0" xfId="16" applyNumberFormat="1" applyFont="1" applyBorder="1"/>
    <xf numFmtId="10" fontId="9" fillId="9" borderId="5" xfId="2" applyNumberFormat="1" applyFont="1" applyFill="1" applyBorder="1" applyAlignment="1">
      <alignment horizontal="center" vertical="center" wrapText="1"/>
    </xf>
    <xf numFmtId="164" fontId="3" fillId="9" borderId="19" xfId="0" applyNumberFormat="1" applyFont="1" applyFill="1" applyBorder="1"/>
    <xf numFmtId="164" fontId="3" fillId="9" borderId="9" xfId="0" applyNumberFormat="1" applyFont="1" applyFill="1" applyBorder="1"/>
    <xf numFmtId="164" fontId="3" fillId="9" borderId="31" xfId="0" applyNumberFormat="1" applyFont="1" applyFill="1" applyBorder="1"/>
    <xf numFmtId="0" fontId="3" fillId="9" borderId="0" xfId="0" applyFont="1" applyFill="1"/>
    <xf numFmtId="164" fontId="7" fillId="9" borderId="5" xfId="1" applyNumberFormat="1" applyFont="1" applyFill="1" applyBorder="1" applyAlignment="1">
      <alignment vertical="top"/>
    </xf>
    <xf numFmtId="0" fontId="14" fillId="0" borderId="5" xfId="0" applyFont="1" applyBorder="1"/>
    <xf numFmtId="0" fontId="7" fillId="9" borderId="6" xfId="0" applyFont="1" applyFill="1" applyBorder="1" applyAlignment="1">
      <alignment horizontal="center" vertical="center" wrapText="1"/>
    </xf>
    <xf numFmtId="166" fontId="17" fillId="9" borderId="19" xfId="20" applyNumberFormat="1" applyFont="1" applyFill="1" applyBorder="1" applyAlignment="1">
      <alignment vertical="top"/>
    </xf>
    <xf numFmtId="166" fontId="17" fillId="9" borderId="13" xfId="20" applyNumberFormat="1" applyFont="1" applyFill="1" applyBorder="1" applyAlignment="1">
      <alignment vertical="top"/>
    </xf>
    <xf numFmtId="166" fontId="17" fillId="9" borderId="16" xfId="20" applyNumberFormat="1" applyFont="1" applyFill="1" applyBorder="1" applyAlignment="1">
      <alignment vertical="top"/>
    </xf>
    <xf numFmtId="165" fontId="20" fillId="9" borderId="1" xfId="1" applyNumberFormat="1" applyFont="1" applyFill="1" applyBorder="1"/>
    <xf numFmtId="166" fontId="15" fillId="9" borderId="5" xfId="2" applyNumberFormat="1" applyFont="1" applyFill="1" applyBorder="1" applyAlignment="1">
      <alignment vertical="top"/>
    </xf>
    <xf numFmtId="44" fontId="35" fillId="0" borderId="0" xfId="0" applyNumberFormat="1" applyFont="1"/>
    <xf numFmtId="0" fontId="7" fillId="9" borderId="8" xfId="0" applyFont="1" applyFill="1" applyBorder="1" applyAlignment="1">
      <alignment horizontal="center" vertical="center" wrapText="1"/>
    </xf>
    <xf numFmtId="167" fontId="3" fillId="0" borderId="0" xfId="14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165" fontId="17" fillId="0" borderId="0" xfId="1" applyNumberFormat="1" applyFont="1" applyBorder="1" applyAlignment="1">
      <alignment horizontal="center" vertical="center"/>
    </xf>
    <xf numFmtId="0" fontId="3" fillId="0" borderId="5" xfId="0" applyFont="1" applyBorder="1"/>
    <xf numFmtId="6" fontId="9" fillId="0" borderId="5" xfId="0" applyNumberFormat="1" applyFont="1" applyBorder="1"/>
    <xf numFmtId="0" fontId="40" fillId="4" borderId="4" xfId="0" applyFont="1" applyFill="1" applyBorder="1" applyAlignment="1">
      <alignment horizontal="center" vertical="center" wrapText="1"/>
    </xf>
    <xf numFmtId="164" fontId="46" fillId="0" borderId="0" xfId="2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right" vertical="center"/>
    </xf>
    <xf numFmtId="6" fontId="3" fillId="0" borderId="19" xfId="2" applyNumberFormat="1" applyFont="1" applyBorder="1" applyAlignment="1">
      <alignment horizontal="right" vertical="center"/>
    </xf>
    <xf numFmtId="6" fontId="3" fillId="0" borderId="31" xfId="2" applyNumberFormat="1" applyFont="1" applyBorder="1" applyAlignment="1">
      <alignment horizontal="right" vertical="center"/>
    </xf>
    <xf numFmtId="0" fontId="41" fillId="0" borderId="0" xfId="15" applyFont="1" applyAlignment="1">
      <alignment horizontal="center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vertical="top"/>
    </xf>
    <xf numFmtId="0" fontId="7" fillId="3" borderId="5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45" fillId="9" borderId="40" xfId="0" applyFont="1" applyFill="1" applyBorder="1" applyAlignment="1">
      <alignment horizontal="center" wrapText="1"/>
    </xf>
    <xf numFmtId="0" fontId="45" fillId="9" borderId="0" xfId="0" applyFont="1" applyFill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9" fillId="9" borderId="2" xfId="0" applyFont="1" applyFill="1" applyBorder="1" applyAlignment="1">
      <alignment horizontal="center" vertical="top" wrapText="1"/>
    </xf>
    <xf numFmtId="0" fontId="9" fillId="9" borderId="3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7" fillId="0" borderId="2" xfId="24" applyFont="1" applyBorder="1" applyAlignment="1">
      <alignment horizontal="center" vertical="center"/>
    </xf>
    <xf numFmtId="0" fontId="7" fillId="0" borderId="4" xfId="24" applyFont="1" applyBorder="1" applyAlignment="1">
      <alignment horizontal="center" vertical="center"/>
    </xf>
    <xf numFmtId="0" fontId="16" fillId="0" borderId="2" xfId="24" applyFont="1" applyBorder="1" applyAlignment="1">
      <alignment horizontal="center" vertical="top" wrapText="1"/>
    </xf>
    <xf numFmtId="0" fontId="16" fillId="0" borderId="3" xfId="24" applyFont="1" applyBorder="1" applyAlignment="1">
      <alignment horizontal="center" vertical="top" wrapText="1"/>
    </xf>
    <xf numFmtId="0" fontId="16" fillId="0" borderId="4" xfId="24" applyFont="1" applyBorder="1" applyAlignment="1">
      <alignment horizontal="center" vertical="top" wrapText="1"/>
    </xf>
    <xf numFmtId="0" fontId="42" fillId="0" borderId="2" xfId="24" applyFont="1" applyBorder="1" applyAlignment="1">
      <alignment horizontal="center" vertical="center"/>
    </xf>
    <xf numFmtId="0" fontId="42" fillId="0" borderId="3" xfId="24" applyFont="1" applyBorder="1" applyAlignment="1">
      <alignment horizontal="center" vertical="center"/>
    </xf>
    <xf numFmtId="0" fontId="42" fillId="0" borderId="4" xfId="24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</cellXfs>
  <cellStyles count="25">
    <cellStyle name="Comma" xfId="14" builtinId="3"/>
    <cellStyle name="Comma 2" xfId="5" xr:uid="{2A681E24-D0D9-4A64-A7C3-94D76CC7B481}"/>
    <cellStyle name="Comma 2 2" xfId="20" xr:uid="{083DBF04-A74E-427C-B240-CE86B9E23ECC}"/>
    <cellStyle name="Currency" xfId="1" builtinId="4"/>
    <cellStyle name="Currency 2" xfId="4" xr:uid="{979A78FB-C7AA-4367-8426-EC76D4683AF9}"/>
    <cellStyle name="Currency 2 2" xfId="21" xr:uid="{DBA5DCBF-8376-4E12-85FF-205C35F7F151}"/>
    <cellStyle name="Currency 3" xfId="7" xr:uid="{442E720D-D10C-4E03-9056-2FA5C01C9752}"/>
    <cellStyle name="Currency 3 2" xfId="11" xr:uid="{705C7E37-D6D6-471B-A0DC-676B36DF1613}"/>
    <cellStyle name="Currency 3 2 2" xfId="18" xr:uid="{96D16B4A-5259-4B15-A14B-588C16522E35}"/>
    <cellStyle name="Currency 4" xfId="16" xr:uid="{EE9EB699-6190-46ED-BD65-73D09B970377}"/>
    <cellStyle name="Line 2 Report Information Fill In" xfId="13" xr:uid="{AD1DB3E6-82C2-4DB8-B28F-C3F37B54778E}"/>
    <cellStyle name="Normal" xfId="0" builtinId="0"/>
    <cellStyle name="Normal 2" xfId="12" xr:uid="{98D89331-6EF8-4F96-BE9D-0E0170F96707}"/>
    <cellStyle name="Normal 3" xfId="6" xr:uid="{5E287F0D-ACF6-4A31-B324-F0802FB8622C}"/>
    <cellStyle name="Normal 3 2" xfId="9" xr:uid="{B43F49E9-3BA6-4CE7-8EB2-0450C5AD6997}"/>
    <cellStyle name="Normal 3 2 2" xfId="17" xr:uid="{F92651E8-0C96-4DCC-AEC0-25AD7D60EB96}"/>
    <cellStyle name="Normal 3 2 3" xfId="24" xr:uid="{C0B3CD22-FB81-4973-87CE-7F5418C5794F}"/>
    <cellStyle name="Normal 3 3" xfId="23" xr:uid="{56A635DB-9A59-4D13-BCB9-30E35858FA44}"/>
    <cellStyle name="Normal 4" xfId="15" xr:uid="{62289CD8-9BA4-440C-B09F-2315A6CCD8EE}"/>
    <cellStyle name="Percent" xfId="2" builtinId="5"/>
    <cellStyle name="Percent 2" xfId="3" xr:uid="{39FFBDB5-EBDB-4434-94F3-3A9F24761576}"/>
    <cellStyle name="Percent 2 2" xfId="22" xr:uid="{2D1D581A-8455-4038-8310-5F444F7675F7}"/>
    <cellStyle name="Percent 3" xfId="8" xr:uid="{E63009D5-8F1A-48DC-872F-38CFD50B1C0C}"/>
    <cellStyle name="Percent 3 2" xfId="10" xr:uid="{9D64B549-1BB3-49D2-9372-AB4803435920}"/>
    <cellStyle name="Percent 3 2 2" xfId="19" xr:uid="{3A6ABBE7-7034-42EE-81EA-1BB428918064}"/>
  </cellStyles>
  <dxfs count="5">
    <dxf>
      <font>
        <color theme="4"/>
      </font>
    </dxf>
    <dxf>
      <font>
        <color theme="4"/>
      </font>
      <numFmt numFmtId="14" formatCode="0.00%"/>
    </dxf>
    <dxf>
      <font>
        <color theme="4"/>
      </font>
      <numFmt numFmtId="14" formatCode="0.00%"/>
    </dxf>
    <dxf>
      <font>
        <color theme="4"/>
      </font>
    </dxf>
    <dxf>
      <font>
        <color theme="4"/>
      </font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150812</xdr:colOff>
      <xdr:row>71</xdr:row>
      <xdr:rowOff>146185</xdr:rowOff>
    </xdr:from>
    <xdr:to>
      <xdr:col>8</xdr:col>
      <xdr:colOff>1094653</xdr:colOff>
      <xdr:row>76</xdr:row>
      <xdr:rowOff>35721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F36184-F19C-4568-8002-FD62A85F8107}"/>
            </a:ext>
          </a:extLst>
        </xdr:cNvPr>
        <xdr:cNvSpPr txBox="1"/>
      </xdr:nvSpPr>
      <xdr:spPr>
        <a:xfrm>
          <a:off x="3825875" y="14036810"/>
          <a:ext cx="943841" cy="84997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Unspent Budgeted Funds </a:t>
          </a:r>
        </a:p>
        <a:p>
          <a:pPr algn="ctr"/>
          <a:r>
            <a:rPr lang="en-US" sz="1100" b="1">
              <a:solidFill>
                <a:schemeClr val="accent2">
                  <a:lumMod val="75000"/>
                </a:schemeClr>
              </a:solidFill>
            </a:rPr>
            <a:t>(CFY 19-20)</a:t>
          </a:r>
        </a:p>
      </xdr:txBody>
    </xdr:sp>
    <xdr:clientData/>
  </xdr:twoCellAnchor>
  <xdr:twoCellAnchor>
    <xdr:from>
      <xdr:col>8</xdr:col>
      <xdr:colOff>615439</xdr:colOff>
      <xdr:row>70</xdr:row>
      <xdr:rowOff>15876</xdr:rowOff>
    </xdr:from>
    <xdr:to>
      <xdr:col>8</xdr:col>
      <xdr:colOff>615439</xdr:colOff>
      <xdr:row>71</xdr:row>
      <xdr:rowOff>140891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B15976F-68F4-40DF-AA4E-71A4257CD4A3}"/>
            </a:ext>
          </a:extLst>
        </xdr:cNvPr>
        <xdr:cNvCxnSpPr/>
      </xdr:nvCxnSpPr>
      <xdr:spPr>
        <a:xfrm flipV="1">
          <a:off x="4290502" y="13716001"/>
          <a:ext cx="0" cy="315515"/>
        </a:xfrm>
        <a:prstGeom prst="straightConnector1">
          <a:avLst/>
        </a:prstGeom>
        <a:ln w="381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- ND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AC162C"/>
      </a:accent1>
      <a:accent2>
        <a:srgbClr val="002D73"/>
      </a:accent2>
      <a:accent3>
        <a:srgbClr val="CFB53B"/>
      </a:accent3>
      <a:accent4>
        <a:srgbClr val="009959"/>
      </a:accent4>
      <a:accent5>
        <a:srgbClr val="FFFFFF"/>
      </a:accent5>
      <a:accent6>
        <a:srgbClr val="7F7F7F"/>
      </a:accent6>
      <a:hlink>
        <a:srgbClr val="002D73"/>
      </a:hlink>
      <a:folHlink>
        <a:srgbClr val="AC162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E6C21-4591-4666-B498-E14EF62D73DD}">
  <dimension ref="A1:C14"/>
  <sheetViews>
    <sheetView zoomScale="140" zoomScaleNormal="140" workbookViewId="0">
      <selection activeCell="A14" sqref="A14"/>
    </sheetView>
  </sheetViews>
  <sheetFormatPr defaultRowHeight="21" x14ac:dyDescent="0.35"/>
  <cols>
    <col min="1" max="1" width="91.28515625" style="358" customWidth="1"/>
    <col min="2" max="2" width="28.140625" style="358" customWidth="1"/>
    <col min="3" max="3" width="3.85546875" style="358" customWidth="1"/>
    <col min="4" max="16384" width="9.140625" style="358"/>
  </cols>
  <sheetData>
    <row r="1" spans="1:3" x14ac:dyDescent="0.35">
      <c r="A1" s="396" t="s">
        <v>75</v>
      </c>
      <c r="B1" s="396"/>
    </row>
    <row r="3" spans="1:3" x14ac:dyDescent="0.35">
      <c r="A3" s="358" t="s">
        <v>175</v>
      </c>
      <c r="B3" s="359">
        <v>432855670</v>
      </c>
    </row>
    <row r="4" spans="1:3" x14ac:dyDescent="0.35">
      <c r="A4" s="358" t="s">
        <v>177</v>
      </c>
      <c r="B4" s="359">
        <v>11050000</v>
      </c>
    </row>
    <row r="5" spans="1:3" x14ac:dyDescent="0.35">
      <c r="A5" s="358" t="s">
        <v>74</v>
      </c>
      <c r="B5" s="360">
        <f>B4*-0.1</f>
        <v>-1105000</v>
      </c>
      <c r="C5" s="360"/>
    </row>
    <row r="6" spans="1:3" ht="21.75" thickBot="1" x14ac:dyDescent="0.4">
      <c r="A6" s="358" t="s">
        <v>176</v>
      </c>
      <c r="B6" s="359">
        <v>2054573</v>
      </c>
    </row>
    <row r="7" spans="1:3" ht="21.75" thickTop="1" x14ac:dyDescent="0.35">
      <c r="B7" s="369">
        <f>SUM(B3:B6)</f>
        <v>444855243</v>
      </c>
    </row>
    <row r="8" spans="1:3" x14ac:dyDescent="0.35">
      <c r="B8" s="370"/>
    </row>
    <row r="9" spans="1:3" x14ac:dyDescent="0.35">
      <c r="A9" s="358" t="s">
        <v>178</v>
      </c>
      <c r="B9" s="359">
        <v>410000000</v>
      </c>
    </row>
    <row r="10" spans="1:3" x14ac:dyDescent="0.35">
      <c r="B10" s="359"/>
    </row>
    <row r="11" spans="1:3" s="363" customFormat="1" x14ac:dyDescent="0.35">
      <c r="A11" s="363" t="s">
        <v>73</v>
      </c>
      <c r="B11" s="364">
        <f>B7-B9</f>
        <v>34855243</v>
      </c>
    </row>
    <row r="12" spans="1:3" x14ac:dyDescent="0.35">
      <c r="B12" s="361">
        <f>B11/B9</f>
        <v>8.5012787804878046E-2</v>
      </c>
    </row>
    <row r="14" spans="1:3" x14ac:dyDescent="0.35">
      <c r="B14" s="362"/>
    </row>
  </sheetData>
  <mergeCells count="1">
    <mergeCell ref="A1:B1"/>
  </mergeCells>
  <printOptions horizontalCentered="1"/>
  <pageMargins left="1" right="1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304F-CD92-4320-A1EC-95A5F6CD7321}">
  <sheetPr>
    <pageSetUpPr fitToPage="1"/>
  </sheetPr>
  <dimension ref="A1:AG81"/>
  <sheetViews>
    <sheetView tabSelected="1" zoomScale="110" zoomScaleNormal="110" zoomScalePageLayoutView="55" workbookViewId="0">
      <pane xSplit="2" ySplit="3" topLeftCell="K59" activePane="bottomRight" state="frozen"/>
      <selection pane="topRight" activeCell="C1" sqref="C1"/>
      <selection pane="bottomLeft" activeCell="A3" sqref="A3"/>
      <selection pane="bottomRight" activeCell="P81" sqref="P80:P81"/>
    </sheetView>
  </sheetViews>
  <sheetFormatPr defaultColWidth="2.28515625" defaultRowHeight="13.5" x14ac:dyDescent="0.25"/>
  <cols>
    <col min="1" max="1" width="11.5703125" style="18" bestFit="1" customWidth="1"/>
    <col min="2" max="2" width="6.28515625" style="18" customWidth="1"/>
    <col min="3" max="3" width="17.42578125" style="18" hidden="1" customWidth="1"/>
    <col min="4" max="4" width="19.7109375" style="18" hidden="1" customWidth="1"/>
    <col min="5" max="5" width="15.5703125" style="18" hidden="1" customWidth="1"/>
    <col min="6" max="6" width="16.28515625" style="18" customWidth="1"/>
    <col min="7" max="7" width="14.42578125" style="18" customWidth="1"/>
    <col min="8" max="8" width="14.5703125" style="18" customWidth="1"/>
    <col min="9" max="9" width="12.7109375" style="18" customWidth="1"/>
    <col min="10" max="11" width="14.28515625" style="18" customWidth="1"/>
    <col min="12" max="12" width="16.5703125" style="2" customWidth="1"/>
    <col min="13" max="13" width="9" style="10" customWidth="1"/>
    <col min="14" max="15" width="13.28515625" style="18" customWidth="1"/>
    <col min="16" max="16" width="14.7109375" style="18" customWidth="1"/>
    <col min="17" max="17" width="14.85546875" style="18" customWidth="1"/>
    <col min="18" max="18" width="15.28515625" style="18" customWidth="1"/>
    <col min="19" max="19" width="13.5703125" style="18" customWidth="1"/>
    <col min="20" max="22" width="15.85546875" style="2" customWidth="1"/>
    <col min="23" max="23" width="8.28515625" style="11" customWidth="1"/>
    <col min="24" max="24" width="9.85546875" style="11" customWidth="1"/>
    <col min="25" max="25" width="16.140625" style="147" customWidth="1"/>
    <col min="26" max="16384" width="2.28515625" style="18"/>
  </cols>
  <sheetData>
    <row r="1" spans="1:33" ht="14.25" hidden="1" thickBot="1" x14ac:dyDescent="0.3">
      <c r="A1" s="16" t="s">
        <v>69</v>
      </c>
      <c r="B1" s="16"/>
      <c r="C1" s="16"/>
      <c r="D1" s="16"/>
      <c r="E1" s="16"/>
      <c r="F1" s="16"/>
      <c r="G1" s="16"/>
      <c r="H1" s="16"/>
      <c r="I1" s="209"/>
      <c r="J1" s="16"/>
      <c r="K1" s="16"/>
      <c r="L1" s="21"/>
      <c r="M1" s="22"/>
      <c r="N1" s="16"/>
      <c r="O1" s="16"/>
      <c r="P1" s="16"/>
      <c r="Q1" s="16"/>
      <c r="R1" s="16"/>
      <c r="S1" s="16"/>
      <c r="T1" s="21"/>
      <c r="U1" s="21"/>
      <c r="V1" s="21"/>
      <c r="W1" s="23"/>
      <c r="X1" s="208"/>
      <c r="Y1" s="207"/>
    </row>
    <row r="2" spans="1:33" s="86" customFormat="1" ht="30.75" customHeight="1" thickBot="1" x14ac:dyDescent="0.3">
      <c r="A2" s="402"/>
      <c r="B2" s="403"/>
      <c r="C2" s="403"/>
      <c r="D2" s="403"/>
      <c r="E2" s="403"/>
      <c r="F2" s="404"/>
      <c r="G2" s="407" t="s">
        <v>122</v>
      </c>
      <c r="H2" s="408"/>
      <c r="I2" s="408"/>
      <c r="J2" s="408"/>
      <c r="K2" s="409"/>
      <c r="L2" s="401" t="s">
        <v>80</v>
      </c>
      <c r="M2" s="401"/>
      <c r="N2" s="405" t="s">
        <v>121</v>
      </c>
      <c r="O2" s="406"/>
      <c r="P2" s="406"/>
      <c r="Q2" s="406"/>
      <c r="R2" s="406"/>
      <c r="S2" s="406"/>
      <c r="T2" s="406"/>
      <c r="U2" s="206"/>
      <c r="V2" s="397" t="s">
        <v>70</v>
      </c>
      <c r="W2" s="398"/>
      <c r="X2" s="398"/>
      <c r="Y2" s="399"/>
    </row>
    <row r="3" spans="1:33" s="201" customFormat="1" ht="81.75" thickBot="1" x14ac:dyDescent="0.3">
      <c r="A3" s="68" t="s">
        <v>0</v>
      </c>
      <c r="B3" s="69" t="s">
        <v>120</v>
      </c>
      <c r="C3" s="4" t="s">
        <v>119</v>
      </c>
      <c r="D3" s="6" t="s">
        <v>118</v>
      </c>
      <c r="E3" s="205" t="s">
        <v>117</v>
      </c>
      <c r="F3" s="335" t="s">
        <v>169</v>
      </c>
      <c r="G3" s="6" t="s">
        <v>116</v>
      </c>
      <c r="H3" s="6" t="s">
        <v>115</v>
      </c>
      <c r="I3" s="205" t="s">
        <v>114</v>
      </c>
      <c r="J3" s="336" t="s">
        <v>113</v>
      </c>
      <c r="K3" s="26" t="s">
        <v>112</v>
      </c>
      <c r="L3" s="342" t="s">
        <v>170</v>
      </c>
      <c r="M3" s="36" t="s">
        <v>111</v>
      </c>
      <c r="N3" s="4" t="s">
        <v>110</v>
      </c>
      <c r="O3" s="4" t="s">
        <v>109</v>
      </c>
      <c r="P3" s="4" t="s">
        <v>108</v>
      </c>
      <c r="Q3" s="4" t="s">
        <v>103</v>
      </c>
      <c r="R3" s="4" t="s">
        <v>107</v>
      </c>
      <c r="S3" s="4" t="s">
        <v>106</v>
      </c>
      <c r="T3" s="204" t="s">
        <v>105</v>
      </c>
      <c r="U3" s="203" t="s">
        <v>104</v>
      </c>
      <c r="V3" s="87" t="s">
        <v>168</v>
      </c>
      <c r="W3" s="39" t="s">
        <v>71</v>
      </c>
      <c r="X3" s="202" t="s">
        <v>103</v>
      </c>
      <c r="Y3" s="371" t="s">
        <v>102</v>
      </c>
      <c r="Z3" s="18"/>
      <c r="AA3" s="18"/>
      <c r="AB3" s="18"/>
      <c r="AC3" s="18"/>
      <c r="AD3" s="18"/>
      <c r="AE3" s="18"/>
      <c r="AF3" s="18"/>
      <c r="AG3" s="18"/>
    </row>
    <row r="4" spans="1:33" s="90" customFormat="1" x14ac:dyDescent="0.25">
      <c r="A4" s="200" t="s">
        <v>1</v>
      </c>
      <c r="B4" s="199">
        <v>1</v>
      </c>
      <c r="C4" s="198">
        <v>428517</v>
      </c>
      <c r="D4" s="197">
        <v>418926</v>
      </c>
      <c r="E4" s="196">
        <v>4111</v>
      </c>
      <c r="F4" s="195">
        <v>423037</v>
      </c>
      <c r="G4" s="194">
        <v>3395</v>
      </c>
      <c r="H4" s="193">
        <v>3267</v>
      </c>
      <c r="I4" s="192"/>
      <c r="J4" s="337"/>
      <c r="K4" s="70">
        <f t="shared" ref="K4:K35" si="0">SUM(G4:I4)</f>
        <v>6662</v>
      </c>
      <c r="L4" s="191">
        <f t="shared" ref="L4:L35" si="1">SUM(F4:I4)</f>
        <v>429699</v>
      </c>
      <c r="M4" s="190">
        <f t="shared" ref="M4:M35" si="2">(L4/F4)-1</f>
        <v>1.5748031496062964E-2</v>
      </c>
      <c r="N4" s="15"/>
      <c r="O4" s="15"/>
      <c r="P4" s="15">
        <v>8229</v>
      </c>
      <c r="Q4" s="15">
        <v>15443</v>
      </c>
      <c r="R4" s="15"/>
      <c r="S4" s="193"/>
      <c r="T4" s="140">
        <f t="shared" ref="T4:T35" si="3">SUM(N4:S4)</f>
        <v>23672</v>
      </c>
      <c r="U4" s="140">
        <f t="shared" ref="U4:U35" si="4">T4-Q4</f>
        <v>8229</v>
      </c>
      <c r="V4" s="14">
        <f t="shared" ref="V4:V35" si="5">T4+L4</f>
        <v>453371</v>
      </c>
      <c r="W4" s="159">
        <f t="shared" ref="W4:W35" si="6">V4/L4-1</f>
        <v>5.508972559861669E-2</v>
      </c>
      <c r="X4" s="344">
        <v>0.23</v>
      </c>
      <c r="Y4" s="372">
        <f t="shared" ref="Y4:Y35" si="7">V4-Q4</f>
        <v>437928</v>
      </c>
      <c r="Z4" s="18"/>
      <c r="AA4" s="18"/>
      <c r="AB4" s="18"/>
      <c r="AC4" s="18"/>
      <c r="AD4" s="18"/>
      <c r="AE4" s="18"/>
      <c r="AF4" s="18"/>
      <c r="AG4" s="18"/>
    </row>
    <row r="5" spans="1:33" customFormat="1" ht="15" x14ac:dyDescent="0.25">
      <c r="A5" s="71" t="s">
        <v>2</v>
      </c>
      <c r="B5" s="72">
        <v>1</v>
      </c>
      <c r="C5" s="189">
        <v>298844</v>
      </c>
      <c r="D5" s="188">
        <v>292156</v>
      </c>
      <c r="E5" s="187">
        <v>0</v>
      </c>
      <c r="F5" s="186">
        <v>292156</v>
      </c>
      <c r="G5" s="185">
        <v>2239</v>
      </c>
      <c r="H5" s="15">
        <v>2896</v>
      </c>
      <c r="I5" s="180"/>
      <c r="J5" s="338"/>
      <c r="K5" s="73">
        <f t="shared" si="0"/>
        <v>5135</v>
      </c>
      <c r="L5" s="184">
        <f t="shared" si="1"/>
        <v>297291</v>
      </c>
      <c r="M5" s="183">
        <f t="shared" si="2"/>
        <v>1.7576226399594663E-2</v>
      </c>
      <c r="N5" s="15"/>
      <c r="O5" s="15"/>
      <c r="P5" s="15">
        <v>4607</v>
      </c>
      <c r="Q5" s="15"/>
      <c r="R5" s="15"/>
      <c r="S5" s="15"/>
      <c r="T5" s="182">
        <f t="shared" si="3"/>
        <v>4607</v>
      </c>
      <c r="U5" s="14">
        <f t="shared" si="4"/>
        <v>4607</v>
      </c>
      <c r="V5" s="182">
        <f t="shared" si="5"/>
        <v>301898</v>
      </c>
      <c r="W5" s="159">
        <f t="shared" si="6"/>
        <v>1.5496600973456953E-2</v>
      </c>
      <c r="X5" s="345"/>
      <c r="Y5" s="373">
        <f t="shared" si="7"/>
        <v>301898</v>
      </c>
    </row>
    <row r="6" spans="1:33" s="103" customFormat="1" x14ac:dyDescent="0.25">
      <c r="A6" s="71" t="s">
        <v>3</v>
      </c>
      <c r="B6" s="72">
        <v>1</v>
      </c>
      <c r="C6" s="189">
        <v>288357</v>
      </c>
      <c r="D6" s="188">
        <v>281903</v>
      </c>
      <c r="E6" s="187">
        <v>6454</v>
      </c>
      <c r="F6" s="186">
        <v>288357</v>
      </c>
      <c r="G6" s="185">
        <v>3338</v>
      </c>
      <c r="H6" s="15">
        <v>3324</v>
      </c>
      <c r="I6" s="180"/>
      <c r="J6" s="338"/>
      <c r="K6" s="73">
        <f t="shared" si="0"/>
        <v>6662</v>
      </c>
      <c r="L6" s="184">
        <f t="shared" si="1"/>
        <v>295019</v>
      </c>
      <c r="M6" s="183">
        <f t="shared" si="2"/>
        <v>2.3103305971417409E-2</v>
      </c>
      <c r="N6" s="15">
        <v>4872</v>
      </c>
      <c r="O6" s="15"/>
      <c r="P6" s="15">
        <v>5866</v>
      </c>
      <c r="Q6" s="15"/>
      <c r="R6" s="15"/>
      <c r="S6" s="15"/>
      <c r="T6" s="182">
        <f t="shared" si="3"/>
        <v>10738</v>
      </c>
      <c r="U6" s="14">
        <f t="shared" si="4"/>
        <v>10738</v>
      </c>
      <c r="V6" s="182">
        <f t="shared" si="5"/>
        <v>305757</v>
      </c>
      <c r="W6" s="159">
        <f t="shared" si="6"/>
        <v>3.6397655744206281E-2</v>
      </c>
      <c r="X6" s="346"/>
      <c r="Y6" s="373">
        <f t="shared" si="7"/>
        <v>305757</v>
      </c>
      <c r="Z6" s="18"/>
      <c r="AA6" s="18"/>
      <c r="AB6" s="18"/>
      <c r="AC6" s="18"/>
      <c r="AD6" s="18"/>
      <c r="AE6" s="18"/>
      <c r="AF6" s="18"/>
      <c r="AG6" s="18"/>
    </row>
    <row r="7" spans="1:33" s="90" customFormat="1" x14ac:dyDescent="0.25">
      <c r="A7" s="71" t="s">
        <v>4</v>
      </c>
      <c r="B7" s="72">
        <v>1</v>
      </c>
      <c r="C7" s="178">
        <v>467330</v>
      </c>
      <c r="D7" s="177">
        <v>449872</v>
      </c>
      <c r="E7" s="176">
        <v>8000</v>
      </c>
      <c r="F7" s="175">
        <v>457872</v>
      </c>
      <c r="G7" s="185">
        <v>4100</v>
      </c>
      <c r="H7" s="171">
        <v>4384</v>
      </c>
      <c r="I7" s="179"/>
      <c r="J7" s="338"/>
      <c r="K7" s="73">
        <f t="shared" si="0"/>
        <v>8484</v>
      </c>
      <c r="L7" s="173">
        <f t="shared" si="1"/>
        <v>466356</v>
      </c>
      <c r="M7" s="172">
        <f t="shared" si="2"/>
        <v>1.8529195932487585E-2</v>
      </c>
      <c r="N7" s="15"/>
      <c r="O7" s="15"/>
      <c r="P7" s="15">
        <v>10604</v>
      </c>
      <c r="Q7" s="15"/>
      <c r="R7" s="15"/>
      <c r="S7" s="15"/>
      <c r="T7" s="170">
        <f t="shared" si="3"/>
        <v>10604</v>
      </c>
      <c r="U7" s="14">
        <f t="shared" si="4"/>
        <v>10604</v>
      </c>
      <c r="V7" s="170">
        <f t="shared" si="5"/>
        <v>476960</v>
      </c>
      <c r="W7" s="159">
        <f t="shared" si="6"/>
        <v>2.2737994150391572E-2</v>
      </c>
      <c r="X7" s="346"/>
      <c r="Y7" s="373">
        <f t="shared" si="7"/>
        <v>476960</v>
      </c>
      <c r="Z7" s="18"/>
      <c r="AA7" s="18"/>
      <c r="AB7" s="18"/>
      <c r="AC7" s="18"/>
      <c r="AD7" s="18"/>
      <c r="AE7" s="18"/>
      <c r="AF7" s="18"/>
      <c r="AG7" s="18"/>
    </row>
    <row r="8" spans="1:33" s="90" customFormat="1" x14ac:dyDescent="0.25">
      <c r="A8" s="71" t="s">
        <v>5</v>
      </c>
      <c r="B8" s="72">
        <v>2</v>
      </c>
      <c r="C8" s="178">
        <v>663029</v>
      </c>
      <c r="D8" s="177">
        <v>648190</v>
      </c>
      <c r="E8" s="176">
        <v>14839</v>
      </c>
      <c r="F8" s="175">
        <v>663029</v>
      </c>
      <c r="G8" s="174">
        <v>7097</v>
      </c>
      <c r="H8" s="171">
        <v>4877</v>
      </c>
      <c r="I8" s="179"/>
      <c r="J8" s="338"/>
      <c r="K8" s="73">
        <f t="shared" si="0"/>
        <v>11974</v>
      </c>
      <c r="L8" s="173">
        <f t="shared" si="1"/>
        <v>675003</v>
      </c>
      <c r="M8" s="172">
        <f t="shared" si="2"/>
        <v>1.805954189032466E-2</v>
      </c>
      <c r="N8" s="15"/>
      <c r="O8" s="15"/>
      <c r="P8" s="15">
        <v>14847</v>
      </c>
      <c r="Q8" s="15">
        <v>47165</v>
      </c>
      <c r="R8" s="15"/>
      <c r="S8" s="15"/>
      <c r="T8" s="170">
        <f t="shared" si="3"/>
        <v>62012</v>
      </c>
      <c r="U8" s="14">
        <f t="shared" si="4"/>
        <v>14847</v>
      </c>
      <c r="V8" s="170">
        <f t="shared" si="5"/>
        <v>737015</v>
      </c>
      <c r="W8" s="159">
        <f t="shared" si="6"/>
        <v>9.1869221321979389E-2</v>
      </c>
      <c r="X8" s="347">
        <v>1</v>
      </c>
      <c r="Y8" s="373">
        <f t="shared" si="7"/>
        <v>689850</v>
      </c>
      <c r="Z8" s="18"/>
      <c r="AA8" s="18"/>
      <c r="AB8" s="18"/>
      <c r="AC8" s="18"/>
      <c r="AD8" s="18"/>
      <c r="AE8" s="18"/>
      <c r="AF8" s="18"/>
      <c r="AG8" s="18"/>
    </row>
    <row r="9" spans="1:33" s="90" customFormat="1" x14ac:dyDescent="0.25">
      <c r="A9" s="71" t="s">
        <v>6</v>
      </c>
      <c r="B9" s="72">
        <v>2</v>
      </c>
      <c r="C9" s="178">
        <v>465241</v>
      </c>
      <c r="D9" s="177">
        <v>454829</v>
      </c>
      <c r="E9" s="176">
        <v>5842</v>
      </c>
      <c r="F9" s="175">
        <v>460671</v>
      </c>
      <c r="G9" s="174">
        <v>3675</v>
      </c>
      <c r="H9" s="171">
        <v>4427</v>
      </c>
      <c r="I9" s="179"/>
      <c r="J9" s="338"/>
      <c r="K9" s="73">
        <f t="shared" si="0"/>
        <v>8102</v>
      </c>
      <c r="L9" s="173">
        <f t="shared" si="1"/>
        <v>468773</v>
      </c>
      <c r="M9" s="172">
        <f t="shared" si="2"/>
        <v>1.7587388830640593E-2</v>
      </c>
      <c r="N9" s="15">
        <v>1214</v>
      </c>
      <c r="O9" s="15">
        <f>6708-H9</f>
        <v>2281</v>
      </c>
      <c r="P9" s="15">
        <v>7822</v>
      </c>
      <c r="Q9" s="15"/>
      <c r="R9" s="15"/>
      <c r="S9" s="15"/>
      <c r="T9" s="170">
        <f t="shared" si="3"/>
        <v>11317</v>
      </c>
      <c r="U9" s="14">
        <f t="shared" si="4"/>
        <v>11317</v>
      </c>
      <c r="V9" s="170">
        <f t="shared" si="5"/>
        <v>480090</v>
      </c>
      <c r="W9" s="159">
        <f t="shared" si="6"/>
        <v>2.4141748778193195E-2</v>
      </c>
      <c r="X9" s="346"/>
      <c r="Y9" s="373">
        <f t="shared" si="7"/>
        <v>480090</v>
      </c>
      <c r="Z9" s="18"/>
      <c r="AA9" s="18"/>
      <c r="AB9" s="18"/>
      <c r="AC9" s="18"/>
      <c r="AD9" s="18"/>
      <c r="AE9" s="18"/>
      <c r="AF9" s="18"/>
      <c r="AG9" s="18"/>
    </row>
    <row r="10" spans="1:33" s="90" customFormat="1" x14ac:dyDescent="0.25">
      <c r="A10" s="71" t="s">
        <v>7</v>
      </c>
      <c r="B10" s="72">
        <v>2</v>
      </c>
      <c r="C10" s="178">
        <v>620259</v>
      </c>
      <c r="D10" s="177">
        <v>606377</v>
      </c>
      <c r="E10" s="176">
        <v>13882</v>
      </c>
      <c r="F10" s="175">
        <v>620259</v>
      </c>
      <c r="G10" s="174">
        <v>5446</v>
      </c>
      <c r="H10" s="171">
        <v>4798</v>
      </c>
      <c r="I10" s="179"/>
      <c r="J10" s="338"/>
      <c r="K10" s="73">
        <f t="shared" si="0"/>
        <v>10244</v>
      </c>
      <c r="L10" s="173">
        <f t="shared" si="1"/>
        <v>630503</v>
      </c>
      <c r="M10" s="172">
        <f t="shared" si="2"/>
        <v>1.6515681352467171E-2</v>
      </c>
      <c r="N10" s="15"/>
      <c r="O10" s="15"/>
      <c r="P10" s="15">
        <v>14702</v>
      </c>
      <c r="Q10" s="15"/>
      <c r="R10" s="15"/>
      <c r="S10" s="15"/>
      <c r="T10" s="170">
        <f t="shared" si="3"/>
        <v>14702</v>
      </c>
      <c r="U10" s="14">
        <f t="shared" si="4"/>
        <v>14702</v>
      </c>
      <c r="V10" s="170">
        <f t="shared" si="5"/>
        <v>645205</v>
      </c>
      <c r="W10" s="159">
        <f t="shared" si="6"/>
        <v>2.3317890636523453E-2</v>
      </c>
      <c r="X10" s="346"/>
      <c r="Y10" s="373">
        <f t="shared" si="7"/>
        <v>645205</v>
      </c>
      <c r="Z10" s="18"/>
      <c r="AA10" s="18"/>
      <c r="AB10" s="18"/>
      <c r="AC10" s="18"/>
      <c r="AD10" s="18"/>
      <c r="AE10" s="18"/>
      <c r="AF10" s="18"/>
      <c r="AG10" s="18"/>
    </row>
    <row r="11" spans="1:33" s="90" customFormat="1" x14ac:dyDescent="0.25">
      <c r="A11" s="71" t="s">
        <v>8</v>
      </c>
      <c r="B11" s="72">
        <v>2</v>
      </c>
      <c r="C11" s="178">
        <v>512702</v>
      </c>
      <c r="D11" s="177">
        <v>501227</v>
      </c>
      <c r="E11" s="176">
        <v>11475</v>
      </c>
      <c r="F11" s="175">
        <v>512702</v>
      </c>
      <c r="G11" s="174">
        <v>3804</v>
      </c>
      <c r="H11" s="171">
        <v>4512</v>
      </c>
      <c r="I11" s="179"/>
      <c r="J11" s="338">
        <v>20964</v>
      </c>
      <c r="K11" s="73">
        <f t="shared" si="0"/>
        <v>8316</v>
      </c>
      <c r="L11" s="173">
        <f t="shared" si="1"/>
        <v>521018</v>
      </c>
      <c r="M11" s="172">
        <f t="shared" si="2"/>
        <v>1.6219948430082232E-2</v>
      </c>
      <c r="N11" s="15">
        <v>1483</v>
      </c>
      <c r="O11" s="15"/>
      <c r="P11" s="15">
        <v>11638</v>
      </c>
      <c r="Q11" s="15"/>
      <c r="R11" s="15"/>
      <c r="S11" s="15"/>
      <c r="T11" s="170">
        <f t="shared" si="3"/>
        <v>13121</v>
      </c>
      <c r="U11" s="14">
        <f t="shared" si="4"/>
        <v>13121</v>
      </c>
      <c r="V11" s="170">
        <f t="shared" si="5"/>
        <v>534139</v>
      </c>
      <c r="W11" s="159">
        <f t="shared" si="6"/>
        <v>2.5183390976895259E-2</v>
      </c>
      <c r="X11" s="346"/>
      <c r="Y11" s="373">
        <f t="shared" si="7"/>
        <v>534139</v>
      </c>
      <c r="Z11" s="18"/>
      <c r="AA11" s="18"/>
      <c r="AB11" s="18"/>
      <c r="AC11" s="18"/>
      <c r="AD11" s="18"/>
      <c r="AE11" s="18"/>
      <c r="AF11" s="18"/>
      <c r="AG11" s="18"/>
    </row>
    <row r="12" spans="1:33" s="90" customFormat="1" x14ac:dyDescent="0.25">
      <c r="A12" s="71" t="s">
        <v>9</v>
      </c>
      <c r="B12" s="72">
        <v>2</v>
      </c>
      <c r="C12" s="178">
        <v>504497</v>
      </c>
      <c r="D12" s="177">
        <v>493206</v>
      </c>
      <c r="E12" s="176">
        <v>5246</v>
      </c>
      <c r="F12" s="175">
        <v>498452</v>
      </c>
      <c r="G12" s="174">
        <v>3372</v>
      </c>
      <c r="H12" s="171">
        <v>6724</v>
      </c>
      <c r="I12" s="179"/>
      <c r="J12" s="338"/>
      <c r="K12" s="73">
        <f t="shared" si="0"/>
        <v>10096</v>
      </c>
      <c r="L12" s="173">
        <f t="shared" si="1"/>
        <v>508548</v>
      </c>
      <c r="M12" s="172">
        <f t="shared" si="2"/>
        <v>2.0254708577756686E-2</v>
      </c>
      <c r="N12" s="15">
        <v>7604</v>
      </c>
      <c r="O12" s="15">
        <v>1845</v>
      </c>
      <c r="P12" s="15">
        <v>9049</v>
      </c>
      <c r="Q12" s="15"/>
      <c r="R12" s="15">
        <v>30000</v>
      </c>
      <c r="S12" s="15"/>
      <c r="T12" s="170">
        <f t="shared" si="3"/>
        <v>48498</v>
      </c>
      <c r="U12" s="14">
        <f t="shared" si="4"/>
        <v>48498</v>
      </c>
      <c r="V12" s="170">
        <f t="shared" si="5"/>
        <v>557046</v>
      </c>
      <c r="W12" s="159">
        <f t="shared" si="6"/>
        <v>9.5365629203143065E-2</v>
      </c>
      <c r="X12" s="347"/>
      <c r="Y12" s="373">
        <f t="shared" si="7"/>
        <v>557046</v>
      </c>
      <c r="Z12" s="18"/>
      <c r="AA12" s="18"/>
      <c r="AB12" s="18"/>
      <c r="AC12" s="18"/>
      <c r="AD12" s="18"/>
      <c r="AE12" s="18"/>
      <c r="AF12" s="18"/>
      <c r="AG12" s="18"/>
    </row>
    <row r="13" spans="1:33" s="90" customFormat="1" x14ac:dyDescent="0.25">
      <c r="A13" s="71" t="s">
        <v>10</v>
      </c>
      <c r="B13" s="72">
        <v>2</v>
      </c>
      <c r="C13" s="178">
        <v>470599</v>
      </c>
      <c r="D13" s="177">
        <v>460067</v>
      </c>
      <c r="E13" s="176">
        <v>0</v>
      </c>
      <c r="F13" s="175">
        <v>460067</v>
      </c>
      <c r="G13" s="174">
        <v>3918</v>
      </c>
      <c r="H13" s="171">
        <v>3405</v>
      </c>
      <c r="I13" s="179"/>
      <c r="J13" s="338"/>
      <c r="K13" s="73">
        <f t="shared" si="0"/>
        <v>7323</v>
      </c>
      <c r="L13" s="173">
        <f t="shared" si="1"/>
        <v>467390</v>
      </c>
      <c r="M13" s="172">
        <f t="shared" si="2"/>
        <v>1.591724683578688E-2</v>
      </c>
      <c r="N13" s="15"/>
      <c r="O13" s="15"/>
      <c r="P13" s="15">
        <v>11802</v>
      </c>
      <c r="Q13" s="15"/>
      <c r="R13" s="15"/>
      <c r="S13" s="15"/>
      <c r="T13" s="170">
        <f t="shared" si="3"/>
        <v>11802</v>
      </c>
      <c r="U13" s="14">
        <f t="shared" si="4"/>
        <v>11802</v>
      </c>
      <c r="V13" s="170">
        <f t="shared" si="5"/>
        <v>479192</v>
      </c>
      <c r="W13" s="159">
        <f t="shared" si="6"/>
        <v>2.5250861165194038E-2</v>
      </c>
      <c r="X13" s="346"/>
      <c r="Y13" s="373">
        <f t="shared" si="7"/>
        <v>479192</v>
      </c>
      <c r="Z13" s="18"/>
      <c r="AA13" s="18"/>
      <c r="AB13" s="18"/>
      <c r="AC13" s="18"/>
      <c r="AD13" s="18"/>
      <c r="AE13" s="18"/>
      <c r="AF13" s="18"/>
      <c r="AG13" s="18"/>
    </row>
    <row r="14" spans="1:33" s="90" customFormat="1" ht="12.75" customHeight="1" x14ac:dyDescent="0.25">
      <c r="A14" s="71" t="s">
        <v>11</v>
      </c>
      <c r="B14" s="72">
        <v>2</v>
      </c>
      <c r="C14" s="178">
        <v>498919</v>
      </c>
      <c r="D14" s="177">
        <v>487753</v>
      </c>
      <c r="E14" s="176">
        <v>8961</v>
      </c>
      <c r="F14" s="175">
        <v>496714</v>
      </c>
      <c r="G14" s="174">
        <v>4455</v>
      </c>
      <c r="H14" s="171">
        <v>7432</v>
      </c>
      <c r="I14" s="179"/>
      <c r="J14" s="338"/>
      <c r="K14" s="73">
        <f t="shared" si="0"/>
        <v>11887</v>
      </c>
      <c r="L14" s="173">
        <f t="shared" si="1"/>
        <v>508601</v>
      </c>
      <c r="M14" s="172">
        <f t="shared" si="2"/>
        <v>2.3931276348160058E-2</v>
      </c>
      <c r="N14" s="15"/>
      <c r="O14" s="15"/>
      <c r="P14" s="15">
        <v>11166</v>
      </c>
      <c r="Q14" s="15"/>
      <c r="R14" s="15"/>
      <c r="S14" s="15">
        <v>65616</v>
      </c>
      <c r="T14" s="170">
        <f t="shared" si="3"/>
        <v>76782</v>
      </c>
      <c r="U14" s="14">
        <f t="shared" si="4"/>
        <v>76782</v>
      </c>
      <c r="V14" s="170">
        <f t="shared" si="5"/>
        <v>585383</v>
      </c>
      <c r="W14" s="159">
        <f t="shared" si="6"/>
        <v>0.15096706455551612</v>
      </c>
      <c r="X14" s="346"/>
      <c r="Y14" s="373">
        <f t="shared" si="7"/>
        <v>585383</v>
      </c>
      <c r="Z14" s="18"/>
      <c r="AA14" s="18"/>
      <c r="AB14" s="18"/>
      <c r="AC14" s="18"/>
      <c r="AD14" s="18"/>
      <c r="AE14" s="18"/>
      <c r="AF14" s="18"/>
      <c r="AG14" s="18"/>
    </row>
    <row r="15" spans="1:33" s="90" customFormat="1" x14ac:dyDescent="0.25">
      <c r="A15" s="71" t="s">
        <v>12</v>
      </c>
      <c r="B15" s="72">
        <v>2</v>
      </c>
      <c r="C15" s="178">
        <v>559006</v>
      </c>
      <c r="D15" s="177">
        <v>546495</v>
      </c>
      <c r="E15" s="176">
        <v>6307</v>
      </c>
      <c r="F15" s="175">
        <v>552802</v>
      </c>
      <c r="G15" s="174">
        <v>4753</v>
      </c>
      <c r="H15" s="171">
        <v>6538</v>
      </c>
      <c r="I15" s="179"/>
      <c r="J15" s="338"/>
      <c r="K15" s="73">
        <f t="shared" si="0"/>
        <v>11291</v>
      </c>
      <c r="L15" s="173">
        <f t="shared" si="1"/>
        <v>564093</v>
      </c>
      <c r="M15" s="172">
        <f t="shared" si="2"/>
        <v>2.0425034641698092E-2</v>
      </c>
      <c r="N15" s="15"/>
      <c r="O15" s="15">
        <f>814-614</f>
        <v>200</v>
      </c>
      <c r="P15" s="15">
        <v>10339</v>
      </c>
      <c r="Q15" s="15">
        <f>17151+614</f>
        <v>17765</v>
      </c>
      <c r="R15" s="15"/>
      <c r="S15" s="15"/>
      <c r="T15" s="170">
        <f t="shared" si="3"/>
        <v>28304</v>
      </c>
      <c r="U15" s="14">
        <f t="shared" si="4"/>
        <v>10539</v>
      </c>
      <c r="V15" s="170">
        <f t="shared" si="5"/>
        <v>592397</v>
      </c>
      <c r="W15" s="159">
        <f t="shared" si="6"/>
        <v>5.0176123440638376E-2</v>
      </c>
      <c r="X15" s="346">
        <v>0.38</v>
      </c>
      <c r="Y15" s="373">
        <f t="shared" si="7"/>
        <v>574632</v>
      </c>
      <c r="Z15" s="18"/>
      <c r="AA15" s="18"/>
      <c r="AB15" s="18"/>
      <c r="AC15" s="18"/>
      <c r="AD15" s="18"/>
      <c r="AE15" s="18"/>
      <c r="AF15" s="18"/>
      <c r="AG15" s="18"/>
    </row>
    <row r="16" spans="1:33" s="90" customFormat="1" x14ac:dyDescent="0.25">
      <c r="A16" s="71" t="s">
        <v>13</v>
      </c>
      <c r="B16" s="72">
        <v>2</v>
      </c>
      <c r="C16" s="178">
        <v>471920</v>
      </c>
      <c r="D16" s="177">
        <v>461358</v>
      </c>
      <c r="E16" s="176">
        <v>5058</v>
      </c>
      <c r="F16" s="175">
        <v>466416</v>
      </c>
      <c r="G16" s="174">
        <v>4241</v>
      </c>
      <c r="H16" s="171">
        <v>3868</v>
      </c>
      <c r="I16" s="179"/>
      <c r="J16" s="338"/>
      <c r="K16" s="73">
        <f t="shared" si="0"/>
        <v>8109</v>
      </c>
      <c r="L16" s="173">
        <f t="shared" si="1"/>
        <v>474525</v>
      </c>
      <c r="M16" s="172">
        <f t="shared" si="2"/>
        <v>1.7385767212102499E-2</v>
      </c>
      <c r="N16" s="15">
        <v>3985</v>
      </c>
      <c r="O16" s="15">
        <v>1568</v>
      </c>
      <c r="P16" s="15">
        <v>11610</v>
      </c>
      <c r="Q16" s="15"/>
      <c r="R16" s="15"/>
      <c r="S16" s="15"/>
      <c r="T16" s="170">
        <f t="shared" si="3"/>
        <v>17163</v>
      </c>
      <c r="U16" s="14">
        <f t="shared" si="4"/>
        <v>17163</v>
      </c>
      <c r="V16" s="170">
        <f t="shared" si="5"/>
        <v>491688</v>
      </c>
      <c r="W16" s="159">
        <f t="shared" si="6"/>
        <v>3.6168800379326793E-2</v>
      </c>
      <c r="X16" s="346"/>
      <c r="Y16" s="373">
        <f t="shared" si="7"/>
        <v>491688</v>
      </c>
      <c r="Z16" s="18"/>
      <c r="AA16" s="18"/>
      <c r="AB16" s="18"/>
      <c r="AC16" s="18"/>
      <c r="AD16" s="18"/>
      <c r="AE16" s="18"/>
      <c r="AF16" s="18"/>
      <c r="AG16" s="18"/>
    </row>
    <row r="17" spans="1:33" s="90" customFormat="1" x14ac:dyDescent="0.25">
      <c r="A17" s="71" t="s">
        <v>14</v>
      </c>
      <c r="B17" s="72">
        <v>2</v>
      </c>
      <c r="C17" s="178">
        <v>526312</v>
      </c>
      <c r="D17" s="177">
        <v>514533</v>
      </c>
      <c r="E17" s="176">
        <v>11218</v>
      </c>
      <c r="F17" s="175">
        <v>525751</v>
      </c>
      <c r="G17" s="174">
        <v>3528</v>
      </c>
      <c r="H17" s="171">
        <v>12303</v>
      </c>
      <c r="I17" s="179"/>
      <c r="J17" s="338"/>
      <c r="K17" s="73">
        <f t="shared" si="0"/>
        <v>15831</v>
      </c>
      <c r="L17" s="173">
        <f t="shared" si="1"/>
        <v>541582</v>
      </c>
      <c r="M17" s="172">
        <f t="shared" si="2"/>
        <v>3.0111212341964233E-2</v>
      </c>
      <c r="N17" s="15"/>
      <c r="O17" s="15"/>
      <c r="P17" s="15">
        <v>10856</v>
      </c>
      <c r="Q17" s="15"/>
      <c r="R17" s="15"/>
      <c r="S17" s="15"/>
      <c r="T17" s="170">
        <f t="shared" si="3"/>
        <v>10856</v>
      </c>
      <c r="U17" s="14">
        <f t="shared" si="4"/>
        <v>10856</v>
      </c>
      <c r="V17" s="170">
        <f t="shared" si="5"/>
        <v>552438</v>
      </c>
      <c r="W17" s="159">
        <f t="shared" si="6"/>
        <v>2.0044979338308844E-2</v>
      </c>
      <c r="X17" s="346"/>
      <c r="Y17" s="373">
        <f t="shared" si="7"/>
        <v>552438</v>
      </c>
      <c r="Z17" s="18"/>
      <c r="AA17" s="18"/>
      <c r="AB17" s="18"/>
      <c r="AC17" s="18"/>
      <c r="AD17" s="18"/>
      <c r="AE17" s="18"/>
      <c r="AF17" s="18"/>
      <c r="AG17" s="18"/>
    </row>
    <row r="18" spans="1:33" s="90" customFormat="1" x14ac:dyDescent="0.25">
      <c r="A18" s="71" t="s">
        <v>15</v>
      </c>
      <c r="B18" s="72">
        <v>2</v>
      </c>
      <c r="C18" s="178">
        <v>754649</v>
      </c>
      <c r="D18" s="177">
        <v>737759</v>
      </c>
      <c r="E18" s="176">
        <v>3250</v>
      </c>
      <c r="F18" s="175">
        <v>741009</v>
      </c>
      <c r="G18" s="174">
        <v>5944</v>
      </c>
      <c r="H18" s="171">
        <v>7856</v>
      </c>
      <c r="I18" s="179"/>
      <c r="J18" s="338"/>
      <c r="K18" s="73">
        <f t="shared" si="0"/>
        <v>13800</v>
      </c>
      <c r="L18" s="173">
        <f t="shared" si="1"/>
        <v>754809</v>
      </c>
      <c r="M18" s="172">
        <f t="shared" si="2"/>
        <v>1.862325558798883E-2</v>
      </c>
      <c r="N18" s="15"/>
      <c r="O18" s="15"/>
      <c r="P18" s="15">
        <v>15962</v>
      </c>
      <c r="Q18" s="15"/>
      <c r="R18" s="15"/>
      <c r="S18" s="15"/>
      <c r="T18" s="170">
        <f t="shared" si="3"/>
        <v>15962</v>
      </c>
      <c r="U18" s="14">
        <f t="shared" si="4"/>
        <v>15962</v>
      </c>
      <c r="V18" s="170">
        <f t="shared" si="5"/>
        <v>770771</v>
      </c>
      <c r="W18" s="159">
        <f t="shared" si="6"/>
        <v>2.1147071643289994E-2</v>
      </c>
      <c r="X18" s="346"/>
      <c r="Y18" s="373">
        <f t="shared" si="7"/>
        <v>770771</v>
      </c>
      <c r="Z18" s="18"/>
      <c r="AA18" s="18"/>
      <c r="AB18" s="18"/>
      <c r="AC18" s="18"/>
      <c r="AD18" s="18"/>
      <c r="AE18" s="18"/>
      <c r="AF18" s="18"/>
      <c r="AG18" s="18"/>
    </row>
    <row r="19" spans="1:33" s="90" customFormat="1" x14ac:dyDescent="0.25">
      <c r="A19" s="71" t="s">
        <v>16</v>
      </c>
      <c r="B19" s="72">
        <v>3</v>
      </c>
      <c r="C19" s="178">
        <v>680789</v>
      </c>
      <c r="D19" s="177">
        <v>665552</v>
      </c>
      <c r="E19" s="176">
        <v>15237</v>
      </c>
      <c r="F19" s="175">
        <v>680789</v>
      </c>
      <c r="G19" s="174">
        <v>7430</v>
      </c>
      <c r="H19" s="171">
        <v>9939</v>
      </c>
      <c r="I19" s="179"/>
      <c r="J19" s="338">
        <v>24680</v>
      </c>
      <c r="K19" s="73">
        <f t="shared" si="0"/>
        <v>17369</v>
      </c>
      <c r="L19" s="173">
        <f t="shared" si="1"/>
        <v>698158</v>
      </c>
      <c r="M19" s="172">
        <f t="shared" si="2"/>
        <v>2.55130444234557E-2</v>
      </c>
      <c r="N19" s="15">
        <v>3588</v>
      </c>
      <c r="O19" s="15"/>
      <c r="P19" s="15">
        <v>19320</v>
      </c>
      <c r="Q19" s="15"/>
      <c r="R19" s="15"/>
      <c r="S19" s="15">
        <f>114472</f>
        <v>114472</v>
      </c>
      <c r="T19" s="170">
        <f t="shared" si="3"/>
        <v>137380</v>
      </c>
      <c r="U19" s="14">
        <f t="shared" si="4"/>
        <v>137380</v>
      </c>
      <c r="V19" s="170">
        <f t="shared" si="5"/>
        <v>835538</v>
      </c>
      <c r="W19" s="159">
        <f t="shared" si="6"/>
        <v>0.19677494206182544</v>
      </c>
      <c r="X19" s="346"/>
      <c r="Y19" s="373">
        <f t="shared" si="7"/>
        <v>835538</v>
      </c>
      <c r="Z19" s="18"/>
      <c r="AA19" s="18"/>
      <c r="AB19" s="18"/>
      <c r="AC19" s="18"/>
      <c r="AD19" s="18"/>
      <c r="AE19" s="18"/>
      <c r="AF19" s="18"/>
      <c r="AG19" s="18"/>
    </row>
    <row r="20" spans="1:33" s="90" customFormat="1" x14ac:dyDescent="0.25">
      <c r="A20" s="71" t="s">
        <v>17</v>
      </c>
      <c r="B20" s="72">
        <v>3</v>
      </c>
      <c r="C20" s="178">
        <v>762973</v>
      </c>
      <c r="D20" s="177">
        <v>745897</v>
      </c>
      <c r="E20" s="176">
        <v>17076</v>
      </c>
      <c r="F20" s="175">
        <v>762973</v>
      </c>
      <c r="G20" s="174">
        <v>4848</v>
      </c>
      <c r="H20" s="171">
        <v>8049</v>
      </c>
      <c r="I20" s="179"/>
      <c r="J20" s="338"/>
      <c r="K20" s="73">
        <f t="shared" si="0"/>
        <v>12897</v>
      </c>
      <c r="L20" s="173">
        <f t="shared" si="1"/>
        <v>775870</v>
      </c>
      <c r="M20" s="172">
        <f t="shared" si="2"/>
        <v>1.6903612578688998E-2</v>
      </c>
      <c r="N20" s="15"/>
      <c r="O20" s="15"/>
      <c r="P20" s="15">
        <v>15306</v>
      </c>
      <c r="Q20" s="15"/>
      <c r="R20" s="15"/>
      <c r="S20" s="15"/>
      <c r="T20" s="170">
        <f t="shared" si="3"/>
        <v>15306</v>
      </c>
      <c r="U20" s="14">
        <f t="shared" si="4"/>
        <v>15306</v>
      </c>
      <c r="V20" s="170">
        <f t="shared" si="5"/>
        <v>791176</v>
      </c>
      <c r="W20" s="159">
        <f t="shared" si="6"/>
        <v>1.9727531674120558E-2</v>
      </c>
      <c r="X20" s="346"/>
      <c r="Y20" s="373">
        <f t="shared" si="7"/>
        <v>791176</v>
      </c>
      <c r="Z20" s="18"/>
      <c r="AA20" s="18"/>
      <c r="AB20" s="18"/>
      <c r="AC20" s="18"/>
      <c r="AD20" s="18"/>
      <c r="AE20" s="18"/>
      <c r="AF20" s="18"/>
      <c r="AG20" s="18"/>
    </row>
    <row r="21" spans="1:33" s="90" customFormat="1" x14ac:dyDescent="0.25">
      <c r="A21" s="71" t="s">
        <v>18</v>
      </c>
      <c r="B21" s="72">
        <v>3</v>
      </c>
      <c r="C21" s="178">
        <v>1243932</v>
      </c>
      <c r="D21" s="177">
        <v>1216092</v>
      </c>
      <c r="E21" s="176">
        <v>14359</v>
      </c>
      <c r="F21" s="175">
        <v>1230451</v>
      </c>
      <c r="G21" s="174">
        <v>10386</v>
      </c>
      <c r="H21" s="171">
        <v>15765</v>
      </c>
      <c r="I21" s="179"/>
      <c r="J21" s="338"/>
      <c r="K21" s="73">
        <f t="shared" si="0"/>
        <v>26151</v>
      </c>
      <c r="L21" s="173">
        <f t="shared" si="1"/>
        <v>1256602</v>
      </c>
      <c r="M21" s="172">
        <f t="shared" si="2"/>
        <v>2.1253182776071577E-2</v>
      </c>
      <c r="N21" s="15">
        <v>10930</v>
      </c>
      <c r="O21" s="15">
        <v>6141</v>
      </c>
      <c r="P21" s="15">
        <v>30114</v>
      </c>
      <c r="Q21" s="15">
        <v>17702</v>
      </c>
      <c r="R21" s="15"/>
      <c r="S21" s="15"/>
      <c r="T21" s="170">
        <f t="shared" si="3"/>
        <v>64887</v>
      </c>
      <c r="U21" s="14">
        <f t="shared" si="4"/>
        <v>47185</v>
      </c>
      <c r="V21" s="170">
        <f t="shared" si="5"/>
        <v>1321489</v>
      </c>
      <c r="W21" s="159">
        <f t="shared" si="6"/>
        <v>5.1636874682676082E-2</v>
      </c>
      <c r="X21" s="347">
        <v>0.5</v>
      </c>
      <c r="Y21" s="373">
        <f t="shared" si="7"/>
        <v>1303787</v>
      </c>
      <c r="Z21" s="18"/>
      <c r="AA21" s="18"/>
      <c r="AB21" s="18"/>
      <c r="AC21" s="18"/>
      <c r="AD21" s="18"/>
      <c r="AE21" s="18"/>
      <c r="AF21" s="18"/>
      <c r="AG21" s="18"/>
    </row>
    <row r="22" spans="1:33" s="90" customFormat="1" x14ac:dyDescent="0.25">
      <c r="A22" s="71" t="s">
        <v>19</v>
      </c>
      <c r="B22" s="72">
        <v>3</v>
      </c>
      <c r="C22" s="178">
        <v>863252</v>
      </c>
      <c r="D22" s="177">
        <v>843932</v>
      </c>
      <c r="E22" s="176">
        <v>9000</v>
      </c>
      <c r="F22" s="175">
        <v>852932</v>
      </c>
      <c r="G22" s="174">
        <v>5838</v>
      </c>
      <c r="H22" s="171">
        <v>9760</v>
      </c>
      <c r="I22" s="179"/>
      <c r="J22" s="338"/>
      <c r="K22" s="73">
        <f t="shared" si="0"/>
        <v>15598</v>
      </c>
      <c r="L22" s="173">
        <f t="shared" si="1"/>
        <v>868530</v>
      </c>
      <c r="M22" s="172">
        <f t="shared" si="2"/>
        <v>1.8287507093179833E-2</v>
      </c>
      <c r="N22" s="15"/>
      <c r="O22" s="15">
        <f>14786-H22</f>
        <v>5026</v>
      </c>
      <c r="P22" s="15">
        <v>16903</v>
      </c>
      <c r="Q22" s="15"/>
      <c r="R22" s="15"/>
      <c r="S22" s="15"/>
      <c r="T22" s="170">
        <f t="shared" si="3"/>
        <v>21929</v>
      </c>
      <c r="U22" s="14">
        <f t="shared" si="4"/>
        <v>21929</v>
      </c>
      <c r="V22" s="170">
        <f t="shared" si="5"/>
        <v>890459</v>
      </c>
      <c r="W22" s="159">
        <f t="shared" si="6"/>
        <v>2.5248408229997743E-2</v>
      </c>
      <c r="X22" s="346"/>
      <c r="Y22" s="373">
        <f t="shared" si="7"/>
        <v>890459</v>
      </c>
      <c r="Z22" s="18"/>
      <c r="AA22" s="18"/>
      <c r="AB22" s="18"/>
      <c r="AC22" s="18"/>
      <c r="AD22" s="18"/>
      <c r="AE22" s="18"/>
      <c r="AF22" s="18"/>
      <c r="AG22" s="18"/>
    </row>
    <row r="23" spans="1:33" s="90" customFormat="1" x14ac:dyDescent="0.25">
      <c r="A23" s="71" t="s">
        <v>20</v>
      </c>
      <c r="B23" s="72">
        <v>3</v>
      </c>
      <c r="C23" s="178">
        <v>1197173</v>
      </c>
      <c r="D23" s="177">
        <v>1170379</v>
      </c>
      <c r="E23" s="176">
        <v>26794</v>
      </c>
      <c r="F23" s="175">
        <v>1197173</v>
      </c>
      <c r="G23" s="174">
        <v>7193</v>
      </c>
      <c r="H23" s="171">
        <v>16148</v>
      </c>
      <c r="I23" s="179"/>
      <c r="J23" s="338"/>
      <c r="K23" s="73">
        <f t="shared" si="0"/>
        <v>23341</v>
      </c>
      <c r="L23" s="173">
        <f t="shared" si="1"/>
        <v>1220514</v>
      </c>
      <c r="M23" s="172">
        <f t="shared" si="2"/>
        <v>1.9496764460942506E-2</v>
      </c>
      <c r="N23" s="15">
        <v>3139</v>
      </c>
      <c r="O23" s="15">
        <v>3853</v>
      </c>
      <c r="P23" s="15">
        <v>23730</v>
      </c>
      <c r="Q23" s="15">
        <v>81300</v>
      </c>
      <c r="R23" s="15"/>
      <c r="S23" s="15"/>
      <c r="T23" s="170">
        <f t="shared" si="3"/>
        <v>112022</v>
      </c>
      <c r="U23" s="14">
        <f t="shared" si="4"/>
        <v>30722</v>
      </c>
      <c r="V23" s="170">
        <f t="shared" si="5"/>
        <v>1332536</v>
      </c>
      <c r="W23" s="159">
        <f t="shared" si="6"/>
        <v>9.1782642394925507E-2</v>
      </c>
      <c r="X23" s="347">
        <v>2</v>
      </c>
      <c r="Y23" s="373">
        <f t="shared" si="7"/>
        <v>1251236</v>
      </c>
      <c r="Z23" s="18"/>
      <c r="AA23" s="18"/>
      <c r="AB23" s="18"/>
      <c r="AC23" s="18"/>
      <c r="AD23" s="18"/>
      <c r="AE23" s="18"/>
      <c r="AF23" s="18"/>
      <c r="AG23" s="18"/>
    </row>
    <row r="24" spans="1:33" s="90" customFormat="1" x14ac:dyDescent="0.25">
      <c r="A24" s="71" t="s">
        <v>21</v>
      </c>
      <c r="B24" s="72">
        <v>3</v>
      </c>
      <c r="C24" s="178">
        <v>1052321</v>
      </c>
      <c r="D24" s="177">
        <v>1028769</v>
      </c>
      <c r="E24" s="176">
        <v>11440</v>
      </c>
      <c r="F24" s="175">
        <v>1040209</v>
      </c>
      <c r="G24" s="174">
        <v>7643</v>
      </c>
      <c r="H24" s="171">
        <v>9863</v>
      </c>
      <c r="I24" s="179"/>
      <c r="J24" s="338"/>
      <c r="K24" s="73">
        <f t="shared" si="0"/>
        <v>17506</v>
      </c>
      <c r="L24" s="173">
        <f t="shared" si="1"/>
        <v>1057715</v>
      </c>
      <c r="M24" s="172">
        <f t="shared" si="2"/>
        <v>1.6829310263610564E-2</v>
      </c>
      <c r="N24" s="15"/>
      <c r="O24" s="15"/>
      <c r="P24" s="15">
        <v>24294</v>
      </c>
      <c r="Q24" s="15"/>
      <c r="R24" s="15"/>
      <c r="S24" s="15"/>
      <c r="T24" s="170">
        <f t="shared" si="3"/>
        <v>24294</v>
      </c>
      <c r="U24" s="14">
        <f t="shared" si="4"/>
        <v>24294</v>
      </c>
      <c r="V24" s="170">
        <f t="shared" si="5"/>
        <v>1082009</v>
      </c>
      <c r="W24" s="159">
        <f t="shared" si="6"/>
        <v>2.296837995112111E-2</v>
      </c>
      <c r="X24" s="346"/>
      <c r="Y24" s="373">
        <f t="shared" si="7"/>
        <v>1082009</v>
      </c>
      <c r="Z24" s="18"/>
      <c r="AA24" s="18"/>
      <c r="AB24" s="18"/>
      <c r="AC24" s="18"/>
      <c r="AD24" s="18"/>
      <c r="AE24" s="18"/>
      <c r="AF24" s="18"/>
      <c r="AG24" s="18"/>
    </row>
    <row r="25" spans="1:33" s="90" customFormat="1" x14ac:dyDescent="0.25">
      <c r="A25" s="71" t="s">
        <v>22</v>
      </c>
      <c r="B25" s="72">
        <v>3</v>
      </c>
      <c r="C25" s="178">
        <v>1030854</v>
      </c>
      <c r="D25" s="177">
        <v>1007783</v>
      </c>
      <c r="E25" s="176">
        <v>9909</v>
      </c>
      <c r="F25" s="175">
        <v>1017692</v>
      </c>
      <c r="G25" s="174">
        <v>7855</v>
      </c>
      <c r="H25" s="171">
        <v>11469</v>
      </c>
      <c r="I25" s="179"/>
      <c r="J25" s="338"/>
      <c r="K25" s="73">
        <f t="shared" si="0"/>
        <v>19324</v>
      </c>
      <c r="L25" s="173">
        <f t="shared" si="1"/>
        <v>1037016</v>
      </c>
      <c r="M25" s="172">
        <f t="shared" si="2"/>
        <v>1.8988063186111237E-2</v>
      </c>
      <c r="N25" s="15"/>
      <c r="O25" s="15">
        <v>1242</v>
      </c>
      <c r="P25" s="15">
        <v>22804</v>
      </c>
      <c r="Q25" s="15"/>
      <c r="R25" s="15"/>
      <c r="S25" s="15">
        <v>39554</v>
      </c>
      <c r="T25" s="170">
        <f t="shared" si="3"/>
        <v>63600</v>
      </c>
      <c r="U25" s="14">
        <f t="shared" si="4"/>
        <v>63600</v>
      </c>
      <c r="V25" s="170">
        <f t="shared" si="5"/>
        <v>1100616</v>
      </c>
      <c r="W25" s="159">
        <f t="shared" si="6"/>
        <v>6.1329815547686906E-2</v>
      </c>
      <c r="X25" s="346"/>
      <c r="Y25" s="373">
        <f t="shared" si="7"/>
        <v>1100616</v>
      </c>
      <c r="Z25" s="18"/>
      <c r="AA25" s="18"/>
      <c r="AB25" s="18"/>
      <c r="AC25" s="18"/>
      <c r="AD25" s="18"/>
      <c r="AE25" s="18"/>
      <c r="AF25" s="18"/>
      <c r="AG25" s="18"/>
    </row>
    <row r="26" spans="1:33" s="90" customFormat="1" x14ac:dyDescent="0.25">
      <c r="A26" s="71" t="s">
        <v>23</v>
      </c>
      <c r="B26" s="72">
        <v>3</v>
      </c>
      <c r="C26" s="178">
        <v>536805</v>
      </c>
      <c r="D26" s="177">
        <v>524791</v>
      </c>
      <c r="E26" s="176">
        <v>0</v>
      </c>
      <c r="F26" s="175">
        <v>524791</v>
      </c>
      <c r="G26" s="174">
        <v>3867</v>
      </c>
      <c r="H26" s="171">
        <v>4828</v>
      </c>
      <c r="I26" s="179"/>
      <c r="J26" s="338"/>
      <c r="K26" s="73">
        <f t="shared" si="0"/>
        <v>8695</v>
      </c>
      <c r="L26" s="173">
        <f t="shared" si="1"/>
        <v>533486</v>
      </c>
      <c r="M26" s="172">
        <f t="shared" si="2"/>
        <v>1.6568500603097336E-2</v>
      </c>
      <c r="N26" s="15">
        <v>891</v>
      </c>
      <c r="O26" s="15"/>
      <c r="P26" s="15">
        <v>10644</v>
      </c>
      <c r="Q26" s="15"/>
      <c r="R26" s="15"/>
      <c r="S26" s="15"/>
      <c r="T26" s="170">
        <f t="shared" si="3"/>
        <v>11535</v>
      </c>
      <c r="U26" s="14">
        <f t="shared" si="4"/>
        <v>11535</v>
      </c>
      <c r="V26" s="170">
        <f t="shared" si="5"/>
        <v>545021</v>
      </c>
      <c r="W26" s="159">
        <f t="shared" si="6"/>
        <v>2.1621935720899987E-2</v>
      </c>
      <c r="X26" s="346"/>
      <c r="Y26" s="373">
        <f t="shared" si="7"/>
        <v>545021</v>
      </c>
      <c r="Z26" s="18"/>
      <c r="AA26" s="18"/>
      <c r="AB26" s="18"/>
      <c r="AC26" s="18"/>
      <c r="AD26" s="18"/>
      <c r="AE26" s="18"/>
      <c r="AF26" s="18"/>
      <c r="AG26" s="18"/>
    </row>
    <row r="27" spans="1:33" s="90" customFormat="1" x14ac:dyDescent="0.25">
      <c r="A27" s="71" t="s">
        <v>24</v>
      </c>
      <c r="B27" s="72">
        <v>3</v>
      </c>
      <c r="C27" s="178">
        <v>1251005</v>
      </c>
      <c r="D27" s="177">
        <v>1179693</v>
      </c>
      <c r="E27" s="176">
        <v>15997</v>
      </c>
      <c r="F27" s="175">
        <v>1195690</v>
      </c>
      <c r="G27" s="174">
        <v>6988</v>
      </c>
      <c r="H27" s="171">
        <v>17899</v>
      </c>
      <c r="I27" s="179"/>
      <c r="J27" s="338"/>
      <c r="K27" s="73">
        <f t="shared" si="0"/>
        <v>24887</v>
      </c>
      <c r="L27" s="173">
        <f t="shared" si="1"/>
        <v>1220577</v>
      </c>
      <c r="M27" s="172">
        <f t="shared" si="2"/>
        <v>2.0813923341334251E-2</v>
      </c>
      <c r="N27" s="15"/>
      <c r="O27" s="15"/>
      <c r="P27" s="15">
        <v>26306</v>
      </c>
      <c r="Q27" s="15"/>
      <c r="R27" s="15"/>
      <c r="S27" s="15"/>
      <c r="T27" s="170">
        <f t="shared" si="3"/>
        <v>26306</v>
      </c>
      <c r="U27" s="14">
        <f t="shared" si="4"/>
        <v>26306</v>
      </c>
      <c r="V27" s="170">
        <f t="shared" si="5"/>
        <v>1246883</v>
      </c>
      <c r="W27" s="159">
        <f t="shared" si="6"/>
        <v>2.1552101997661666E-2</v>
      </c>
      <c r="X27" s="346"/>
      <c r="Y27" s="373">
        <f t="shared" si="7"/>
        <v>1246883</v>
      </c>
      <c r="Z27" s="18"/>
      <c r="AA27" s="18"/>
      <c r="AB27" s="18"/>
      <c r="AC27" s="18"/>
      <c r="AD27" s="18"/>
      <c r="AE27" s="18"/>
      <c r="AF27" s="18"/>
      <c r="AG27" s="18"/>
    </row>
    <row r="28" spans="1:33" s="90" customFormat="1" x14ac:dyDescent="0.25">
      <c r="A28" s="71" t="s">
        <v>25</v>
      </c>
      <c r="B28" s="72">
        <v>3</v>
      </c>
      <c r="C28" s="178">
        <v>1098181</v>
      </c>
      <c r="D28" s="177">
        <v>1073603</v>
      </c>
      <c r="E28" s="176">
        <v>15001</v>
      </c>
      <c r="F28" s="175">
        <v>1088604</v>
      </c>
      <c r="G28" s="174">
        <v>9549</v>
      </c>
      <c r="H28" s="171">
        <v>11849</v>
      </c>
      <c r="I28" s="179"/>
      <c r="J28" s="338"/>
      <c r="K28" s="73">
        <f t="shared" si="0"/>
        <v>21398</v>
      </c>
      <c r="L28" s="173">
        <f t="shared" si="1"/>
        <v>1110002</v>
      </c>
      <c r="M28" s="172">
        <f t="shared" si="2"/>
        <v>1.9656367237305794E-2</v>
      </c>
      <c r="N28" s="15">
        <v>5854</v>
      </c>
      <c r="O28" s="15"/>
      <c r="P28" s="15">
        <v>29959</v>
      </c>
      <c r="Q28" s="15"/>
      <c r="R28" s="15"/>
      <c r="S28" s="15"/>
      <c r="T28" s="170">
        <f t="shared" si="3"/>
        <v>35813</v>
      </c>
      <c r="U28" s="14">
        <f t="shared" si="4"/>
        <v>35813</v>
      </c>
      <c r="V28" s="170">
        <f t="shared" si="5"/>
        <v>1145815</v>
      </c>
      <c r="W28" s="159">
        <f t="shared" si="6"/>
        <v>3.2263905830800299E-2</v>
      </c>
      <c r="X28" s="346"/>
      <c r="Y28" s="373">
        <f t="shared" si="7"/>
        <v>1145815</v>
      </c>
      <c r="Z28" s="18"/>
      <c r="AA28" s="18"/>
      <c r="AB28" s="18"/>
      <c r="AC28" s="18"/>
      <c r="AD28" s="18"/>
      <c r="AE28" s="18"/>
      <c r="AF28" s="18"/>
      <c r="AG28" s="18"/>
    </row>
    <row r="29" spans="1:33" s="90" customFormat="1" x14ac:dyDescent="0.25">
      <c r="A29" s="71" t="s">
        <v>26</v>
      </c>
      <c r="B29" s="72">
        <v>3</v>
      </c>
      <c r="C29" s="178">
        <v>644175</v>
      </c>
      <c r="D29" s="177">
        <v>629758</v>
      </c>
      <c r="E29" s="176">
        <v>14417</v>
      </c>
      <c r="F29" s="175">
        <v>644175</v>
      </c>
      <c r="G29" s="174">
        <v>4906</v>
      </c>
      <c r="H29" s="171">
        <v>13081</v>
      </c>
      <c r="I29" s="179"/>
      <c r="J29" s="338"/>
      <c r="K29" s="73">
        <f t="shared" si="0"/>
        <v>17987</v>
      </c>
      <c r="L29" s="173">
        <f t="shared" si="1"/>
        <v>662162</v>
      </c>
      <c r="M29" s="172">
        <f t="shared" si="2"/>
        <v>2.7922536577793311E-2</v>
      </c>
      <c r="N29" s="15"/>
      <c r="O29" s="15"/>
      <c r="P29" s="15">
        <v>13377</v>
      </c>
      <c r="Q29" s="15"/>
      <c r="R29" s="15"/>
      <c r="S29" s="15"/>
      <c r="T29" s="170">
        <f t="shared" si="3"/>
        <v>13377</v>
      </c>
      <c r="U29" s="14">
        <f t="shared" si="4"/>
        <v>13377</v>
      </c>
      <c r="V29" s="170">
        <f t="shared" si="5"/>
        <v>675539</v>
      </c>
      <c r="W29" s="159">
        <f t="shared" si="6"/>
        <v>2.0202004947429852E-2</v>
      </c>
      <c r="X29" s="346"/>
      <c r="Y29" s="373">
        <f t="shared" si="7"/>
        <v>675539</v>
      </c>
      <c r="Z29" s="18"/>
      <c r="AA29" s="18"/>
      <c r="AB29" s="18"/>
      <c r="AC29" s="18"/>
      <c r="AD29" s="18"/>
      <c r="AE29" s="18"/>
      <c r="AF29" s="18"/>
      <c r="AG29" s="18"/>
    </row>
    <row r="30" spans="1:33" s="90" customFormat="1" x14ac:dyDescent="0.25">
      <c r="A30" s="71" t="s">
        <v>27</v>
      </c>
      <c r="B30" s="72">
        <v>4</v>
      </c>
      <c r="C30" s="178">
        <v>2977771</v>
      </c>
      <c r="D30" s="177">
        <v>2977571</v>
      </c>
      <c r="E30" s="176">
        <v>38965</v>
      </c>
      <c r="F30" s="175">
        <v>3016536</v>
      </c>
      <c r="G30" s="174">
        <v>23995</v>
      </c>
      <c r="H30" s="171">
        <v>26072</v>
      </c>
      <c r="I30" s="179">
        <v>51425</v>
      </c>
      <c r="J30" s="338"/>
      <c r="K30" s="73">
        <f t="shared" si="0"/>
        <v>101492</v>
      </c>
      <c r="L30" s="173">
        <f t="shared" si="1"/>
        <v>3118028</v>
      </c>
      <c r="M30" s="172">
        <f t="shared" si="2"/>
        <v>3.3645214245744182E-2</v>
      </c>
      <c r="N30" s="15">
        <v>7052</v>
      </c>
      <c r="O30" s="15"/>
      <c r="P30" s="15">
        <v>84052</v>
      </c>
      <c r="Q30" s="15">
        <v>90032</v>
      </c>
      <c r="R30" s="15"/>
      <c r="S30" s="15"/>
      <c r="T30" s="170">
        <f t="shared" si="3"/>
        <v>181136</v>
      </c>
      <c r="U30" s="14">
        <f t="shared" si="4"/>
        <v>91104</v>
      </c>
      <c r="V30" s="170">
        <f t="shared" si="5"/>
        <v>3299164</v>
      </c>
      <c r="W30" s="159">
        <f t="shared" si="6"/>
        <v>5.8093128092499446E-2</v>
      </c>
      <c r="X30" s="347">
        <v>2</v>
      </c>
      <c r="Y30" s="373">
        <f t="shared" si="7"/>
        <v>3209132</v>
      </c>
      <c r="Z30" s="18"/>
      <c r="AA30" s="18"/>
      <c r="AB30" s="18"/>
      <c r="AC30" s="18"/>
      <c r="AD30" s="18"/>
      <c r="AE30" s="18"/>
      <c r="AF30" s="18"/>
      <c r="AG30" s="18"/>
    </row>
    <row r="31" spans="1:33" s="90" customFormat="1" x14ac:dyDescent="0.25">
      <c r="A31" s="71" t="s">
        <v>28</v>
      </c>
      <c r="B31" s="72">
        <v>4</v>
      </c>
      <c r="C31" s="178">
        <v>1510013</v>
      </c>
      <c r="D31" s="177">
        <v>1406126</v>
      </c>
      <c r="E31" s="176">
        <v>25150</v>
      </c>
      <c r="F31" s="175">
        <v>1431276</v>
      </c>
      <c r="G31" s="174">
        <v>9784</v>
      </c>
      <c r="H31" s="171">
        <v>18002</v>
      </c>
      <c r="I31" s="179"/>
      <c r="J31" s="338"/>
      <c r="K31" s="73">
        <f t="shared" si="0"/>
        <v>27786</v>
      </c>
      <c r="L31" s="173">
        <f t="shared" si="1"/>
        <v>1459062</v>
      </c>
      <c r="M31" s="172">
        <f t="shared" si="2"/>
        <v>1.9413446463155903E-2</v>
      </c>
      <c r="N31" s="15">
        <v>4246</v>
      </c>
      <c r="O31" s="15">
        <v>232</v>
      </c>
      <c r="P31" s="15">
        <v>31495</v>
      </c>
      <c r="Q31" s="15"/>
      <c r="R31" s="15"/>
      <c r="S31" s="15"/>
      <c r="T31" s="170">
        <f t="shared" si="3"/>
        <v>35973</v>
      </c>
      <c r="U31" s="14">
        <f t="shared" si="4"/>
        <v>35973</v>
      </c>
      <c r="V31" s="170">
        <f t="shared" si="5"/>
        <v>1495035</v>
      </c>
      <c r="W31" s="159">
        <f t="shared" si="6"/>
        <v>2.465488101259572E-2</v>
      </c>
      <c r="X31" s="346"/>
      <c r="Y31" s="373">
        <f t="shared" si="7"/>
        <v>1495035</v>
      </c>
      <c r="Z31" s="18"/>
      <c r="AA31" s="18"/>
      <c r="AB31" s="18"/>
      <c r="AC31" s="18"/>
      <c r="AD31" s="18"/>
      <c r="AE31" s="18"/>
      <c r="AF31" s="18"/>
      <c r="AG31" s="18"/>
    </row>
    <row r="32" spans="1:33" s="90" customFormat="1" x14ac:dyDescent="0.25">
      <c r="A32" s="71" t="s">
        <v>29</v>
      </c>
      <c r="B32" s="72">
        <v>4</v>
      </c>
      <c r="C32" s="178">
        <v>1823431</v>
      </c>
      <c r="D32" s="177">
        <v>1822336</v>
      </c>
      <c r="E32" s="176">
        <v>22806</v>
      </c>
      <c r="F32" s="175">
        <v>1845142</v>
      </c>
      <c r="G32" s="174">
        <v>11860</v>
      </c>
      <c r="H32" s="171">
        <v>20983</v>
      </c>
      <c r="I32" s="179"/>
      <c r="J32" s="338"/>
      <c r="K32" s="73">
        <f t="shared" si="0"/>
        <v>32843</v>
      </c>
      <c r="L32" s="173">
        <f t="shared" si="1"/>
        <v>1877985</v>
      </c>
      <c r="M32" s="172">
        <f t="shared" si="2"/>
        <v>1.7799714059947735E-2</v>
      </c>
      <c r="N32" s="15"/>
      <c r="O32" s="15"/>
      <c r="P32" s="15">
        <v>40407</v>
      </c>
      <c r="Q32" s="15">
        <v>165000</v>
      </c>
      <c r="R32" s="15"/>
      <c r="S32" s="15"/>
      <c r="T32" s="170">
        <f t="shared" si="3"/>
        <v>205407</v>
      </c>
      <c r="U32" s="14">
        <f t="shared" si="4"/>
        <v>40407</v>
      </c>
      <c r="V32" s="170">
        <f t="shared" si="5"/>
        <v>2083392</v>
      </c>
      <c r="W32" s="159">
        <f t="shared" si="6"/>
        <v>0.10937627297342623</v>
      </c>
      <c r="X32" s="347">
        <v>3</v>
      </c>
      <c r="Y32" s="373">
        <f t="shared" si="7"/>
        <v>1918392</v>
      </c>
      <c r="Z32" s="18"/>
      <c r="AA32" s="18"/>
      <c r="AB32" s="18"/>
      <c r="AC32" s="18"/>
      <c r="AD32" s="18"/>
      <c r="AE32" s="18"/>
      <c r="AF32" s="18"/>
      <c r="AG32" s="18"/>
    </row>
    <row r="33" spans="1:33" s="90" customFormat="1" x14ac:dyDescent="0.25">
      <c r="A33" s="71" t="s">
        <v>30</v>
      </c>
      <c r="B33" s="72">
        <v>4</v>
      </c>
      <c r="C33" s="178">
        <v>1872231</v>
      </c>
      <c r="D33" s="177">
        <v>1797783</v>
      </c>
      <c r="E33" s="176">
        <v>25531</v>
      </c>
      <c r="F33" s="175">
        <v>1823314</v>
      </c>
      <c r="G33" s="174">
        <v>15724</v>
      </c>
      <c r="H33" s="171">
        <v>17810</v>
      </c>
      <c r="I33" s="179"/>
      <c r="J33" s="338"/>
      <c r="K33" s="73">
        <f t="shared" si="0"/>
        <v>33534</v>
      </c>
      <c r="L33" s="173">
        <f t="shared" si="1"/>
        <v>1856848</v>
      </c>
      <c r="M33" s="172">
        <f t="shared" si="2"/>
        <v>1.839178550704923E-2</v>
      </c>
      <c r="N33" s="15"/>
      <c r="O33" s="15">
        <v>7209</v>
      </c>
      <c r="P33" s="15">
        <v>50906</v>
      </c>
      <c r="Q33" s="15">
        <f>289886-47092</f>
        <v>242794</v>
      </c>
      <c r="R33" s="15"/>
      <c r="S33" s="15"/>
      <c r="T33" s="170">
        <f t="shared" si="3"/>
        <v>300909</v>
      </c>
      <c r="U33" s="14">
        <f t="shared" si="4"/>
        <v>58115</v>
      </c>
      <c r="V33" s="170">
        <f t="shared" si="5"/>
        <v>2157757</v>
      </c>
      <c r="W33" s="159">
        <f t="shared" si="6"/>
        <v>0.16205365221062795</v>
      </c>
      <c r="X33" s="347">
        <v>5</v>
      </c>
      <c r="Y33" s="373">
        <f t="shared" si="7"/>
        <v>1914963</v>
      </c>
      <c r="Z33" s="18"/>
      <c r="AA33" s="18"/>
      <c r="AB33" s="18"/>
      <c r="AC33" s="18"/>
      <c r="AD33" s="18"/>
      <c r="AE33" s="18"/>
      <c r="AF33" s="18"/>
      <c r="AG33" s="18"/>
    </row>
    <row r="34" spans="1:33" s="90" customFormat="1" x14ac:dyDescent="0.25">
      <c r="A34" s="71" t="s">
        <v>31</v>
      </c>
      <c r="B34" s="72">
        <v>4</v>
      </c>
      <c r="C34" s="178">
        <v>3015965</v>
      </c>
      <c r="D34" s="177">
        <v>3012311</v>
      </c>
      <c r="E34" s="176">
        <v>39122</v>
      </c>
      <c r="F34" s="175">
        <v>3051433</v>
      </c>
      <c r="G34" s="174">
        <v>19566</v>
      </c>
      <c r="H34" s="171">
        <v>31983</v>
      </c>
      <c r="I34" s="179"/>
      <c r="J34" s="338">
        <v>1511</v>
      </c>
      <c r="K34" s="73">
        <f t="shared" si="0"/>
        <v>51549</v>
      </c>
      <c r="L34" s="173">
        <f t="shared" si="1"/>
        <v>3102982</v>
      </c>
      <c r="M34" s="172">
        <f t="shared" si="2"/>
        <v>1.6893374358866842E-2</v>
      </c>
      <c r="N34" s="15">
        <v>685</v>
      </c>
      <c r="O34" s="15"/>
      <c r="P34" s="15">
        <v>71283</v>
      </c>
      <c r="Q34" s="15">
        <v>36478</v>
      </c>
      <c r="R34" s="15"/>
      <c r="S34" s="15"/>
      <c r="T34" s="170">
        <f t="shared" si="3"/>
        <v>108446</v>
      </c>
      <c r="U34" s="14">
        <f t="shared" si="4"/>
        <v>71968</v>
      </c>
      <c r="V34" s="170">
        <f t="shared" si="5"/>
        <v>3211428</v>
      </c>
      <c r="W34" s="159">
        <f t="shared" si="6"/>
        <v>3.4948961998490402E-2</v>
      </c>
      <c r="X34" s="346">
        <v>0.75</v>
      </c>
      <c r="Y34" s="373">
        <f t="shared" si="7"/>
        <v>3174950</v>
      </c>
      <c r="Z34" s="18"/>
      <c r="AA34" s="18"/>
      <c r="AB34" s="18"/>
      <c r="AC34" s="18"/>
      <c r="AD34" s="18"/>
      <c r="AE34" s="18"/>
      <c r="AF34" s="18"/>
      <c r="AG34" s="18"/>
    </row>
    <row r="35" spans="1:33" s="90" customFormat="1" x14ac:dyDescent="0.25">
      <c r="A35" s="71" t="s">
        <v>32</v>
      </c>
      <c r="B35" s="72">
        <v>4</v>
      </c>
      <c r="C35" s="178">
        <v>1562829</v>
      </c>
      <c r="D35" s="177">
        <v>1562176</v>
      </c>
      <c r="E35" s="176">
        <v>22306</v>
      </c>
      <c r="F35" s="175">
        <v>1584482</v>
      </c>
      <c r="G35" s="174">
        <v>10038</v>
      </c>
      <c r="H35" s="171">
        <v>15861</v>
      </c>
      <c r="I35" s="179"/>
      <c r="J35" s="338"/>
      <c r="K35" s="73">
        <f t="shared" si="0"/>
        <v>25899</v>
      </c>
      <c r="L35" s="173">
        <f t="shared" si="1"/>
        <v>1610381</v>
      </c>
      <c r="M35" s="172">
        <f t="shared" si="2"/>
        <v>1.6345404996711776E-2</v>
      </c>
      <c r="N35" s="15"/>
      <c r="O35" s="15">
        <f>24030-H35</f>
        <v>8169</v>
      </c>
      <c r="P35" s="15">
        <v>36004</v>
      </c>
      <c r="Q35" s="15"/>
      <c r="R35" s="15"/>
      <c r="S35" s="15"/>
      <c r="T35" s="170">
        <f t="shared" si="3"/>
        <v>44173</v>
      </c>
      <c r="U35" s="14">
        <f t="shared" si="4"/>
        <v>44173</v>
      </c>
      <c r="V35" s="170">
        <f t="shared" si="5"/>
        <v>1654554</v>
      </c>
      <c r="W35" s="159">
        <f t="shared" si="6"/>
        <v>2.7430154727359657E-2</v>
      </c>
      <c r="X35" s="346"/>
      <c r="Y35" s="373">
        <f t="shared" si="7"/>
        <v>1654554</v>
      </c>
      <c r="Z35" s="18"/>
      <c r="AA35" s="18"/>
      <c r="AB35" s="18"/>
      <c r="AC35" s="18"/>
      <c r="AD35" s="18"/>
      <c r="AE35" s="18"/>
      <c r="AF35" s="18"/>
      <c r="AG35" s="18"/>
    </row>
    <row r="36" spans="1:33" s="90" customFormat="1" x14ac:dyDescent="0.25">
      <c r="A36" s="71" t="s">
        <v>33</v>
      </c>
      <c r="B36" s="72">
        <v>4</v>
      </c>
      <c r="C36" s="178">
        <v>1993279</v>
      </c>
      <c r="D36" s="177">
        <v>1948668</v>
      </c>
      <c r="E36" s="176">
        <v>47231</v>
      </c>
      <c r="F36" s="175">
        <v>1995899</v>
      </c>
      <c r="G36" s="174">
        <v>17704</v>
      </c>
      <c r="H36" s="171">
        <v>20912</v>
      </c>
      <c r="I36" s="179"/>
      <c r="J36" s="338"/>
      <c r="K36" s="73">
        <f t="shared" ref="K36:K70" si="8">SUM(G36:I36)</f>
        <v>38616</v>
      </c>
      <c r="L36" s="173">
        <f t="shared" ref="L36:L70" si="9">SUM(F36:I36)</f>
        <v>2034515</v>
      </c>
      <c r="M36" s="172">
        <f t="shared" ref="M36:M67" si="10">(L36/F36)-1</f>
        <v>1.9347672402260763E-2</v>
      </c>
      <c r="N36" s="15">
        <v>2558</v>
      </c>
      <c r="O36" s="15">
        <v>2355</v>
      </c>
      <c r="P36" s="15">
        <v>56456</v>
      </c>
      <c r="Q36" s="15"/>
      <c r="R36" s="15"/>
      <c r="S36" s="15"/>
      <c r="T36" s="170">
        <f t="shared" ref="T36:T67" si="11">SUM(N36:S36)</f>
        <v>61369</v>
      </c>
      <c r="U36" s="14">
        <f t="shared" ref="U36:U67" si="12">T36-Q36</f>
        <v>61369</v>
      </c>
      <c r="V36" s="170">
        <f t="shared" ref="V36:V70" si="13">T36+L36</f>
        <v>2095884</v>
      </c>
      <c r="W36" s="159">
        <f t="shared" ref="W36:W67" si="14">V36/L36-1</f>
        <v>3.0163945706962014E-2</v>
      </c>
      <c r="X36" s="346"/>
      <c r="Y36" s="373">
        <f t="shared" ref="Y36:Y70" si="15">V36-Q36</f>
        <v>2095884</v>
      </c>
      <c r="Z36" s="18"/>
      <c r="AA36" s="18"/>
      <c r="AB36" s="18"/>
      <c r="AC36" s="18"/>
      <c r="AD36" s="18"/>
      <c r="AE36" s="18"/>
      <c r="AF36" s="18"/>
      <c r="AG36" s="18"/>
    </row>
    <row r="37" spans="1:33" s="90" customFormat="1" x14ac:dyDescent="0.25">
      <c r="A37" s="71" t="s">
        <v>34</v>
      </c>
      <c r="B37" s="72">
        <v>4</v>
      </c>
      <c r="C37" s="178">
        <v>1864635</v>
      </c>
      <c r="D37" s="177">
        <v>1872818</v>
      </c>
      <c r="E37" s="176">
        <v>29449</v>
      </c>
      <c r="F37" s="175">
        <v>1902267</v>
      </c>
      <c r="G37" s="174">
        <v>15172</v>
      </c>
      <c r="H37" s="171">
        <v>22077</v>
      </c>
      <c r="I37" s="179"/>
      <c r="J37" s="338"/>
      <c r="K37" s="73">
        <f t="shared" si="8"/>
        <v>37249</v>
      </c>
      <c r="L37" s="173">
        <f t="shared" si="9"/>
        <v>1939516</v>
      </c>
      <c r="M37" s="172">
        <f t="shared" si="10"/>
        <v>1.9581373172115057E-2</v>
      </c>
      <c r="N37" s="15">
        <v>6661</v>
      </c>
      <c r="O37" s="15">
        <v>9448</v>
      </c>
      <c r="P37" s="15">
        <v>55931</v>
      </c>
      <c r="Q37" s="15"/>
      <c r="R37" s="15"/>
      <c r="S37" s="15"/>
      <c r="T37" s="170">
        <f t="shared" si="11"/>
        <v>72040</v>
      </c>
      <c r="U37" s="14">
        <f t="shared" si="12"/>
        <v>72040</v>
      </c>
      <c r="V37" s="170">
        <f t="shared" si="13"/>
        <v>2011556</v>
      </c>
      <c r="W37" s="159">
        <f t="shared" si="14"/>
        <v>3.7143287294356009E-2</v>
      </c>
      <c r="X37" s="346"/>
      <c r="Y37" s="373">
        <f t="shared" si="15"/>
        <v>2011556</v>
      </c>
      <c r="Z37" s="18"/>
      <c r="AA37" s="18"/>
      <c r="AB37" s="18"/>
      <c r="AC37" s="18"/>
      <c r="AD37" s="18"/>
      <c r="AE37" s="18"/>
      <c r="AF37" s="18"/>
      <c r="AG37" s="18"/>
    </row>
    <row r="38" spans="1:33" s="90" customFormat="1" x14ac:dyDescent="0.25">
      <c r="A38" s="71" t="s">
        <v>35</v>
      </c>
      <c r="B38" s="72">
        <v>4</v>
      </c>
      <c r="C38" s="178">
        <v>1632548</v>
      </c>
      <c r="D38" s="177">
        <v>1637478</v>
      </c>
      <c r="E38" s="176">
        <v>21742</v>
      </c>
      <c r="F38" s="175">
        <v>1659220</v>
      </c>
      <c r="G38" s="174">
        <v>12369</v>
      </c>
      <c r="H38" s="171">
        <v>17314</v>
      </c>
      <c r="I38" s="179"/>
      <c r="J38" s="338"/>
      <c r="K38" s="73">
        <f t="shared" si="8"/>
        <v>29683</v>
      </c>
      <c r="L38" s="173">
        <f t="shared" si="9"/>
        <v>1688903</v>
      </c>
      <c r="M38" s="172">
        <f t="shared" si="10"/>
        <v>1.788973131953564E-2</v>
      </c>
      <c r="N38" s="15">
        <v>3440</v>
      </c>
      <c r="O38" s="15">
        <f>4430-339</f>
        <v>4091</v>
      </c>
      <c r="P38" s="15">
        <v>38254</v>
      </c>
      <c r="Q38" s="15">
        <f>108295+339</f>
        <v>108634</v>
      </c>
      <c r="R38" s="15"/>
      <c r="S38" s="15">
        <f>25000</f>
        <v>25000</v>
      </c>
      <c r="T38" s="170">
        <f t="shared" si="11"/>
        <v>179419</v>
      </c>
      <c r="U38" s="14">
        <f t="shared" si="12"/>
        <v>70785</v>
      </c>
      <c r="V38" s="170">
        <f t="shared" si="13"/>
        <v>1868322</v>
      </c>
      <c r="W38" s="159">
        <f t="shared" si="14"/>
        <v>0.10623404659711078</v>
      </c>
      <c r="X38" s="347">
        <v>2</v>
      </c>
      <c r="Y38" s="373">
        <f t="shared" si="15"/>
        <v>1759688</v>
      </c>
      <c r="Z38" s="18"/>
      <c r="AA38" s="18"/>
      <c r="AB38" s="18"/>
      <c r="AC38" s="18"/>
      <c r="AD38" s="18"/>
      <c r="AE38" s="18"/>
      <c r="AF38" s="18"/>
      <c r="AG38" s="18"/>
    </row>
    <row r="39" spans="1:33" s="90" customFormat="1" x14ac:dyDescent="0.25">
      <c r="A39" s="71" t="s">
        <v>36</v>
      </c>
      <c r="B39" s="72">
        <v>5</v>
      </c>
      <c r="C39" s="178">
        <v>6101007</v>
      </c>
      <c r="D39" s="177">
        <v>5852988</v>
      </c>
      <c r="E39" s="176">
        <v>116100</v>
      </c>
      <c r="F39" s="175">
        <v>5969088</v>
      </c>
      <c r="G39" s="174">
        <v>37869</v>
      </c>
      <c r="H39" s="171">
        <v>65931</v>
      </c>
      <c r="I39" s="179"/>
      <c r="J39" s="338">
        <v>153721</v>
      </c>
      <c r="K39" s="73">
        <f t="shared" si="8"/>
        <v>103800</v>
      </c>
      <c r="L39" s="173">
        <f t="shared" si="9"/>
        <v>6072888</v>
      </c>
      <c r="M39" s="172">
        <f t="shared" si="10"/>
        <v>1.7389591173726959E-2</v>
      </c>
      <c r="N39" s="15">
        <v>9890</v>
      </c>
      <c r="O39" s="15"/>
      <c r="P39" s="15">
        <v>130697</v>
      </c>
      <c r="Q39" s="15">
        <v>348805</v>
      </c>
      <c r="R39" s="15"/>
      <c r="S39" s="15"/>
      <c r="T39" s="170">
        <f t="shared" si="11"/>
        <v>489392</v>
      </c>
      <c r="U39" s="14">
        <f t="shared" si="12"/>
        <v>140587</v>
      </c>
      <c r="V39" s="170">
        <f t="shared" si="13"/>
        <v>6562280</v>
      </c>
      <c r="W39" s="159">
        <f t="shared" si="14"/>
        <v>8.0586370109246186E-2</v>
      </c>
      <c r="X39" s="346">
        <v>3.66</v>
      </c>
      <c r="Y39" s="373">
        <f t="shared" si="15"/>
        <v>6213475</v>
      </c>
      <c r="Z39" s="18"/>
      <c r="AA39" s="18"/>
      <c r="AB39" s="18"/>
      <c r="AC39" s="18"/>
      <c r="AD39" s="18"/>
      <c r="AE39" s="18"/>
      <c r="AF39" s="18"/>
      <c r="AG39" s="18"/>
    </row>
    <row r="40" spans="1:33" s="90" customFormat="1" x14ac:dyDescent="0.25">
      <c r="A40" s="71" t="s">
        <v>37</v>
      </c>
      <c r="B40" s="72">
        <v>5</v>
      </c>
      <c r="C40" s="178">
        <v>3564967</v>
      </c>
      <c r="D40" s="177">
        <v>3551816</v>
      </c>
      <c r="E40" s="181">
        <v>34936</v>
      </c>
      <c r="F40" s="175">
        <v>3586752</v>
      </c>
      <c r="G40" s="174">
        <v>21781</v>
      </c>
      <c r="H40" s="171">
        <v>59548</v>
      </c>
      <c r="I40" s="179"/>
      <c r="J40" s="338"/>
      <c r="K40" s="73">
        <f t="shared" si="8"/>
        <v>81329</v>
      </c>
      <c r="L40" s="173">
        <f t="shared" si="9"/>
        <v>3668081</v>
      </c>
      <c r="M40" s="172">
        <f t="shared" si="10"/>
        <v>2.2674832271648571E-2</v>
      </c>
      <c r="N40" s="15">
        <v>4385</v>
      </c>
      <c r="O40" s="15"/>
      <c r="P40" s="15">
        <v>73281</v>
      </c>
      <c r="Q40" s="15"/>
      <c r="R40" s="15"/>
      <c r="S40" s="15"/>
      <c r="T40" s="170">
        <f t="shared" si="11"/>
        <v>77666</v>
      </c>
      <c r="U40" s="14">
        <f t="shared" si="12"/>
        <v>77666</v>
      </c>
      <c r="V40" s="170">
        <f t="shared" si="13"/>
        <v>3745747</v>
      </c>
      <c r="W40" s="159">
        <f t="shared" si="14"/>
        <v>2.1173469179115667E-2</v>
      </c>
      <c r="X40" s="346"/>
      <c r="Y40" s="373">
        <f t="shared" si="15"/>
        <v>3745747</v>
      </c>
      <c r="Z40" s="18"/>
      <c r="AA40" s="18"/>
      <c r="AB40" s="18"/>
      <c r="AC40" s="18"/>
      <c r="AD40" s="18"/>
      <c r="AE40" s="18"/>
      <c r="AF40" s="18"/>
      <c r="AG40" s="18"/>
    </row>
    <row r="41" spans="1:33" s="90" customFormat="1" x14ac:dyDescent="0.25">
      <c r="A41" s="71" t="s">
        <v>38</v>
      </c>
      <c r="B41" s="72">
        <v>5</v>
      </c>
      <c r="C41" s="178">
        <v>3675597</v>
      </c>
      <c r="D41" s="177">
        <v>3677494</v>
      </c>
      <c r="E41" s="176">
        <v>46350</v>
      </c>
      <c r="F41" s="175">
        <v>3723844</v>
      </c>
      <c r="G41" s="174">
        <v>28213</v>
      </c>
      <c r="H41" s="171">
        <v>39655</v>
      </c>
      <c r="I41" s="179"/>
      <c r="J41" s="338"/>
      <c r="K41" s="73">
        <f t="shared" si="8"/>
        <v>67868</v>
      </c>
      <c r="L41" s="173">
        <f t="shared" si="9"/>
        <v>3791712</v>
      </c>
      <c r="M41" s="172">
        <f t="shared" si="10"/>
        <v>1.8225253259803509E-2</v>
      </c>
      <c r="N41" s="15">
        <v>1735</v>
      </c>
      <c r="O41" s="15"/>
      <c r="P41" s="15">
        <v>89392</v>
      </c>
      <c r="Q41" s="15">
        <v>53000</v>
      </c>
      <c r="R41" s="15"/>
      <c r="S41" s="15"/>
      <c r="T41" s="170">
        <f t="shared" si="11"/>
        <v>144127</v>
      </c>
      <c r="U41" s="14">
        <f t="shared" si="12"/>
        <v>91127</v>
      </c>
      <c r="V41" s="170">
        <f t="shared" si="13"/>
        <v>3935839</v>
      </c>
      <c r="W41" s="159">
        <f t="shared" si="14"/>
        <v>3.8011062021588105E-2</v>
      </c>
      <c r="X41" s="347">
        <v>1</v>
      </c>
      <c r="Y41" s="373">
        <f t="shared" si="15"/>
        <v>3882839</v>
      </c>
      <c r="Z41" s="18"/>
      <c r="AA41" s="18"/>
      <c r="AB41" s="18"/>
      <c r="AC41" s="18"/>
      <c r="AD41" s="18"/>
      <c r="AE41" s="18"/>
      <c r="AF41" s="18"/>
      <c r="AG41" s="18"/>
    </row>
    <row r="42" spans="1:33" s="90" customFormat="1" x14ac:dyDescent="0.25">
      <c r="A42" s="71" t="s">
        <v>39</v>
      </c>
      <c r="B42" s="72">
        <v>5</v>
      </c>
      <c r="C42" s="178">
        <v>3415436</v>
      </c>
      <c r="D42" s="177">
        <v>3406080</v>
      </c>
      <c r="E42" s="176">
        <v>34582</v>
      </c>
      <c r="F42" s="175">
        <v>3440662</v>
      </c>
      <c r="G42" s="174">
        <v>19738</v>
      </c>
      <c r="H42" s="171">
        <v>59054</v>
      </c>
      <c r="I42" s="179"/>
      <c r="J42" s="338">
        <v>203628</v>
      </c>
      <c r="K42" s="73">
        <f t="shared" si="8"/>
        <v>78792</v>
      </c>
      <c r="L42" s="173">
        <f t="shared" si="9"/>
        <v>3519454</v>
      </c>
      <c r="M42" s="172">
        <f t="shared" si="10"/>
        <v>2.2900244197192388E-2</v>
      </c>
      <c r="N42" s="15">
        <v>8786</v>
      </c>
      <c r="O42" s="15"/>
      <c r="P42" s="15">
        <v>74216</v>
      </c>
      <c r="Q42" s="15"/>
      <c r="R42" s="15"/>
      <c r="S42" s="15"/>
      <c r="T42" s="170">
        <f t="shared" si="11"/>
        <v>83002</v>
      </c>
      <c r="U42" s="14">
        <f t="shared" si="12"/>
        <v>83002</v>
      </c>
      <c r="V42" s="170">
        <f t="shared" si="13"/>
        <v>3602456</v>
      </c>
      <c r="W42" s="159">
        <f t="shared" si="14"/>
        <v>2.3583771800966824E-2</v>
      </c>
      <c r="X42" s="346"/>
      <c r="Y42" s="373">
        <f t="shared" si="15"/>
        <v>3602456</v>
      </c>
      <c r="Z42" s="18"/>
      <c r="AA42" s="18"/>
      <c r="AB42" s="18"/>
      <c r="AC42" s="18"/>
      <c r="AD42" s="18"/>
      <c r="AE42" s="18"/>
      <c r="AF42" s="18"/>
      <c r="AG42" s="18"/>
    </row>
    <row r="43" spans="1:33" s="90" customFormat="1" x14ac:dyDescent="0.25">
      <c r="A43" s="71" t="s">
        <v>40</v>
      </c>
      <c r="B43" s="72">
        <v>5</v>
      </c>
      <c r="C43" s="178">
        <v>3601519</v>
      </c>
      <c r="D43" s="177">
        <v>3587770</v>
      </c>
      <c r="E43" s="176">
        <v>44189</v>
      </c>
      <c r="F43" s="175">
        <v>3631959</v>
      </c>
      <c r="G43" s="174">
        <v>19337</v>
      </c>
      <c r="H43" s="171">
        <v>34482</v>
      </c>
      <c r="I43" s="179"/>
      <c r="J43" s="338"/>
      <c r="K43" s="73">
        <f t="shared" si="8"/>
        <v>53819</v>
      </c>
      <c r="L43" s="173">
        <f t="shared" si="9"/>
        <v>3685778</v>
      </c>
      <c r="M43" s="172">
        <f t="shared" si="10"/>
        <v>1.4818173883570873E-2</v>
      </c>
      <c r="N43" s="15">
        <v>1388</v>
      </c>
      <c r="O43" s="15">
        <v>1884</v>
      </c>
      <c r="P43" s="15">
        <v>70050</v>
      </c>
      <c r="Q43" s="15">
        <v>76936</v>
      </c>
      <c r="R43" s="15"/>
      <c r="S43" s="15"/>
      <c r="T43" s="170">
        <f t="shared" si="11"/>
        <v>150258</v>
      </c>
      <c r="U43" s="14">
        <f t="shared" si="12"/>
        <v>73322</v>
      </c>
      <c r="V43" s="170">
        <f t="shared" si="13"/>
        <v>3836036</v>
      </c>
      <c r="W43" s="159">
        <f t="shared" si="14"/>
        <v>4.0766969687268118E-2</v>
      </c>
      <c r="X43" s="347">
        <v>1</v>
      </c>
      <c r="Y43" s="373">
        <f t="shared" si="15"/>
        <v>3759100</v>
      </c>
      <c r="Z43" s="18"/>
      <c r="AA43" s="18"/>
      <c r="AB43" s="18"/>
      <c r="AC43" s="18"/>
      <c r="AD43" s="18"/>
      <c r="AE43" s="18"/>
      <c r="AF43" s="18"/>
      <c r="AG43" s="18"/>
    </row>
    <row r="44" spans="1:33" s="90" customFormat="1" x14ac:dyDescent="0.25">
      <c r="A44" s="71" t="s">
        <v>41</v>
      </c>
      <c r="B44" s="72">
        <v>5</v>
      </c>
      <c r="C44" s="178">
        <v>3681004</v>
      </c>
      <c r="D44" s="177">
        <v>3520344</v>
      </c>
      <c r="E44" s="176">
        <v>46633</v>
      </c>
      <c r="F44" s="175">
        <v>3566977</v>
      </c>
      <c r="G44" s="174">
        <v>23417</v>
      </c>
      <c r="H44" s="171">
        <v>45377</v>
      </c>
      <c r="I44" s="179"/>
      <c r="J44" s="338"/>
      <c r="K44" s="73">
        <f t="shared" si="8"/>
        <v>68794</v>
      </c>
      <c r="L44" s="173">
        <f t="shared" si="9"/>
        <v>3635771</v>
      </c>
      <c r="M44" s="172">
        <f t="shared" si="10"/>
        <v>1.9286359289673038E-2</v>
      </c>
      <c r="N44" s="15">
        <v>19020</v>
      </c>
      <c r="O44" s="15">
        <f>68752-H44</f>
        <v>23375</v>
      </c>
      <c r="P44" s="15">
        <v>85211</v>
      </c>
      <c r="Q44" s="15"/>
      <c r="R44" s="15"/>
      <c r="S44" s="15"/>
      <c r="T44" s="170">
        <f t="shared" si="11"/>
        <v>127606</v>
      </c>
      <c r="U44" s="14">
        <f t="shared" si="12"/>
        <v>127606</v>
      </c>
      <c r="V44" s="170">
        <f t="shared" si="13"/>
        <v>3763377</v>
      </c>
      <c r="W44" s="159">
        <f t="shared" si="14"/>
        <v>3.5097369993874805E-2</v>
      </c>
      <c r="X44" s="346"/>
      <c r="Y44" s="373">
        <f t="shared" si="15"/>
        <v>3763377</v>
      </c>
      <c r="Z44" s="18"/>
      <c r="AA44" s="18"/>
      <c r="AB44" s="18"/>
      <c r="AC44" s="18"/>
      <c r="AD44" s="18"/>
      <c r="AE44" s="18"/>
      <c r="AF44" s="18"/>
      <c r="AG44" s="18"/>
    </row>
    <row r="45" spans="1:33" s="90" customFormat="1" x14ac:dyDescent="0.25">
      <c r="A45" s="71" t="s">
        <v>42</v>
      </c>
      <c r="B45" s="72">
        <v>5</v>
      </c>
      <c r="C45" s="178">
        <v>3684787</v>
      </c>
      <c r="D45" s="177">
        <v>3675742</v>
      </c>
      <c r="E45" s="176">
        <v>0</v>
      </c>
      <c r="F45" s="175">
        <v>3675742</v>
      </c>
      <c r="G45" s="174">
        <v>24177</v>
      </c>
      <c r="H45" s="171">
        <v>37557</v>
      </c>
      <c r="I45" s="180"/>
      <c r="J45" s="338"/>
      <c r="K45" s="73">
        <f t="shared" si="8"/>
        <v>61734</v>
      </c>
      <c r="L45" s="173">
        <f t="shared" si="9"/>
        <v>3737476</v>
      </c>
      <c r="M45" s="172">
        <f t="shared" si="10"/>
        <v>1.6794976361235392E-2</v>
      </c>
      <c r="N45" s="15"/>
      <c r="O45" s="15"/>
      <c r="P45" s="15">
        <v>84433</v>
      </c>
      <c r="Q45" s="15"/>
      <c r="R45" s="15"/>
      <c r="S45" s="15"/>
      <c r="T45" s="170">
        <f t="shared" si="11"/>
        <v>84433</v>
      </c>
      <c r="U45" s="14">
        <f t="shared" si="12"/>
        <v>84433</v>
      </c>
      <c r="V45" s="170">
        <f t="shared" si="13"/>
        <v>3821909</v>
      </c>
      <c r="W45" s="159">
        <f t="shared" si="14"/>
        <v>2.2590914296171993E-2</v>
      </c>
      <c r="X45" s="346"/>
      <c r="Y45" s="373">
        <f t="shared" si="15"/>
        <v>3821909</v>
      </c>
      <c r="Z45" s="18"/>
      <c r="AA45" s="18"/>
      <c r="AB45" s="18"/>
      <c r="AC45" s="18"/>
      <c r="AD45" s="18"/>
      <c r="AE45" s="18"/>
      <c r="AF45" s="18"/>
      <c r="AG45" s="18"/>
    </row>
    <row r="46" spans="1:33" s="90" customFormat="1" x14ac:dyDescent="0.25">
      <c r="A46" s="71" t="s">
        <v>43</v>
      </c>
      <c r="B46" s="72">
        <v>5</v>
      </c>
      <c r="C46" s="178">
        <v>3565949</v>
      </c>
      <c r="D46" s="177">
        <v>3556024</v>
      </c>
      <c r="E46" s="176">
        <v>32600</v>
      </c>
      <c r="F46" s="175">
        <v>3588624</v>
      </c>
      <c r="G46" s="174">
        <v>24581</v>
      </c>
      <c r="H46" s="171">
        <v>43080</v>
      </c>
      <c r="I46" s="179">
        <v>61260</v>
      </c>
      <c r="J46" s="338"/>
      <c r="K46" s="73">
        <f t="shared" si="8"/>
        <v>128921</v>
      </c>
      <c r="L46" s="173">
        <f t="shared" si="9"/>
        <v>3717545</v>
      </c>
      <c r="M46" s="172">
        <f t="shared" si="10"/>
        <v>3.5924911609575227E-2</v>
      </c>
      <c r="N46" s="15"/>
      <c r="O46" s="15"/>
      <c r="P46" s="15">
        <v>78119</v>
      </c>
      <c r="Q46" s="15"/>
      <c r="R46" s="15"/>
      <c r="S46" s="15"/>
      <c r="T46" s="170">
        <f t="shared" si="11"/>
        <v>78119</v>
      </c>
      <c r="U46" s="14">
        <f t="shared" si="12"/>
        <v>78119</v>
      </c>
      <c r="V46" s="170">
        <f t="shared" si="13"/>
        <v>3795664</v>
      </c>
      <c r="W46" s="159">
        <f t="shared" si="14"/>
        <v>2.1013599028391061E-2</v>
      </c>
      <c r="X46" s="346"/>
      <c r="Y46" s="373">
        <f t="shared" si="15"/>
        <v>3795664</v>
      </c>
      <c r="Z46" s="18"/>
      <c r="AA46" s="18"/>
      <c r="AB46" s="18"/>
      <c r="AC46" s="18"/>
      <c r="AD46" s="18"/>
      <c r="AE46" s="18"/>
      <c r="AF46" s="18"/>
      <c r="AG46" s="18"/>
    </row>
    <row r="47" spans="1:33" s="90" customFormat="1" x14ac:dyDescent="0.25">
      <c r="A47" s="71" t="s">
        <v>44</v>
      </c>
      <c r="B47" s="72">
        <v>5</v>
      </c>
      <c r="C47" s="178">
        <v>3167828</v>
      </c>
      <c r="D47" s="177">
        <v>3166438</v>
      </c>
      <c r="E47" s="176">
        <v>33000</v>
      </c>
      <c r="F47" s="175">
        <v>3199438</v>
      </c>
      <c r="G47" s="174">
        <v>19977</v>
      </c>
      <c r="H47" s="171">
        <v>53686</v>
      </c>
      <c r="I47" s="179"/>
      <c r="J47" s="338"/>
      <c r="K47" s="73">
        <f t="shared" si="8"/>
        <v>73663</v>
      </c>
      <c r="L47" s="173">
        <f t="shared" si="9"/>
        <v>3273101</v>
      </c>
      <c r="M47" s="172">
        <f t="shared" si="10"/>
        <v>2.3023731042764339E-2</v>
      </c>
      <c r="N47" s="15">
        <v>7570</v>
      </c>
      <c r="O47" s="15">
        <v>14380</v>
      </c>
      <c r="P47" s="15">
        <v>74201</v>
      </c>
      <c r="Q47" s="15"/>
      <c r="R47" s="15"/>
      <c r="S47" s="15"/>
      <c r="T47" s="170">
        <f t="shared" si="11"/>
        <v>96151</v>
      </c>
      <c r="U47" s="14">
        <f t="shared" si="12"/>
        <v>96151</v>
      </c>
      <c r="V47" s="170">
        <f t="shared" si="13"/>
        <v>3369252</v>
      </c>
      <c r="W47" s="159">
        <f t="shared" si="14"/>
        <v>2.9376117632789134E-2</v>
      </c>
      <c r="X47" s="346"/>
      <c r="Y47" s="373">
        <f t="shared" si="15"/>
        <v>3369252</v>
      </c>
      <c r="Z47" s="18"/>
      <c r="AA47" s="18"/>
      <c r="AB47" s="18"/>
      <c r="AC47" s="18"/>
      <c r="AD47" s="18"/>
      <c r="AE47" s="18"/>
      <c r="AF47" s="18"/>
      <c r="AG47" s="18"/>
    </row>
    <row r="48" spans="1:33" s="90" customFormat="1" x14ac:dyDescent="0.25">
      <c r="A48" s="71" t="s">
        <v>45</v>
      </c>
      <c r="B48" s="72">
        <v>6</v>
      </c>
      <c r="C48" s="178">
        <v>3663308</v>
      </c>
      <c r="D48" s="177">
        <v>3659281</v>
      </c>
      <c r="E48" s="176">
        <v>37755</v>
      </c>
      <c r="F48" s="175">
        <v>3697036</v>
      </c>
      <c r="G48" s="174">
        <v>23212</v>
      </c>
      <c r="H48" s="171">
        <v>38926</v>
      </c>
      <c r="I48" s="179">
        <f>59555*2</f>
        <v>119110</v>
      </c>
      <c r="J48" s="338"/>
      <c r="K48" s="73">
        <f t="shared" si="8"/>
        <v>181248</v>
      </c>
      <c r="L48" s="173">
        <f t="shared" si="9"/>
        <v>3878284</v>
      </c>
      <c r="M48" s="172">
        <f t="shared" si="10"/>
        <v>4.9025219121479946E-2</v>
      </c>
      <c r="N48" s="15"/>
      <c r="O48" s="15"/>
      <c r="P48" s="15">
        <v>81478</v>
      </c>
      <c r="Q48" s="15"/>
      <c r="R48" s="15"/>
      <c r="S48" s="15"/>
      <c r="T48" s="170">
        <f t="shared" si="11"/>
        <v>81478</v>
      </c>
      <c r="U48" s="14">
        <f t="shared" si="12"/>
        <v>81478</v>
      </c>
      <c r="V48" s="170">
        <f t="shared" si="13"/>
        <v>3959762</v>
      </c>
      <c r="W48" s="159">
        <f t="shared" si="14"/>
        <v>2.1008776046313349E-2</v>
      </c>
      <c r="X48" s="346"/>
      <c r="Y48" s="373">
        <f t="shared" si="15"/>
        <v>3959762</v>
      </c>
      <c r="Z48" s="18"/>
      <c r="AA48" s="18"/>
      <c r="AB48" s="18"/>
      <c r="AC48" s="18"/>
      <c r="AD48" s="18"/>
      <c r="AE48" s="18"/>
      <c r="AF48" s="18"/>
      <c r="AG48" s="18"/>
    </row>
    <row r="49" spans="1:33" s="90" customFormat="1" x14ac:dyDescent="0.25">
      <c r="A49" s="71" t="s">
        <v>46</v>
      </c>
      <c r="B49" s="72">
        <v>6</v>
      </c>
      <c r="C49" s="178">
        <v>11462167</v>
      </c>
      <c r="D49" s="177">
        <v>11447607</v>
      </c>
      <c r="E49" s="176">
        <v>128000</v>
      </c>
      <c r="F49" s="175">
        <v>11575607</v>
      </c>
      <c r="G49" s="174">
        <v>67913</v>
      </c>
      <c r="H49" s="171">
        <v>138153</v>
      </c>
      <c r="I49" s="179"/>
      <c r="J49" s="338"/>
      <c r="K49" s="73">
        <f t="shared" si="8"/>
        <v>206066</v>
      </c>
      <c r="L49" s="173">
        <f t="shared" si="9"/>
        <v>11781673</v>
      </c>
      <c r="M49" s="172">
        <f t="shared" si="10"/>
        <v>1.7801744651489981E-2</v>
      </c>
      <c r="N49" s="15"/>
      <c r="O49" s="15"/>
      <c r="P49" s="15">
        <v>250147</v>
      </c>
      <c r="Q49" s="15"/>
      <c r="R49" s="15"/>
      <c r="S49" s="15"/>
      <c r="T49" s="170">
        <f t="shared" si="11"/>
        <v>250147</v>
      </c>
      <c r="U49" s="14">
        <f t="shared" si="12"/>
        <v>250147</v>
      </c>
      <c r="V49" s="170">
        <f t="shared" si="13"/>
        <v>12031820</v>
      </c>
      <c r="W49" s="159">
        <f t="shared" si="14"/>
        <v>2.1231874284747265E-2</v>
      </c>
      <c r="X49" s="346"/>
      <c r="Y49" s="373">
        <f t="shared" si="15"/>
        <v>12031820</v>
      </c>
      <c r="Z49" s="18"/>
      <c r="AA49" s="18"/>
      <c r="AB49" s="18"/>
      <c r="AC49" s="18"/>
      <c r="AD49" s="18"/>
      <c r="AE49" s="18"/>
      <c r="AF49" s="18"/>
      <c r="AG49" s="18"/>
    </row>
    <row r="50" spans="1:33" s="90" customFormat="1" x14ac:dyDescent="0.25">
      <c r="A50" s="71" t="s">
        <v>47</v>
      </c>
      <c r="B50" s="72">
        <v>6</v>
      </c>
      <c r="C50" s="178">
        <v>6528308</v>
      </c>
      <c r="D50" s="177">
        <v>6506814</v>
      </c>
      <c r="E50" s="176">
        <v>98000</v>
      </c>
      <c r="F50" s="175">
        <v>6604814</v>
      </c>
      <c r="G50" s="174">
        <v>36443</v>
      </c>
      <c r="H50" s="171">
        <v>89526</v>
      </c>
      <c r="I50" s="179"/>
      <c r="J50" s="338"/>
      <c r="K50" s="73">
        <f t="shared" si="8"/>
        <v>125969</v>
      </c>
      <c r="L50" s="173">
        <f t="shared" si="9"/>
        <v>6730783</v>
      </c>
      <c r="M50" s="172">
        <f t="shared" si="10"/>
        <v>1.9072300900524919E-2</v>
      </c>
      <c r="N50" s="15"/>
      <c r="O50" s="15"/>
      <c r="P50" s="15">
        <v>139900</v>
      </c>
      <c r="Q50" s="15">
        <v>395200</v>
      </c>
      <c r="R50" s="15"/>
      <c r="S50" s="15"/>
      <c r="T50" s="170">
        <f t="shared" si="11"/>
        <v>535100</v>
      </c>
      <c r="U50" s="14">
        <f t="shared" si="12"/>
        <v>139900</v>
      </c>
      <c r="V50" s="170">
        <f t="shared" si="13"/>
        <v>7265883</v>
      </c>
      <c r="W50" s="159">
        <f t="shared" si="14"/>
        <v>7.950040879344944E-2</v>
      </c>
      <c r="X50" s="347">
        <f>3+2+4</f>
        <v>9</v>
      </c>
      <c r="Y50" s="373">
        <f t="shared" si="15"/>
        <v>6870683</v>
      </c>
      <c r="Z50" s="18"/>
      <c r="AA50" s="18"/>
      <c r="AB50" s="18"/>
      <c r="AC50" s="18"/>
      <c r="AD50" s="18"/>
      <c r="AE50" s="18"/>
      <c r="AF50" s="18"/>
      <c r="AG50" s="18"/>
    </row>
    <row r="51" spans="1:33" s="90" customFormat="1" x14ac:dyDescent="0.25">
      <c r="A51" s="71" t="s">
        <v>48</v>
      </c>
      <c r="B51" s="72">
        <v>6</v>
      </c>
      <c r="C51" s="178">
        <v>6926892</v>
      </c>
      <c r="D51" s="177">
        <v>6912051</v>
      </c>
      <c r="E51" s="176">
        <v>91312</v>
      </c>
      <c r="F51" s="175">
        <v>7003363</v>
      </c>
      <c r="G51" s="174">
        <v>37933</v>
      </c>
      <c r="H51" s="171">
        <v>73665</v>
      </c>
      <c r="I51" s="180">
        <f>52600</f>
        <v>52600</v>
      </c>
      <c r="J51" s="338"/>
      <c r="K51" s="73">
        <f t="shared" si="8"/>
        <v>164198</v>
      </c>
      <c r="L51" s="173">
        <f t="shared" si="9"/>
        <v>7167561</v>
      </c>
      <c r="M51" s="172">
        <f t="shared" si="10"/>
        <v>2.3445593210005056E-2</v>
      </c>
      <c r="N51" s="15"/>
      <c r="O51" s="15">
        <f>111612-H51</f>
        <v>37947</v>
      </c>
      <c r="P51" s="15">
        <v>151601</v>
      </c>
      <c r="Q51" s="15">
        <v>74500</v>
      </c>
      <c r="R51" s="15"/>
      <c r="S51" s="15"/>
      <c r="T51" s="170">
        <f t="shared" si="11"/>
        <v>264048</v>
      </c>
      <c r="U51" s="14">
        <f t="shared" si="12"/>
        <v>189548</v>
      </c>
      <c r="V51" s="170">
        <f t="shared" si="13"/>
        <v>7431609</v>
      </c>
      <c r="W51" s="159">
        <f t="shared" si="14"/>
        <v>3.6839309773575746E-2</v>
      </c>
      <c r="X51" s="347">
        <v>1</v>
      </c>
      <c r="Y51" s="373">
        <f t="shared" si="15"/>
        <v>7357109</v>
      </c>
      <c r="Z51" s="18"/>
      <c r="AA51" s="18"/>
      <c r="AB51" s="18"/>
      <c r="AC51" s="18"/>
      <c r="AD51" s="18"/>
      <c r="AE51" s="18"/>
      <c r="AF51" s="18"/>
      <c r="AG51" s="18"/>
    </row>
    <row r="52" spans="1:33" s="90" customFormat="1" x14ac:dyDescent="0.25">
      <c r="A52" s="71" t="s">
        <v>49</v>
      </c>
      <c r="B52" s="72">
        <v>6</v>
      </c>
      <c r="C52" s="178">
        <v>6180164</v>
      </c>
      <c r="D52" s="177">
        <v>6175514</v>
      </c>
      <c r="E52" s="176">
        <v>80487</v>
      </c>
      <c r="F52" s="175">
        <v>6256001</v>
      </c>
      <c r="G52" s="174">
        <v>40859</v>
      </c>
      <c r="H52" s="171">
        <v>67861</v>
      </c>
      <c r="I52" s="179"/>
      <c r="J52" s="338">
        <v>302137</v>
      </c>
      <c r="K52" s="73">
        <f t="shared" si="8"/>
        <v>108720</v>
      </c>
      <c r="L52" s="173">
        <f t="shared" si="9"/>
        <v>6364721</v>
      </c>
      <c r="M52" s="172">
        <f t="shared" si="10"/>
        <v>1.7378513846145527E-2</v>
      </c>
      <c r="N52" s="15">
        <v>23422</v>
      </c>
      <c r="O52" s="15">
        <v>4511</v>
      </c>
      <c r="P52" s="15">
        <v>140622</v>
      </c>
      <c r="Q52" s="15">
        <v>214497</v>
      </c>
      <c r="R52" s="15"/>
      <c r="S52" s="15"/>
      <c r="T52" s="170">
        <f t="shared" si="11"/>
        <v>383052</v>
      </c>
      <c r="U52" s="14">
        <f t="shared" si="12"/>
        <v>168555</v>
      </c>
      <c r="V52" s="170">
        <f t="shared" si="13"/>
        <v>6747773</v>
      </c>
      <c r="W52" s="159">
        <f t="shared" si="14"/>
        <v>6.018362784480269E-2</v>
      </c>
      <c r="X52" s="347">
        <f>3+2</f>
        <v>5</v>
      </c>
      <c r="Y52" s="373">
        <f t="shared" si="15"/>
        <v>6533276</v>
      </c>
      <c r="Z52" s="18"/>
      <c r="AA52" s="18"/>
      <c r="AB52" s="18"/>
      <c r="AC52" s="18"/>
      <c r="AD52" s="18"/>
      <c r="AE52" s="18"/>
      <c r="AF52" s="18"/>
      <c r="AG52" s="18"/>
    </row>
    <row r="53" spans="1:33" s="90" customFormat="1" x14ac:dyDescent="0.25">
      <c r="A53" s="71" t="s">
        <v>50</v>
      </c>
      <c r="B53" s="72">
        <v>6</v>
      </c>
      <c r="C53" s="178">
        <v>5926985</v>
      </c>
      <c r="D53" s="177">
        <v>5919634</v>
      </c>
      <c r="E53" s="176">
        <v>99505</v>
      </c>
      <c r="F53" s="175">
        <v>6019139</v>
      </c>
      <c r="G53" s="174">
        <v>66205</v>
      </c>
      <c r="H53" s="171">
        <v>71952</v>
      </c>
      <c r="I53" s="179"/>
      <c r="J53" s="338"/>
      <c r="K53" s="73">
        <f t="shared" si="8"/>
        <v>138157</v>
      </c>
      <c r="L53" s="173">
        <f t="shared" si="9"/>
        <v>6157296</v>
      </c>
      <c r="M53" s="172">
        <f t="shared" si="10"/>
        <v>2.2952950579808951E-2</v>
      </c>
      <c r="N53" s="15"/>
      <c r="O53" s="15"/>
      <c r="P53" s="15">
        <v>124265</v>
      </c>
      <c r="Q53" s="15">
        <v>665490</v>
      </c>
      <c r="R53" s="15"/>
      <c r="S53" s="15"/>
      <c r="T53" s="170">
        <f t="shared" si="11"/>
        <v>789755</v>
      </c>
      <c r="U53" s="14">
        <f t="shared" si="12"/>
        <v>124265</v>
      </c>
      <c r="V53" s="170">
        <f t="shared" si="13"/>
        <v>6947051</v>
      </c>
      <c r="W53" s="159">
        <f t="shared" si="14"/>
        <v>0.12826328310349222</v>
      </c>
      <c r="X53" s="346">
        <f>1.36+1.15+6+3</f>
        <v>11.51</v>
      </c>
      <c r="Y53" s="373">
        <f t="shared" si="15"/>
        <v>6281561</v>
      </c>
      <c r="Z53" s="18"/>
      <c r="AA53" s="18"/>
      <c r="AB53" s="18"/>
      <c r="AC53" s="18"/>
      <c r="AD53" s="18"/>
      <c r="AE53" s="18"/>
      <c r="AF53" s="18"/>
      <c r="AG53" s="18"/>
    </row>
    <row r="54" spans="1:33" s="90" customFormat="1" x14ac:dyDescent="0.25">
      <c r="A54" s="71" t="s">
        <v>51</v>
      </c>
      <c r="B54" s="72">
        <v>6</v>
      </c>
      <c r="C54" s="178">
        <v>5983881</v>
      </c>
      <c r="D54" s="177">
        <v>5970236</v>
      </c>
      <c r="E54" s="176">
        <v>58807</v>
      </c>
      <c r="F54" s="175">
        <v>6029043</v>
      </c>
      <c r="G54" s="174">
        <v>33931</v>
      </c>
      <c r="H54" s="171">
        <v>74588</v>
      </c>
      <c r="I54" s="179"/>
      <c r="J54" s="338"/>
      <c r="K54" s="73">
        <f t="shared" si="8"/>
        <v>108519</v>
      </c>
      <c r="L54" s="173">
        <f t="shared" si="9"/>
        <v>6137562</v>
      </c>
      <c r="M54" s="172">
        <f t="shared" si="10"/>
        <v>1.7999374030007731E-2</v>
      </c>
      <c r="N54" s="15">
        <v>13852</v>
      </c>
      <c r="O54" s="15">
        <v>15260</v>
      </c>
      <c r="P54" s="15">
        <v>123569</v>
      </c>
      <c r="Q54" s="15"/>
      <c r="R54" s="15"/>
      <c r="S54" s="15"/>
      <c r="T54" s="170">
        <f t="shared" si="11"/>
        <v>152681</v>
      </c>
      <c r="U54" s="14">
        <f t="shared" si="12"/>
        <v>152681</v>
      </c>
      <c r="V54" s="170">
        <f t="shared" si="13"/>
        <v>6290243</v>
      </c>
      <c r="W54" s="159">
        <f t="shared" si="14"/>
        <v>2.4876490046047639E-2</v>
      </c>
      <c r="X54" s="346"/>
      <c r="Y54" s="373">
        <f t="shared" si="15"/>
        <v>6290243</v>
      </c>
      <c r="Z54" s="18"/>
      <c r="AA54" s="18"/>
      <c r="AB54" s="18"/>
      <c r="AC54" s="18"/>
      <c r="AD54" s="18"/>
      <c r="AE54" s="18"/>
      <c r="AF54" s="18"/>
      <c r="AG54" s="18"/>
    </row>
    <row r="55" spans="1:33" s="90" customFormat="1" x14ac:dyDescent="0.25">
      <c r="A55" s="71" t="s">
        <v>52</v>
      </c>
      <c r="B55" s="72">
        <v>6</v>
      </c>
      <c r="C55" s="178">
        <v>6626239</v>
      </c>
      <c r="D55" s="177">
        <v>6620880</v>
      </c>
      <c r="E55" s="176">
        <v>78360</v>
      </c>
      <c r="F55" s="175">
        <v>6699240</v>
      </c>
      <c r="G55" s="174">
        <v>37311</v>
      </c>
      <c r="H55" s="171">
        <v>81467</v>
      </c>
      <c r="I55" s="179"/>
      <c r="J55" s="338"/>
      <c r="K55" s="73">
        <f t="shared" si="8"/>
        <v>118778</v>
      </c>
      <c r="L55" s="173">
        <f t="shared" si="9"/>
        <v>6818018</v>
      </c>
      <c r="M55" s="172">
        <f t="shared" si="10"/>
        <v>1.7730070873711146E-2</v>
      </c>
      <c r="N55" s="15"/>
      <c r="O55" s="15">
        <v>4116</v>
      </c>
      <c r="P55" s="15">
        <v>146312</v>
      </c>
      <c r="Q55" s="15">
        <v>63224</v>
      </c>
      <c r="R55" s="15"/>
      <c r="S55" s="15"/>
      <c r="T55" s="170">
        <f t="shared" si="11"/>
        <v>213652</v>
      </c>
      <c r="U55" s="14">
        <f t="shared" si="12"/>
        <v>150428</v>
      </c>
      <c r="V55" s="170">
        <f t="shared" si="13"/>
        <v>7031670</v>
      </c>
      <c r="W55" s="159">
        <f t="shared" si="14"/>
        <v>3.1336379575413353E-2</v>
      </c>
      <c r="X55" s="347">
        <v>1</v>
      </c>
      <c r="Y55" s="373">
        <f t="shared" si="15"/>
        <v>6968446</v>
      </c>
      <c r="Z55" s="18"/>
      <c r="AA55" s="18"/>
      <c r="AB55" s="18"/>
      <c r="AC55" s="18"/>
      <c r="AD55" s="18"/>
      <c r="AE55" s="18"/>
      <c r="AF55" s="18"/>
      <c r="AG55" s="18"/>
    </row>
    <row r="56" spans="1:33" s="90" customFormat="1" x14ac:dyDescent="0.25">
      <c r="A56" s="71" t="s">
        <v>53</v>
      </c>
      <c r="B56" s="72">
        <v>6</v>
      </c>
      <c r="C56" s="178">
        <v>7327693</v>
      </c>
      <c r="D56" s="177">
        <v>7318005</v>
      </c>
      <c r="E56" s="176">
        <v>126214</v>
      </c>
      <c r="F56" s="175">
        <v>7444219</v>
      </c>
      <c r="G56" s="174">
        <v>47217</v>
      </c>
      <c r="H56" s="171">
        <v>91418</v>
      </c>
      <c r="I56" s="180">
        <f>60169</f>
        <v>60169</v>
      </c>
      <c r="J56" s="338"/>
      <c r="K56" s="73">
        <f t="shared" si="8"/>
        <v>198804</v>
      </c>
      <c r="L56" s="173">
        <f t="shared" si="9"/>
        <v>7643023</v>
      </c>
      <c r="M56" s="172">
        <f t="shared" si="10"/>
        <v>2.6705823673376594E-2</v>
      </c>
      <c r="N56" s="15">
        <v>5922</v>
      </c>
      <c r="O56" s="15">
        <f>138512-H56</f>
        <v>47094</v>
      </c>
      <c r="P56" s="15">
        <v>163309</v>
      </c>
      <c r="Q56" s="15">
        <v>338600</v>
      </c>
      <c r="R56" s="15"/>
      <c r="S56" s="15">
        <v>318230</v>
      </c>
      <c r="T56" s="170">
        <f t="shared" si="11"/>
        <v>873155</v>
      </c>
      <c r="U56" s="14">
        <f t="shared" si="12"/>
        <v>534555</v>
      </c>
      <c r="V56" s="170">
        <f t="shared" si="13"/>
        <v>8516178</v>
      </c>
      <c r="W56" s="159">
        <f t="shared" si="14"/>
        <v>0.11424210027890802</v>
      </c>
      <c r="X56" s="347">
        <v>7</v>
      </c>
      <c r="Y56" s="373">
        <f t="shared" si="15"/>
        <v>8177578</v>
      </c>
      <c r="Z56" s="18"/>
      <c r="AA56" s="18"/>
      <c r="AB56" s="18"/>
      <c r="AC56" s="18"/>
      <c r="AD56" s="18"/>
      <c r="AE56" s="18"/>
      <c r="AF56" s="18"/>
      <c r="AG56" s="18"/>
    </row>
    <row r="57" spans="1:33" s="90" customFormat="1" x14ac:dyDescent="0.25">
      <c r="A57" s="71" t="s">
        <v>54</v>
      </c>
      <c r="B57" s="72">
        <v>6</v>
      </c>
      <c r="C57" s="178">
        <v>11761853</v>
      </c>
      <c r="D57" s="177">
        <v>11740716</v>
      </c>
      <c r="E57" s="176">
        <v>198453</v>
      </c>
      <c r="F57" s="175">
        <v>11939169</v>
      </c>
      <c r="G57" s="174">
        <v>80800</v>
      </c>
      <c r="H57" s="171">
        <v>132303</v>
      </c>
      <c r="I57" s="179"/>
      <c r="J57" s="338"/>
      <c r="K57" s="73">
        <f t="shared" si="8"/>
        <v>213103</v>
      </c>
      <c r="L57" s="173">
        <f t="shared" si="9"/>
        <v>12152272</v>
      </c>
      <c r="M57" s="172">
        <f t="shared" si="10"/>
        <v>1.7849064704587025E-2</v>
      </c>
      <c r="N57" s="15"/>
      <c r="O57" s="15"/>
      <c r="P57" s="15">
        <v>279357</v>
      </c>
      <c r="Q57" s="15"/>
      <c r="R57" s="15"/>
      <c r="S57" s="15"/>
      <c r="T57" s="170">
        <f t="shared" si="11"/>
        <v>279357</v>
      </c>
      <c r="U57" s="14">
        <f t="shared" si="12"/>
        <v>279357</v>
      </c>
      <c r="V57" s="170">
        <f t="shared" si="13"/>
        <v>12431629</v>
      </c>
      <c r="W57" s="159">
        <f t="shared" si="14"/>
        <v>2.2988047008822621E-2</v>
      </c>
      <c r="X57" s="346"/>
      <c r="Y57" s="373">
        <f t="shared" si="15"/>
        <v>12431629</v>
      </c>
      <c r="Z57" s="18"/>
      <c r="AA57" s="18"/>
      <c r="AB57" s="18"/>
      <c r="AC57" s="18"/>
      <c r="AD57" s="18"/>
      <c r="AE57" s="18"/>
      <c r="AF57" s="18"/>
      <c r="AG57" s="18"/>
    </row>
    <row r="58" spans="1:33" s="90" customFormat="1" x14ac:dyDescent="0.25">
      <c r="A58" s="71" t="s">
        <v>55</v>
      </c>
      <c r="B58" s="72">
        <v>6</v>
      </c>
      <c r="C58" s="178">
        <v>6804885</v>
      </c>
      <c r="D58" s="177">
        <v>6768388</v>
      </c>
      <c r="E58" s="176">
        <v>58291</v>
      </c>
      <c r="F58" s="175">
        <v>6826679</v>
      </c>
      <c r="G58" s="174">
        <v>31456</v>
      </c>
      <c r="H58" s="171">
        <v>104439</v>
      </c>
      <c r="I58" s="179"/>
      <c r="J58" s="338"/>
      <c r="K58" s="73">
        <f t="shared" si="8"/>
        <v>135895</v>
      </c>
      <c r="L58" s="173">
        <f t="shared" si="9"/>
        <v>6962574</v>
      </c>
      <c r="M58" s="172">
        <f t="shared" si="10"/>
        <v>1.9906458176808917E-2</v>
      </c>
      <c r="N58" s="15"/>
      <c r="O58" s="15">
        <v>52219</v>
      </c>
      <c r="P58" s="15">
        <v>122760</v>
      </c>
      <c r="Q58" s="15">
        <v>56616</v>
      </c>
      <c r="R58" s="15"/>
      <c r="S58" s="15"/>
      <c r="T58" s="170">
        <f t="shared" si="11"/>
        <v>231595</v>
      </c>
      <c r="U58" s="14">
        <f t="shared" si="12"/>
        <v>174979</v>
      </c>
      <c r="V58" s="170">
        <f t="shared" si="13"/>
        <v>7194169</v>
      </c>
      <c r="W58" s="159">
        <f t="shared" si="14"/>
        <v>3.3262842161533968E-2</v>
      </c>
      <c r="X58" s="347">
        <v>1</v>
      </c>
      <c r="Y58" s="373">
        <f t="shared" si="15"/>
        <v>7137553</v>
      </c>
      <c r="Z58" s="18"/>
      <c r="AA58" s="18"/>
      <c r="AB58" s="18"/>
      <c r="AC58" s="18"/>
      <c r="AD58" s="18"/>
      <c r="AE58" s="18"/>
      <c r="AF58" s="18"/>
      <c r="AG58" s="18"/>
    </row>
    <row r="59" spans="1:33" s="90" customFormat="1" x14ac:dyDescent="0.25">
      <c r="A59" s="71" t="s">
        <v>56</v>
      </c>
      <c r="B59" s="72">
        <v>6</v>
      </c>
      <c r="C59" s="178">
        <v>8228236</v>
      </c>
      <c r="D59" s="177">
        <v>8220736</v>
      </c>
      <c r="E59" s="176">
        <v>101515</v>
      </c>
      <c r="F59" s="175">
        <v>8322251</v>
      </c>
      <c r="G59" s="174">
        <v>48018</v>
      </c>
      <c r="H59" s="171">
        <v>78609</v>
      </c>
      <c r="I59" s="179"/>
      <c r="J59" s="338"/>
      <c r="K59" s="73">
        <f t="shared" si="8"/>
        <v>126627</v>
      </c>
      <c r="L59" s="173">
        <f t="shared" si="9"/>
        <v>8448878</v>
      </c>
      <c r="M59" s="172">
        <f t="shared" si="10"/>
        <v>1.5215474755567948E-2</v>
      </c>
      <c r="N59" s="15">
        <v>2115</v>
      </c>
      <c r="O59" s="15"/>
      <c r="P59" s="15">
        <v>187040</v>
      </c>
      <c r="Q59" s="15"/>
      <c r="R59" s="15"/>
      <c r="S59" s="15"/>
      <c r="T59" s="170">
        <f t="shared" si="11"/>
        <v>189155</v>
      </c>
      <c r="U59" s="14">
        <f t="shared" si="12"/>
        <v>189155</v>
      </c>
      <c r="V59" s="170">
        <f t="shared" si="13"/>
        <v>8638033</v>
      </c>
      <c r="W59" s="159">
        <f t="shared" si="14"/>
        <v>2.2388179826954513E-2</v>
      </c>
      <c r="X59" s="346"/>
      <c r="Y59" s="373">
        <f t="shared" si="15"/>
        <v>8638033</v>
      </c>
      <c r="Z59" s="18"/>
      <c r="AA59" s="18"/>
      <c r="AB59" s="18"/>
      <c r="AC59" s="18"/>
      <c r="AD59" s="18"/>
      <c r="AE59" s="18"/>
      <c r="AF59" s="18"/>
      <c r="AG59" s="18"/>
    </row>
    <row r="60" spans="1:33" s="90" customFormat="1" x14ac:dyDescent="0.25">
      <c r="A60" s="71" t="s">
        <v>57</v>
      </c>
      <c r="B60" s="72">
        <v>6</v>
      </c>
      <c r="C60" s="178">
        <v>8901420</v>
      </c>
      <c r="D60" s="177">
        <v>8873348</v>
      </c>
      <c r="E60" s="176">
        <v>102743</v>
      </c>
      <c r="F60" s="175">
        <v>8976091</v>
      </c>
      <c r="G60" s="174">
        <v>51188</v>
      </c>
      <c r="H60" s="171">
        <v>143914</v>
      </c>
      <c r="I60" s="179"/>
      <c r="J60" s="338"/>
      <c r="K60" s="73">
        <f t="shared" si="8"/>
        <v>195102</v>
      </c>
      <c r="L60" s="173">
        <f t="shared" si="9"/>
        <v>9171193</v>
      </c>
      <c r="M60" s="172">
        <f t="shared" si="10"/>
        <v>2.173574220671326E-2</v>
      </c>
      <c r="N60" s="15"/>
      <c r="O60" s="15">
        <f>218052-H60</f>
        <v>74138</v>
      </c>
      <c r="P60" s="15">
        <v>183596</v>
      </c>
      <c r="Q60" s="15"/>
      <c r="R60" s="15"/>
      <c r="S60" s="15"/>
      <c r="T60" s="170">
        <f t="shared" si="11"/>
        <v>257734</v>
      </c>
      <c r="U60" s="14">
        <f t="shared" si="12"/>
        <v>257734</v>
      </c>
      <c r="V60" s="170">
        <f t="shared" si="13"/>
        <v>9428927</v>
      </c>
      <c r="W60" s="159">
        <f t="shared" si="14"/>
        <v>2.8102559830547769E-2</v>
      </c>
      <c r="X60" s="346"/>
      <c r="Y60" s="373">
        <f t="shared" si="15"/>
        <v>9428927</v>
      </c>
      <c r="Z60" s="18"/>
      <c r="AA60" s="18"/>
      <c r="AB60" s="18"/>
      <c r="AC60" s="18"/>
      <c r="AD60" s="18"/>
      <c r="AE60" s="18"/>
      <c r="AF60" s="18"/>
      <c r="AG60" s="18"/>
    </row>
    <row r="61" spans="1:33" s="90" customFormat="1" x14ac:dyDescent="0.25">
      <c r="A61" s="71" t="s">
        <v>58</v>
      </c>
      <c r="B61" s="72">
        <v>7</v>
      </c>
      <c r="C61" s="178">
        <v>19487703</v>
      </c>
      <c r="D61" s="177">
        <v>19250308</v>
      </c>
      <c r="E61" s="176">
        <v>331044</v>
      </c>
      <c r="F61" s="175">
        <v>19581352</v>
      </c>
      <c r="G61" s="174">
        <v>252116</v>
      </c>
      <c r="H61" s="171">
        <v>133975</v>
      </c>
      <c r="I61" s="179"/>
      <c r="J61" s="338"/>
      <c r="K61" s="73">
        <f t="shared" si="8"/>
        <v>386091</v>
      </c>
      <c r="L61" s="173">
        <f t="shared" si="9"/>
        <v>19967443</v>
      </c>
      <c r="M61" s="172">
        <f t="shared" si="10"/>
        <v>1.9717279991698256E-2</v>
      </c>
      <c r="N61" s="15">
        <v>94527</v>
      </c>
      <c r="O61" s="15"/>
      <c r="P61" s="15">
        <v>401217</v>
      </c>
      <c r="Q61" s="15"/>
      <c r="R61" s="15"/>
      <c r="S61" s="15"/>
      <c r="T61" s="170">
        <f t="shared" si="11"/>
        <v>495744</v>
      </c>
      <c r="U61" s="14">
        <f t="shared" si="12"/>
        <v>495744</v>
      </c>
      <c r="V61" s="170">
        <f t="shared" si="13"/>
        <v>20463187</v>
      </c>
      <c r="W61" s="159">
        <f t="shared" si="14"/>
        <v>2.4827615634110067E-2</v>
      </c>
      <c r="X61" s="346"/>
      <c r="Y61" s="373">
        <f t="shared" si="15"/>
        <v>20463187</v>
      </c>
      <c r="Z61" s="18"/>
      <c r="AA61" s="18"/>
      <c r="AB61" s="18"/>
      <c r="AC61" s="18"/>
      <c r="AD61" s="18"/>
      <c r="AE61" s="18"/>
      <c r="AF61" s="18"/>
      <c r="AG61" s="18"/>
    </row>
    <row r="62" spans="1:33" s="90" customFormat="1" x14ac:dyDescent="0.25">
      <c r="A62" s="71" t="s">
        <v>59</v>
      </c>
      <c r="B62" s="72">
        <v>7</v>
      </c>
      <c r="C62" s="178">
        <v>11850439</v>
      </c>
      <c r="D62" s="177">
        <v>11576006</v>
      </c>
      <c r="E62" s="176">
        <v>125000</v>
      </c>
      <c r="F62" s="175">
        <v>11701006</v>
      </c>
      <c r="G62" s="174">
        <v>63105</v>
      </c>
      <c r="H62" s="171">
        <v>181949</v>
      </c>
      <c r="I62" s="179">
        <v>65670</v>
      </c>
      <c r="J62" s="338"/>
      <c r="K62" s="73">
        <f t="shared" si="8"/>
        <v>310724</v>
      </c>
      <c r="L62" s="173">
        <f t="shared" si="9"/>
        <v>12011730</v>
      </c>
      <c r="M62" s="172">
        <f t="shared" si="10"/>
        <v>2.6555323533720143E-2</v>
      </c>
      <c r="N62" s="15"/>
      <c r="O62" s="15"/>
      <c r="P62" s="15">
        <v>251266</v>
      </c>
      <c r="Q62" s="15"/>
      <c r="R62" s="15"/>
      <c r="S62" s="15"/>
      <c r="T62" s="170">
        <f t="shared" si="11"/>
        <v>251266</v>
      </c>
      <c r="U62" s="14">
        <f t="shared" si="12"/>
        <v>251266</v>
      </c>
      <c r="V62" s="170">
        <f t="shared" si="13"/>
        <v>12262996</v>
      </c>
      <c r="W62" s="159">
        <f t="shared" si="14"/>
        <v>2.0918385611398138E-2</v>
      </c>
      <c r="X62" s="347"/>
      <c r="Y62" s="373">
        <f t="shared" si="15"/>
        <v>12262996</v>
      </c>
      <c r="Z62" s="18"/>
      <c r="AA62" s="18"/>
      <c r="AB62" s="18"/>
      <c r="AC62" s="18"/>
      <c r="AD62" s="18"/>
      <c r="AE62" s="18"/>
      <c r="AF62" s="18"/>
      <c r="AG62" s="18"/>
    </row>
    <row r="63" spans="1:33" s="90" customFormat="1" x14ac:dyDescent="0.25">
      <c r="A63" s="71" t="s">
        <v>60</v>
      </c>
      <c r="B63" s="72">
        <v>7</v>
      </c>
      <c r="C63" s="178">
        <v>23152497</v>
      </c>
      <c r="D63" s="177">
        <v>23059824</v>
      </c>
      <c r="E63" s="176">
        <v>206999.99000000002</v>
      </c>
      <c r="F63" s="175">
        <v>23266824</v>
      </c>
      <c r="G63" s="174">
        <v>122154</v>
      </c>
      <c r="H63" s="171">
        <v>319077</v>
      </c>
      <c r="I63" s="179"/>
      <c r="J63" s="338"/>
      <c r="K63" s="73">
        <f t="shared" si="8"/>
        <v>441231</v>
      </c>
      <c r="L63" s="173">
        <f t="shared" si="9"/>
        <v>23708055</v>
      </c>
      <c r="M63" s="172">
        <f t="shared" si="10"/>
        <v>1.8963954856924259E-2</v>
      </c>
      <c r="N63" s="15"/>
      <c r="O63" s="15"/>
      <c r="P63" s="15">
        <v>473554</v>
      </c>
      <c r="Q63" s="15">
        <v>2244719</v>
      </c>
      <c r="R63" s="15"/>
      <c r="S63" s="15"/>
      <c r="T63" s="170">
        <f t="shared" si="11"/>
        <v>2718273</v>
      </c>
      <c r="U63" s="14">
        <f t="shared" si="12"/>
        <v>473554</v>
      </c>
      <c r="V63" s="170">
        <f t="shared" si="13"/>
        <v>26426328</v>
      </c>
      <c r="W63" s="159">
        <f t="shared" si="14"/>
        <v>0.11465609473236005</v>
      </c>
      <c r="X63" s="347">
        <f>4+32.7</f>
        <v>36.700000000000003</v>
      </c>
      <c r="Y63" s="373">
        <f t="shared" si="15"/>
        <v>24181609</v>
      </c>
      <c r="Z63" s="18"/>
      <c r="AA63" s="18"/>
      <c r="AB63" s="18"/>
      <c r="AC63" s="18"/>
      <c r="AD63" s="18"/>
      <c r="AE63" s="18"/>
      <c r="AF63" s="18"/>
      <c r="AG63" s="18"/>
    </row>
    <row r="64" spans="1:33" s="90" customFormat="1" x14ac:dyDescent="0.25">
      <c r="A64" s="71" t="s">
        <v>61</v>
      </c>
      <c r="B64" s="72">
        <v>7</v>
      </c>
      <c r="C64" s="178">
        <v>12340907</v>
      </c>
      <c r="D64" s="177">
        <v>12311875</v>
      </c>
      <c r="E64" s="176">
        <v>188668</v>
      </c>
      <c r="F64" s="175">
        <v>12500543</v>
      </c>
      <c r="G64" s="174">
        <v>66972</v>
      </c>
      <c r="H64" s="171">
        <v>151449</v>
      </c>
      <c r="I64" s="179"/>
      <c r="J64" s="338">
        <v>370500</v>
      </c>
      <c r="K64" s="73">
        <f t="shared" si="8"/>
        <v>218421</v>
      </c>
      <c r="L64" s="173">
        <f t="shared" si="9"/>
        <v>12718964</v>
      </c>
      <c r="M64" s="172">
        <f t="shared" si="10"/>
        <v>1.74729209763127E-2</v>
      </c>
      <c r="N64" s="15"/>
      <c r="O64" s="15"/>
      <c r="P64" s="15">
        <v>260401</v>
      </c>
      <c r="Q64" s="15">
        <v>391722</v>
      </c>
      <c r="R64" s="15"/>
      <c r="S64" s="15"/>
      <c r="T64" s="170">
        <f t="shared" si="11"/>
        <v>652123</v>
      </c>
      <c r="U64" s="14">
        <f t="shared" si="12"/>
        <v>260401</v>
      </c>
      <c r="V64" s="170">
        <f t="shared" si="13"/>
        <v>13371087</v>
      </c>
      <c r="W64" s="159">
        <f t="shared" si="14"/>
        <v>5.1271707349749507E-2</v>
      </c>
      <c r="X64" s="346">
        <v>8.14</v>
      </c>
      <c r="Y64" s="373">
        <f t="shared" si="15"/>
        <v>12979365</v>
      </c>
      <c r="Z64" s="18"/>
      <c r="AA64" s="18"/>
      <c r="AB64" s="18"/>
      <c r="AC64" s="18"/>
      <c r="AD64" s="18"/>
      <c r="AE64" s="18"/>
      <c r="AF64" s="18"/>
      <c r="AG64" s="18"/>
    </row>
    <row r="65" spans="1:33" s="90" customFormat="1" x14ac:dyDescent="0.25">
      <c r="A65" s="71" t="s">
        <v>62</v>
      </c>
      <c r="B65" s="72">
        <v>7</v>
      </c>
      <c r="C65" s="178">
        <v>11653280</v>
      </c>
      <c r="D65" s="177">
        <v>11627046</v>
      </c>
      <c r="E65" s="176">
        <v>135000</v>
      </c>
      <c r="F65" s="175">
        <v>11762046</v>
      </c>
      <c r="G65" s="174">
        <v>64313</v>
      </c>
      <c r="H65" s="171">
        <v>112961</v>
      </c>
      <c r="I65" s="179"/>
      <c r="J65" s="338"/>
      <c r="K65" s="73">
        <f t="shared" si="8"/>
        <v>177274</v>
      </c>
      <c r="L65" s="173">
        <f t="shared" si="9"/>
        <v>11939320</v>
      </c>
      <c r="M65" s="172">
        <f t="shared" si="10"/>
        <v>1.5071697560101294E-2</v>
      </c>
      <c r="N65" s="15">
        <v>30009</v>
      </c>
      <c r="O65" s="15"/>
      <c r="P65" s="15">
        <v>238523</v>
      </c>
      <c r="Q65" s="15"/>
      <c r="R65" s="15"/>
      <c r="S65" s="15"/>
      <c r="T65" s="170">
        <f t="shared" si="11"/>
        <v>268532</v>
      </c>
      <c r="U65" s="14">
        <f t="shared" si="12"/>
        <v>268532</v>
      </c>
      <c r="V65" s="170">
        <f t="shared" si="13"/>
        <v>12207852</v>
      </c>
      <c r="W65" s="159">
        <f t="shared" si="14"/>
        <v>2.2491398170080057E-2</v>
      </c>
      <c r="X65" s="346"/>
      <c r="Y65" s="373">
        <f t="shared" si="15"/>
        <v>12207852</v>
      </c>
      <c r="Z65" s="18"/>
      <c r="AA65" s="18"/>
      <c r="AB65" s="18"/>
      <c r="AC65" s="18"/>
      <c r="AD65" s="18"/>
      <c r="AE65" s="18"/>
      <c r="AF65" s="18"/>
      <c r="AG65" s="18"/>
    </row>
    <row r="66" spans="1:33" s="90" customFormat="1" x14ac:dyDescent="0.25">
      <c r="A66" s="71" t="s">
        <v>63</v>
      </c>
      <c r="B66" s="72">
        <v>8</v>
      </c>
      <c r="C66" s="178">
        <v>40307454</v>
      </c>
      <c r="D66" s="177">
        <v>39018910</v>
      </c>
      <c r="E66" s="176">
        <v>360688</v>
      </c>
      <c r="F66" s="175">
        <v>39379598</v>
      </c>
      <c r="G66" s="174">
        <v>219727</v>
      </c>
      <c r="H66" s="171">
        <v>350620</v>
      </c>
      <c r="I66" s="179"/>
      <c r="J66" s="338"/>
      <c r="K66" s="73">
        <f t="shared" si="8"/>
        <v>570347</v>
      </c>
      <c r="L66" s="173">
        <f t="shared" si="9"/>
        <v>39949945</v>
      </c>
      <c r="M66" s="172">
        <f t="shared" si="10"/>
        <v>1.4483311891604345E-2</v>
      </c>
      <c r="N66" s="15">
        <v>99028</v>
      </c>
      <c r="O66" s="15">
        <v>180622</v>
      </c>
      <c r="P66" s="15">
        <v>847571</v>
      </c>
      <c r="Q66" s="15">
        <v>518551</v>
      </c>
      <c r="R66" s="15"/>
      <c r="S66" s="15"/>
      <c r="T66" s="170">
        <f t="shared" si="11"/>
        <v>1645772</v>
      </c>
      <c r="U66" s="14">
        <f t="shared" si="12"/>
        <v>1127221</v>
      </c>
      <c r="V66" s="170">
        <f t="shared" si="13"/>
        <v>41595717</v>
      </c>
      <c r="W66" s="159">
        <f t="shared" si="14"/>
        <v>4.1195851458619037E-2</v>
      </c>
      <c r="X66" s="347">
        <f>5+1+2+1+3</f>
        <v>12</v>
      </c>
      <c r="Y66" s="373">
        <f t="shared" si="15"/>
        <v>41077166</v>
      </c>
      <c r="Z66" s="18"/>
      <c r="AA66" s="18"/>
      <c r="AB66" s="18"/>
      <c r="AC66" s="18"/>
      <c r="AD66" s="18"/>
      <c r="AE66" s="18"/>
      <c r="AF66" s="18"/>
      <c r="AG66" s="18"/>
    </row>
    <row r="67" spans="1:33" s="90" customFormat="1" x14ac:dyDescent="0.25">
      <c r="A67" s="71" t="s">
        <v>64</v>
      </c>
      <c r="B67" s="72">
        <v>8</v>
      </c>
      <c r="C67" s="178">
        <v>29882862</v>
      </c>
      <c r="D67" s="177">
        <v>29788946</v>
      </c>
      <c r="E67" s="176">
        <v>380661</v>
      </c>
      <c r="F67" s="175">
        <v>30169607</v>
      </c>
      <c r="G67" s="174">
        <v>157239</v>
      </c>
      <c r="H67" s="171">
        <v>304984</v>
      </c>
      <c r="I67" s="179">
        <f>6*64860</f>
        <v>389160</v>
      </c>
      <c r="J67" s="338"/>
      <c r="K67" s="73">
        <f t="shared" si="8"/>
        <v>851383</v>
      </c>
      <c r="L67" s="173">
        <f t="shared" si="9"/>
        <v>31020990</v>
      </c>
      <c r="M67" s="172">
        <f t="shared" si="10"/>
        <v>2.821989030218397E-2</v>
      </c>
      <c r="N67" s="15">
        <v>61032</v>
      </c>
      <c r="O67" s="15">
        <f>462097-H67</f>
        <v>157113</v>
      </c>
      <c r="P67" s="15">
        <v>626922</v>
      </c>
      <c r="Q67" s="15"/>
      <c r="R67" s="15"/>
      <c r="S67" s="15"/>
      <c r="T67" s="170">
        <f t="shared" si="11"/>
        <v>845067</v>
      </c>
      <c r="U67" s="14">
        <f t="shared" si="12"/>
        <v>845067</v>
      </c>
      <c r="V67" s="170">
        <f t="shared" si="13"/>
        <v>31866057</v>
      </c>
      <c r="W67" s="159">
        <f t="shared" si="14"/>
        <v>2.7241780484762002E-2</v>
      </c>
      <c r="X67" s="346"/>
      <c r="Y67" s="373">
        <f t="shared" si="15"/>
        <v>31866057</v>
      </c>
      <c r="Z67" s="18"/>
      <c r="AA67" s="18"/>
      <c r="AB67" s="18"/>
      <c r="AC67" s="18"/>
      <c r="AD67" s="18"/>
      <c r="AE67" s="18"/>
      <c r="AF67" s="18"/>
      <c r="AG67" s="18"/>
    </row>
    <row r="68" spans="1:33" s="90" customFormat="1" x14ac:dyDescent="0.25">
      <c r="A68" s="71" t="s">
        <v>65</v>
      </c>
      <c r="B68" s="72">
        <v>8</v>
      </c>
      <c r="C68" s="178">
        <v>71545715</v>
      </c>
      <c r="D68" s="177">
        <v>71339454</v>
      </c>
      <c r="E68" s="176">
        <v>831377</v>
      </c>
      <c r="F68" s="175">
        <v>72170831</v>
      </c>
      <c r="G68" s="174">
        <v>390983</v>
      </c>
      <c r="H68" s="171">
        <v>870395</v>
      </c>
      <c r="I68" s="179"/>
      <c r="J68" s="338"/>
      <c r="K68" s="73">
        <f t="shared" si="8"/>
        <v>1261378</v>
      </c>
      <c r="L68" s="173">
        <f t="shared" si="9"/>
        <v>73432209</v>
      </c>
      <c r="M68" s="172">
        <f t="shared" ref="M68:M70" si="16">(L68/F68)-1</f>
        <v>1.7477670445557258E-2</v>
      </c>
      <c r="N68" s="15"/>
      <c r="O68" s="15"/>
      <c r="P68" s="15">
        <v>1518122</v>
      </c>
      <c r="Q68" s="15"/>
      <c r="R68" s="15"/>
      <c r="S68" s="15"/>
      <c r="T68" s="170">
        <f t="shared" ref="T68:T70" si="17">SUM(N68:S68)</f>
        <v>1518122</v>
      </c>
      <c r="U68" s="14">
        <f t="shared" ref="U68:U70" si="18">T68-Q68</f>
        <v>1518122</v>
      </c>
      <c r="V68" s="170">
        <f t="shared" si="13"/>
        <v>74950331</v>
      </c>
      <c r="W68" s="159">
        <f t="shared" ref="W68:W70" si="19">V68/L68-1</f>
        <v>2.0673789072585214E-2</v>
      </c>
      <c r="X68" s="346"/>
      <c r="Y68" s="373">
        <f t="shared" si="15"/>
        <v>74950331</v>
      </c>
      <c r="Z68" s="18"/>
      <c r="AA68" s="18"/>
      <c r="AB68" s="18"/>
      <c r="AC68" s="18"/>
      <c r="AD68" s="18"/>
      <c r="AE68" s="18"/>
      <c r="AF68" s="18"/>
      <c r="AG68" s="18"/>
    </row>
    <row r="69" spans="1:33" x14ac:dyDescent="0.25">
      <c r="A69" s="71" t="s">
        <v>66</v>
      </c>
      <c r="B69" s="72">
        <v>8</v>
      </c>
      <c r="C69" s="178">
        <v>29035203</v>
      </c>
      <c r="D69" s="177">
        <v>28840714</v>
      </c>
      <c r="E69" s="176">
        <v>372406</v>
      </c>
      <c r="F69" s="175">
        <v>29213120</v>
      </c>
      <c r="G69" s="174">
        <v>167861</v>
      </c>
      <c r="H69" s="171">
        <v>260825</v>
      </c>
      <c r="I69" s="180">
        <v>122500</v>
      </c>
      <c r="J69" s="338"/>
      <c r="K69" s="73">
        <f t="shared" si="8"/>
        <v>551186</v>
      </c>
      <c r="L69" s="173">
        <f t="shared" si="9"/>
        <v>29764306</v>
      </c>
      <c r="M69" s="172">
        <f t="shared" si="16"/>
        <v>1.8867755309943002E-2</v>
      </c>
      <c r="N69" s="15">
        <v>52140</v>
      </c>
      <c r="O69" s="15">
        <v>25176</v>
      </c>
      <c r="P69" s="15">
        <v>627613</v>
      </c>
      <c r="Q69" s="15"/>
      <c r="R69" s="15"/>
      <c r="S69" s="15"/>
      <c r="T69" s="170">
        <f t="shared" si="17"/>
        <v>704929</v>
      </c>
      <c r="U69" s="14">
        <f t="shared" si="18"/>
        <v>704929</v>
      </c>
      <c r="V69" s="170">
        <f t="shared" si="13"/>
        <v>30469235</v>
      </c>
      <c r="W69" s="159">
        <f t="shared" si="19"/>
        <v>2.3683703560902769E-2</v>
      </c>
      <c r="X69" s="346"/>
      <c r="Y69" s="373">
        <f t="shared" si="15"/>
        <v>30469235</v>
      </c>
    </row>
    <row r="70" spans="1:33" ht="14.25" thickBot="1" x14ac:dyDescent="0.3">
      <c r="A70" s="74" t="s">
        <v>67</v>
      </c>
      <c r="B70" s="75">
        <v>8</v>
      </c>
      <c r="C70" s="169">
        <v>30632144</v>
      </c>
      <c r="D70" s="168">
        <v>30551927</v>
      </c>
      <c r="E70" s="167">
        <v>321869</v>
      </c>
      <c r="F70" s="166">
        <v>30873796</v>
      </c>
      <c r="G70" s="165">
        <v>166032</v>
      </c>
      <c r="H70" s="164">
        <v>417133</v>
      </c>
      <c r="I70" s="163"/>
      <c r="J70" s="339"/>
      <c r="K70" s="76">
        <f t="shared" si="8"/>
        <v>583165</v>
      </c>
      <c r="L70" s="162">
        <f t="shared" si="9"/>
        <v>31456961</v>
      </c>
      <c r="M70" s="161">
        <f t="shared" si="16"/>
        <v>1.8888671804400126E-2</v>
      </c>
      <c r="N70" s="77"/>
      <c r="O70" s="343"/>
      <c r="P70" s="77">
        <v>625937</v>
      </c>
      <c r="Q70" s="77"/>
      <c r="R70" s="77"/>
      <c r="S70" s="77"/>
      <c r="T70" s="160">
        <f t="shared" si="17"/>
        <v>625937</v>
      </c>
      <c r="U70" s="34">
        <f t="shared" si="18"/>
        <v>625937</v>
      </c>
      <c r="V70" s="160">
        <f t="shared" si="13"/>
        <v>32082898</v>
      </c>
      <c r="W70" s="159">
        <f t="shared" si="19"/>
        <v>1.9898203135388703E-2</v>
      </c>
      <c r="X70" s="348"/>
      <c r="Y70" s="374">
        <f t="shared" si="15"/>
        <v>32082898</v>
      </c>
    </row>
    <row r="71" spans="1:33" ht="14.25" thickBot="1" x14ac:dyDescent="0.3">
      <c r="A71" s="78"/>
      <c r="B71" s="79"/>
      <c r="C71" s="3"/>
      <c r="D71" s="3"/>
      <c r="E71" s="79"/>
      <c r="F71" s="3"/>
      <c r="G71" s="7"/>
      <c r="H71" s="7"/>
      <c r="I71" s="80"/>
      <c r="J71" s="340"/>
      <c r="K71" s="80"/>
      <c r="L71" s="1"/>
      <c r="M71" s="9"/>
      <c r="N71" s="7"/>
      <c r="O71" s="7"/>
      <c r="P71" s="7"/>
      <c r="Q71" s="7"/>
      <c r="R71" s="7"/>
      <c r="S71" s="7"/>
      <c r="T71" s="1"/>
      <c r="U71" s="1"/>
      <c r="V71" s="1"/>
      <c r="W71" s="27"/>
      <c r="X71" s="12"/>
      <c r="Y71" s="375"/>
    </row>
    <row r="72" spans="1:33" s="90" customFormat="1" ht="14.25" thickBot="1" x14ac:dyDescent="0.3">
      <c r="A72" s="400" t="s">
        <v>68</v>
      </c>
      <c r="B72" s="400"/>
      <c r="C72" s="5">
        <f t="shared" ref="C72:L72" si="20">SUM(C4:C70)</f>
        <v>446812672</v>
      </c>
      <c r="D72" s="5">
        <f t="shared" si="20"/>
        <v>442971083</v>
      </c>
      <c r="E72" s="5">
        <f t="shared" si="20"/>
        <v>5427719.9900000002</v>
      </c>
      <c r="F72" s="156">
        <f t="shared" si="20"/>
        <v>448398803</v>
      </c>
      <c r="G72" s="5">
        <f t="shared" si="20"/>
        <v>2768098</v>
      </c>
      <c r="H72" s="5">
        <f t="shared" si="20"/>
        <v>5128834</v>
      </c>
      <c r="I72" s="5">
        <f t="shared" si="20"/>
        <v>921894</v>
      </c>
      <c r="J72" s="341">
        <f t="shared" si="20"/>
        <v>1077141</v>
      </c>
      <c r="K72" s="5">
        <f t="shared" si="20"/>
        <v>8818826</v>
      </c>
      <c r="L72" s="158">
        <f t="shared" si="20"/>
        <v>457217629</v>
      </c>
      <c r="M72" s="157">
        <f>(L72/F72)-1</f>
        <v>1.966737185959877E-2</v>
      </c>
      <c r="N72" s="5">
        <f t="shared" ref="N72:V72" si="21">SUM(N4:N70)</f>
        <v>503023</v>
      </c>
      <c r="O72" s="5">
        <f t="shared" si="21"/>
        <v>691495</v>
      </c>
      <c r="P72" s="5">
        <f t="shared" si="21"/>
        <v>9581326</v>
      </c>
      <c r="Q72" s="5">
        <f t="shared" si="21"/>
        <v>6264173</v>
      </c>
      <c r="R72" s="5">
        <f t="shared" si="21"/>
        <v>30000</v>
      </c>
      <c r="S72" s="5">
        <f t="shared" si="21"/>
        <v>562872</v>
      </c>
      <c r="T72" s="5">
        <f t="shared" si="21"/>
        <v>17632889</v>
      </c>
      <c r="U72" s="5">
        <f t="shared" si="21"/>
        <v>11368716</v>
      </c>
      <c r="V72" s="156">
        <f t="shared" si="21"/>
        <v>474850518</v>
      </c>
      <c r="W72" s="155">
        <f>V72/L72-1</f>
        <v>3.8565636759382294E-2</v>
      </c>
      <c r="X72" s="154">
        <f>SUM(X4:X70)</f>
        <v>114.86999999999999</v>
      </c>
      <c r="Y72" s="376">
        <f>SUM(Y4:Y70)</f>
        <v>468586345</v>
      </c>
      <c r="Z72" s="18"/>
      <c r="AA72" s="18"/>
      <c r="AB72" s="18"/>
      <c r="AC72" s="18"/>
      <c r="AD72" s="18"/>
      <c r="AE72" s="18"/>
      <c r="AF72" s="18"/>
      <c r="AG72" s="18"/>
    </row>
    <row r="73" spans="1:33" x14ac:dyDescent="0.25">
      <c r="C73" s="17"/>
      <c r="D73" s="17"/>
      <c r="F73" s="17"/>
      <c r="G73" s="17"/>
      <c r="H73" s="17"/>
      <c r="I73" s="25"/>
      <c r="J73" s="25"/>
      <c r="K73" s="25"/>
      <c r="N73" s="17"/>
      <c r="O73" s="17"/>
      <c r="P73" s="17"/>
      <c r="Q73" s="17"/>
      <c r="R73" s="17"/>
      <c r="S73" s="17"/>
      <c r="Y73" s="38"/>
    </row>
    <row r="74" spans="1:33" ht="14.25" thickBot="1" x14ac:dyDescent="0.3">
      <c r="C74" s="17"/>
      <c r="D74" s="17"/>
      <c r="F74" s="152"/>
      <c r="G74" s="152"/>
      <c r="H74" s="152"/>
      <c r="I74" s="152"/>
      <c r="J74" s="152"/>
      <c r="K74" s="152"/>
      <c r="L74" s="151"/>
      <c r="M74" s="153"/>
      <c r="N74" s="152"/>
      <c r="O74" s="152"/>
      <c r="P74" s="152"/>
      <c r="Q74" s="152"/>
      <c r="R74" s="152"/>
      <c r="S74" s="152"/>
      <c r="T74" s="151"/>
      <c r="U74" s="151"/>
      <c r="W74" s="150"/>
      <c r="X74" s="150"/>
      <c r="Y74" s="149"/>
    </row>
    <row r="75" spans="1:33" ht="15" customHeight="1" thickBot="1" x14ac:dyDescent="0.3">
      <c r="C75" s="17"/>
      <c r="D75" s="17"/>
      <c r="F75" s="17"/>
      <c r="G75" s="25"/>
      <c r="H75" s="25"/>
      <c r="M75" s="2" t="s">
        <v>101</v>
      </c>
      <c r="N75" s="8">
        <f>G72+N72</f>
        <v>3271121</v>
      </c>
      <c r="O75" s="8">
        <f>H72+O72</f>
        <v>5820329</v>
      </c>
      <c r="Q75" s="148"/>
      <c r="R75" s="148"/>
      <c r="S75" s="349"/>
      <c r="T75" s="349"/>
      <c r="U75" s="350" t="s">
        <v>171</v>
      </c>
      <c r="V75" s="355">
        <f>11700000+2423613</f>
        <v>14123613</v>
      </c>
      <c r="Y75" s="2"/>
    </row>
    <row r="76" spans="1:33" ht="14.25" thickBot="1" x14ac:dyDescent="0.3">
      <c r="T76" s="18"/>
      <c r="U76" s="350" t="s">
        <v>172</v>
      </c>
      <c r="V76" s="355">
        <v>6250000</v>
      </c>
    </row>
    <row r="77" spans="1:33" ht="14.25" thickBot="1" x14ac:dyDescent="0.3">
      <c r="S77" s="351"/>
      <c r="T77" s="352"/>
      <c r="U77" s="353" t="s">
        <v>173</v>
      </c>
      <c r="V77" s="354">
        <f>V72+11700000+2423613+6250000</f>
        <v>495224131</v>
      </c>
    </row>
    <row r="79" spans="1:33" x14ac:dyDescent="0.25">
      <c r="R79" s="307"/>
      <c r="U79" s="357" t="s">
        <v>174</v>
      </c>
      <c r="V79" s="356">
        <f>444778204+11700000+2423613+6250000-V77</f>
        <v>-30072314</v>
      </c>
    </row>
    <row r="81" spans="22:22" x14ac:dyDescent="0.25">
      <c r="V81" s="434"/>
    </row>
  </sheetData>
  <autoFilter ref="A3:Y70" xr:uid="{4EC7684B-053D-43A3-8CD8-BE9A689EFD27}"/>
  <mergeCells count="6">
    <mergeCell ref="V2:Y2"/>
    <mergeCell ref="A72:B72"/>
    <mergeCell ref="L2:M2"/>
    <mergeCell ref="A2:F2"/>
    <mergeCell ref="N2:T2"/>
    <mergeCell ref="G2:K2"/>
  </mergeCells>
  <conditionalFormatting sqref="M4:M70 W4:Y70">
    <cfRule type="cellIs" dxfId="4" priority="2" operator="lessThan">
      <formula>0</formula>
    </cfRule>
  </conditionalFormatting>
  <conditionalFormatting sqref="T72:U72">
    <cfRule type="cellIs" dxfId="3" priority="1" operator="lessThan">
      <formula>0</formula>
    </cfRule>
  </conditionalFormatting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7DB9B-99AF-42B8-8346-4678B5575411}">
  <sheetPr>
    <pageSetUpPr fitToPage="1"/>
  </sheetPr>
  <dimension ref="A1:AA83"/>
  <sheetViews>
    <sheetView zoomScale="110" zoomScaleNormal="110" workbookViewId="0">
      <pane xSplit="2" ySplit="3" topLeftCell="M57" activePane="bottomRight" state="frozen"/>
      <selection activeCell="A3" sqref="A3"/>
      <selection pane="topRight" activeCell="C3" sqref="C3"/>
      <selection pane="bottomLeft" activeCell="A4" sqref="A4"/>
      <selection pane="bottomRight" activeCell="Q88" sqref="Q88"/>
    </sheetView>
  </sheetViews>
  <sheetFormatPr defaultColWidth="2.28515625" defaultRowHeight="13.5" x14ac:dyDescent="0.25"/>
  <cols>
    <col min="1" max="1" width="13.42578125" style="18" customWidth="1"/>
    <col min="2" max="2" width="4.42578125" style="18" customWidth="1"/>
    <col min="3" max="3" width="11.140625" style="18" customWidth="1"/>
    <col min="4" max="4" width="15.85546875" style="18" customWidth="1"/>
    <col min="5" max="5" width="8.5703125" style="53" customWidth="1"/>
    <col min="6" max="6" width="15.85546875" style="18" customWidth="1"/>
    <col min="7" max="7" width="9.85546875" style="18" customWidth="1"/>
    <col min="8" max="8" width="14" style="18" customWidth="1"/>
    <col min="9" max="9" width="19.140625" style="2" bestFit="1" customWidth="1"/>
    <col min="10" max="10" width="7.5703125" style="10" customWidth="1"/>
    <col min="11" max="11" width="15" style="18" customWidth="1"/>
    <col min="12" max="12" width="18.42578125" style="2" bestFit="1" customWidth="1"/>
    <col min="13" max="13" width="7.85546875" style="11" customWidth="1"/>
    <col min="14" max="14" width="15.7109375" style="11" customWidth="1"/>
    <col min="15" max="15" width="14.42578125" style="11" customWidth="1"/>
    <col min="16" max="16" width="10.5703125" style="12" customWidth="1"/>
    <col min="17" max="17" width="14.7109375" style="12" bestFit="1" customWidth="1"/>
    <col min="18" max="18" width="11.42578125" style="12" customWidth="1"/>
    <col min="19" max="19" width="15.5703125" style="18" customWidth="1"/>
    <col min="20" max="20" width="11" style="53" customWidth="1"/>
    <col min="21" max="21" width="15.5703125" style="13" bestFit="1" customWidth="1"/>
    <col min="22" max="22" width="17.42578125" style="18" customWidth="1"/>
    <col min="23" max="23" width="11" style="53" customWidth="1"/>
    <col min="24" max="24" width="15.85546875" style="13" customWidth="1"/>
    <col min="25" max="26" width="16" style="18" customWidth="1"/>
    <col min="27" max="27" width="19" style="18" bestFit="1" customWidth="1"/>
    <col min="28" max="16384" width="2.28515625" style="18"/>
  </cols>
  <sheetData>
    <row r="1" spans="1:27" ht="14.25" thickBot="1" x14ac:dyDescent="0.3">
      <c r="A1" s="57" t="s">
        <v>69</v>
      </c>
      <c r="B1" s="16"/>
      <c r="C1" s="16"/>
      <c r="D1" s="16"/>
      <c r="E1" s="119"/>
      <c r="F1" s="16"/>
      <c r="G1" s="16"/>
      <c r="H1" s="16"/>
      <c r="I1" s="21"/>
      <c r="J1" s="22"/>
      <c r="K1" s="16"/>
      <c r="L1" s="21"/>
      <c r="M1" s="23"/>
      <c r="N1" s="111">
        <v>2121685</v>
      </c>
      <c r="O1" s="25">
        <f>ROUND((W1*0.4),0)</f>
        <v>5018406</v>
      </c>
      <c r="P1" s="48">
        <f>O1/L72</f>
        <v>1.1665623733938812E-2</v>
      </c>
      <c r="Q1" s="66"/>
      <c r="R1" s="141">
        <f>V74-L72-N1</f>
        <v>12546016</v>
      </c>
      <c r="S1" s="25">
        <f>ROUND((W1*0.6),0)</f>
        <v>7527610</v>
      </c>
      <c r="T1" s="48">
        <f>S1/L72</f>
        <v>1.7498437925475768E-2</v>
      </c>
      <c r="U1" s="67"/>
      <c r="W1" s="24">
        <v>12546016</v>
      </c>
      <c r="X1" s="67"/>
    </row>
    <row r="2" spans="1:27" s="86" customFormat="1" ht="30.75" hidden="1" customHeight="1" thickBot="1" x14ac:dyDescent="0.3">
      <c r="A2" s="402"/>
      <c r="B2" s="403"/>
      <c r="C2" s="403"/>
      <c r="D2" s="403"/>
      <c r="E2" s="403"/>
      <c r="F2" s="403"/>
      <c r="G2" s="403"/>
      <c r="H2" s="404"/>
      <c r="I2" s="412" t="s">
        <v>80</v>
      </c>
      <c r="J2" s="413"/>
      <c r="K2" s="88"/>
      <c r="L2" s="397" t="s">
        <v>70</v>
      </c>
      <c r="M2" s="399"/>
      <c r="N2" s="110"/>
      <c r="R2" s="142"/>
      <c r="S2"/>
      <c r="T2"/>
      <c r="U2"/>
      <c r="V2" s="414" t="s">
        <v>79</v>
      </c>
      <c r="W2" s="415"/>
      <c r="X2"/>
      <c r="Y2" s="18"/>
      <c r="Z2" s="18"/>
      <c r="AA2" s="18"/>
    </row>
    <row r="3" spans="1:27" s="63" customFormat="1" ht="95.25" thickBot="1" x14ac:dyDescent="0.3">
      <c r="A3" s="68" t="s">
        <v>0</v>
      </c>
      <c r="B3" s="69" t="s">
        <v>82</v>
      </c>
      <c r="C3" s="68" t="s">
        <v>91</v>
      </c>
      <c r="D3" s="42" t="s">
        <v>78</v>
      </c>
      <c r="E3" s="117" t="s">
        <v>90</v>
      </c>
      <c r="F3" s="42" t="s">
        <v>93</v>
      </c>
      <c r="G3" s="117" t="s">
        <v>90</v>
      </c>
      <c r="H3" s="6" t="s">
        <v>76</v>
      </c>
      <c r="I3" s="35" t="s">
        <v>77</v>
      </c>
      <c r="J3" s="36" t="s">
        <v>83</v>
      </c>
      <c r="K3" s="4" t="s">
        <v>81</v>
      </c>
      <c r="L3" s="87" t="s">
        <v>98</v>
      </c>
      <c r="M3" s="39" t="s">
        <v>71</v>
      </c>
      <c r="N3" s="109" t="s">
        <v>95</v>
      </c>
      <c r="O3" s="6" t="s">
        <v>89</v>
      </c>
      <c r="P3" s="108" t="s">
        <v>85</v>
      </c>
      <c r="Q3" s="378" t="s">
        <v>88</v>
      </c>
      <c r="R3" s="108" t="s">
        <v>87</v>
      </c>
      <c r="S3" s="6" t="s">
        <v>86</v>
      </c>
      <c r="T3" s="107" t="s">
        <v>85</v>
      </c>
      <c r="U3" s="26" t="s">
        <v>100</v>
      </c>
      <c r="V3" s="26" t="s">
        <v>180</v>
      </c>
      <c r="W3" s="107" t="s">
        <v>72</v>
      </c>
      <c r="X3" s="26" t="s">
        <v>99</v>
      </c>
      <c r="Y3" s="135" t="s">
        <v>97</v>
      </c>
      <c r="Z3" s="26" t="s">
        <v>92</v>
      </c>
      <c r="AA3" s="116" t="s">
        <v>94</v>
      </c>
    </row>
    <row r="4" spans="1:27" s="90" customFormat="1" x14ac:dyDescent="0.25">
      <c r="A4" s="113" t="s">
        <v>1</v>
      </c>
      <c r="B4" s="114">
        <v>1</v>
      </c>
      <c r="C4" s="106" t="s">
        <v>84</v>
      </c>
      <c r="D4" s="124">
        <v>423037</v>
      </c>
      <c r="E4" s="365">
        <f>D4/$D$72</f>
        <v>1.0317975609756098E-3</v>
      </c>
      <c r="F4" s="105"/>
      <c r="G4" s="125">
        <f>F4/$D$72</f>
        <v>0</v>
      </c>
      <c r="H4" s="70">
        <v>6662</v>
      </c>
      <c r="I4" s="14">
        <f t="shared" ref="I4:I35" si="0">SUM(D4,H4)</f>
        <v>429699</v>
      </c>
      <c r="J4" s="115">
        <f t="shared" ref="J4:J35" si="1">(I4/D4)-1</f>
        <v>1.5748031496062964E-2</v>
      </c>
      <c r="K4" s="15">
        <v>8229</v>
      </c>
      <c r="L4" s="104">
        <f t="shared" ref="L4:L35" si="2">I4+K4</f>
        <v>437928</v>
      </c>
      <c r="M4" s="128">
        <f t="shared" ref="M4:M35" si="3">L4/I4-1</f>
        <v>1.9150614732638349E-2</v>
      </c>
      <c r="N4" s="129"/>
      <c r="O4" s="130">
        <f>ROUND((L4*$P$1),0)</f>
        <v>5109</v>
      </c>
      <c r="P4" s="62">
        <f t="shared" ref="P4:P35" si="4">O4/L4</f>
        <v>1.1666301309804351E-2</v>
      </c>
      <c r="Q4" s="379">
        <v>11149.5</v>
      </c>
      <c r="R4" s="143">
        <f>Q4/$Q$72</f>
        <v>7.0370767063767043E-4</v>
      </c>
      <c r="S4" s="64">
        <f>ROUND((R4*$S$1),0)</f>
        <v>5297</v>
      </c>
      <c r="T4" s="62">
        <f t="shared" ref="T4:T35" si="5">S4/L4</f>
        <v>1.2095595623024789E-2</v>
      </c>
      <c r="U4" s="14">
        <f t="shared" ref="U4:U35" si="6">O4+S4+N4</f>
        <v>10406</v>
      </c>
      <c r="V4" s="100">
        <f>L4+O4+S4+N4</f>
        <v>448334</v>
      </c>
      <c r="W4" s="54">
        <f>V4/D4-1</f>
        <v>5.9798551899715724E-2</v>
      </c>
      <c r="X4" s="146">
        <v>8806</v>
      </c>
      <c r="Y4" s="139">
        <v>462177</v>
      </c>
      <c r="Z4" s="140">
        <f>Y4-V4</f>
        <v>13843</v>
      </c>
      <c r="AA4" s="140">
        <v>448334</v>
      </c>
    </row>
    <row r="5" spans="1:27" customFormat="1" ht="15" x14ac:dyDescent="0.25">
      <c r="A5" s="71" t="s">
        <v>2</v>
      </c>
      <c r="B5" s="72">
        <v>1</v>
      </c>
      <c r="C5" s="102" t="s">
        <v>84</v>
      </c>
      <c r="D5" s="126">
        <v>292156</v>
      </c>
      <c r="E5" s="366">
        <f t="shared" ref="E5:E35" si="7">D5/$D$72</f>
        <v>7.1257560975609752E-4</v>
      </c>
      <c r="F5" s="101"/>
      <c r="G5" s="118">
        <f t="shared" ref="G5:G29" si="8">F5/$D$72</f>
        <v>0</v>
      </c>
      <c r="H5" s="73">
        <v>5135</v>
      </c>
      <c r="I5" s="14">
        <f t="shared" si="0"/>
        <v>297291</v>
      </c>
      <c r="J5" s="44">
        <f t="shared" si="1"/>
        <v>1.7576226399594663E-2</v>
      </c>
      <c r="K5" s="15">
        <v>4607</v>
      </c>
      <c r="L5" s="100">
        <f t="shared" si="2"/>
        <v>301898</v>
      </c>
      <c r="M5" s="97">
        <f t="shared" si="3"/>
        <v>1.5496600973456953E-2</v>
      </c>
      <c r="N5" s="96"/>
      <c r="O5" s="95">
        <f t="shared" ref="O5:O35" si="9">ROUND((L5*$P$1),0)</f>
        <v>3522</v>
      </c>
      <c r="P5" s="49">
        <f t="shared" si="4"/>
        <v>1.1666191892625986E-2</v>
      </c>
      <c r="Q5" s="380">
        <v>3725.5</v>
      </c>
      <c r="R5" s="144">
        <f t="shared" ref="R5:R35" si="10">Q5/$Q$72</f>
        <v>2.3513726417872022E-4</v>
      </c>
      <c r="S5" s="29">
        <f t="shared" ref="S5:S35" si="11">ROUND((R5*$S$1),0)</f>
        <v>1770</v>
      </c>
      <c r="T5" s="49">
        <f t="shared" si="5"/>
        <v>5.862907339565019E-3</v>
      </c>
      <c r="U5" s="14">
        <f t="shared" si="6"/>
        <v>5292</v>
      </c>
      <c r="V5" s="100">
        <f t="shared" ref="V5:V35" si="12">L5+O5+S5+N5</f>
        <v>307190</v>
      </c>
      <c r="W5" s="54">
        <f t="shared" ref="W5:W35" si="13">V5/D5-1</f>
        <v>5.1458809677021877E-2</v>
      </c>
      <c r="X5" s="146">
        <v>5242</v>
      </c>
      <c r="Y5" s="136">
        <v>307140</v>
      </c>
      <c r="Z5" s="14">
        <f>Y5-V5</f>
        <v>-50</v>
      </c>
      <c r="AA5" s="14">
        <v>307140</v>
      </c>
    </row>
    <row r="6" spans="1:27" s="103" customFormat="1" x14ac:dyDescent="0.25">
      <c r="A6" s="71" t="s">
        <v>3</v>
      </c>
      <c r="B6" s="72">
        <v>1</v>
      </c>
      <c r="C6" s="102" t="s">
        <v>84</v>
      </c>
      <c r="D6" s="126">
        <v>288357</v>
      </c>
      <c r="E6" s="366">
        <f t="shared" si="7"/>
        <v>7.0330975609756102E-4</v>
      </c>
      <c r="F6" s="101"/>
      <c r="G6" s="118">
        <f t="shared" si="8"/>
        <v>0</v>
      </c>
      <c r="H6" s="73">
        <v>6662</v>
      </c>
      <c r="I6" s="14">
        <f t="shared" si="0"/>
        <v>295019</v>
      </c>
      <c r="J6" s="44">
        <f t="shared" si="1"/>
        <v>2.3103305971417409E-2</v>
      </c>
      <c r="K6" s="15">
        <v>10738</v>
      </c>
      <c r="L6" s="100">
        <f t="shared" si="2"/>
        <v>305757</v>
      </c>
      <c r="M6" s="97">
        <f t="shared" si="3"/>
        <v>3.6397655744206281E-2</v>
      </c>
      <c r="N6" s="96"/>
      <c r="O6" s="95">
        <f t="shared" si="9"/>
        <v>3567</v>
      </c>
      <c r="P6" s="49">
        <f t="shared" si="4"/>
        <v>1.1666127022439389E-2</v>
      </c>
      <c r="Q6" s="380">
        <v>6333</v>
      </c>
      <c r="R6" s="144">
        <f t="shared" si="10"/>
        <v>3.9971125863476987E-4</v>
      </c>
      <c r="S6" s="29">
        <f t="shared" si="11"/>
        <v>3009</v>
      </c>
      <c r="T6" s="49">
        <f t="shared" si="5"/>
        <v>9.8411483629156481E-3</v>
      </c>
      <c r="U6" s="14">
        <f t="shared" si="6"/>
        <v>6576</v>
      </c>
      <c r="V6" s="100">
        <f t="shared" si="12"/>
        <v>312333</v>
      </c>
      <c r="W6" s="55">
        <f t="shared" si="13"/>
        <v>8.3146932448319166E-2</v>
      </c>
      <c r="X6" s="146">
        <v>6862</v>
      </c>
      <c r="Y6" s="136">
        <v>312619</v>
      </c>
      <c r="Z6" s="14">
        <f t="shared" ref="Z6:Z69" si="14">Y6-V6</f>
        <v>286</v>
      </c>
      <c r="AA6" s="14">
        <v>312333</v>
      </c>
    </row>
    <row r="7" spans="1:27" s="90" customFormat="1" x14ac:dyDescent="0.25">
      <c r="A7" s="71" t="s">
        <v>4</v>
      </c>
      <c r="B7" s="72">
        <v>1</v>
      </c>
      <c r="C7" s="102" t="s">
        <v>84</v>
      </c>
      <c r="D7" s="126">
        <v>457872</v>
      </c>
      <c r="E7" s="366">
        <f t="shared" si="7"/>
        <v>1.116760975609756E-3</v>
      </c>
      <c r="F7" s="101"/>
      <c r="G7" s="118">
        <f t="shared" si="8"/>
        <v>0</v>
      </c>
      <c r="H7" s="73">
        <v>8484</v>
      </c>
      <c r="I7" s="14">
        <f t="shared" si="0"/>
        <v>466356</v>
      </c>
      <c r="J7" s="45">
        <f t="shared" si="1"/>
        <v>1.8529195932487585E-2</v>
      </c>
      <c r="K7" s="15">
        <v>10604</v>
      </c>
      <c r="L7" s="100">
        <f t="shared" si="2"/>
        <v>476960</v>
      </c>
      <c r="M7" s="97">
        <f t="shared" si="3"/>
        <v>2.2737994150391572E-2</v>
      </c>
      <c r="N7" s="96"/>
      <c r="O7" s="95">
        <f t="shared" si="9"/>
        <v>5564</v>
      </c>
      <c r="P7" s="49">
        <f t="shared" si="4"/>
        <v>1.1665548473666555E-2</v>
      </c>
      <c r="Q7" s="380">
        <v>6256.5</v>
      </c>
      <c r="R7" s="144">
        <f t="shared" si="10"/>
        <v>3.9488291325571415E-4</v>
      </c>
      <c r="S7" s="29">
        <f t="shared" si="11"/>
        <v>2973</v>
      </c>
      <c r="T7" s="49">
        <f t="shared" si="5"/>
        <v>6.2332271049983226E-3</v>
      </c>
      <c r="U7" s="14">
        <f t="shared" si="6"/>
        <v>8537</v>
      </c>
      <c r="V7" s="100">
        <f t="shared" si="12"/>
        <v>485497</v>
      </c>
      <c r="W7" s="55">
        <f t="shared" si="13"/>
        <v>6.0333455638256872E-2</v>
      </c>
      <c r="X7" s="146">
        <v>11185</v>
      </c>
      <c r="Y7" s="136">
        <v>488145</v>
      </c>
      <c r="Z7" s="14">
        <f t="shared" si="14"/>
        <v>2648</v>
      </c>
      <c r="AA7" s="14">
        <v>485497</v>
      </c>
    </row>
    <row r="8" spans="1:27" s="90" customFormat="1" x14ac:dyDescent="0.25">
      <c r="A8" s="71" t="s">
        <v>5</v>
      </c>
      <c r="B8" s="72">
        <v>2</v>
      </c>
      <c r="C8" s="102" t="s">
        <v>84</v>
      </c>
      <c r="D8" s="126">
        <v>663029</v>
      </c>
      <c r="E8" s="366">
        <f t="shared" si="7"/>
        <v>1.6171439024390245E-3</v>
      </c>
      <c r="F8" s="101"/>
      <c r="G8" s="118">
        <f t="shared" si="8"/>
        <v>0</v>
      </c>
      <c r="H8" s="73">
        <v>11974</v>
      </c>
      <c r="I8" s="14">
        <f t="shared" si="0"/>
        <v>675003</v>
      </c>
      <c r="J8" s="45">
        <f t="shared" si="1"/>
        <v>1.805954189032466E-2</v>
      </c>
      <c r="K8" s="15">
        <v>14847</v>
      </c>
      <c r="L8" s="100">
        <f t="shared" si="2"/>
        <v>689850</v>
      </c>
      <c r="M8" s="97">
        <f t="shared" si="3"/>
        <v>2.1995457797965301E-2</v>
      </c>
      <c r="N8" s="96"/>
      <c r="O8" s="95">
        <f t="shared" si="9"/>
        <v>8048</v>
      </c>
      <c r="P8" s="49">
        <f t="shared" si="4"/>
        <v>1.1666304269043994E-2</v>
      </c>
      <c r="Q8" s="380">
        <v>19477.5</v>
      </c>
      <c r="R8" s="144">
        <f t="shared" si="10"/>
        <v>1.2293346028831092E-3</v>
      </c>
      <c r="S8" s="29">
        <f t="shared" si="11"/>
        <v>9254</v>
      </c>
      <c r="T8" s="49">
        <f t="shared" si="5"/>
        <v>1.341451040081177E-2</v>
      </c>
      <c r="U8" s="14">
        <f t="shared" si="6"/>
        <v>17302</v>
      </c>
      <c r="V8" s="100">
        <f t="shared" si="12"/>
        <v>707152</v>
      </c>
      <c r="W8" s="55">
        <f t="shared" si="13"/>
        <v>6.6547617072556298E-2</v>
      </c>
      <c r="X8" s="146">
        <v>15681</v>
      </c>
      <c r="Y8" s="136">
        <v>752696</v>
      </c>
      <c r="Z8" s="14">
        <f t="shared" si="14"/>
        <v>45544</v>
      </c>
      <c r="AA8" s="14">
        <v>707152</v>
      </c>
    </row>
    <row r="9" spans="1:27" s="90" customFormat="1" x14ac:dyDescent="0.25">
      <c r="A9" s="71" t="s">
        <v>6</v>
      </c>
      <c r="B9" s="72">
        <v>2</v>
      </c>
      <c r="C9" s="102" t="s">
        <v>84</v>
      </c>
      <c r="D9" s="126">
        <v>460671</v>
      </c>
      <c r="E9" s="366">
        <f t="shared" si="7"/>
        <v>1.1235878048780489E-3</v>
      </c>
      <c r="F9" s="101"/>
      <c r="G9" s="118">
        <f t="shared" si="8"/>
        <v>0</v>
      </c>
      <c r="H9" s="73">
        <v>8102</v>
      </c>
      <c r="I9" s="14">
        <f t="shared" si="0"/>
        <v>468773</v>
      </c>
      <c r="J9" s="45">
        <f t="shared" si="1"/>
        <v>1.7587388830640593E-2</v>
      </c>
      <c r="K9" s="15">
        <v>11317</v>
      </c>
      <c r="L9" s="100">
        <f t="shared" si="2"/>
        <v>480090</v>
      </c>
      <c r="M9" s="97">
        <f t="shared" si="3"/>
        <v>2.4141748778193195E-2</v>
      </c>
      <c r="N9" s="96"/>
      <c r="O9" s="95">
        <f t="shared" si="9"/>
        <v>5601</v>
      </c>
      <c r="P9" s="49">
        <f t="shared" si="4"/>
        <v>1.1666562519527588E-2</v>
      </c>
      <c r="Q9" s="380">
        <v>12984.5</v>
      </c>
      <c r="R9" s="144">
        <f t="shared" si="10"/>
        <v>8.1952484410913781E-4</v>
      </c>
      <c r="S9" s="29">
        <f t="shared" si="11"/>
        <v>6169</v>
      </c>
      <c r="T9" s="49">
        <f t="shared" si="5"/>
        <v>1.2849674019454686E-2</v>
      </c>
      <c r="U9" s="14">
        <f t="shared" si="6"/>
        <v>11770</v>
      </c>
      <c r="V9" s="100">
        <f t="shared" si="12"/>
        <v>491860</v>
      </c>
      <c r="W9" s="55">
        <f t="shared" si="13"/>
        <v>6.7703415235601971E-2</v>
      </c>
      <c r="X9" s="146">
        <v>8964</v>
      </c>
      <c r="Y9" s="136">
        <v>489054</v>
      </c>
      <c r="Z9" s="14">
        <f t="shared" si="14"/>
        <v>-2806</v>
      </c>
      <c r="AA9" s="14">
        <v>489054</v>
      </c>
    </row>
    <row r="10" spans="1:27" s="90" customFormat="1" x14ac:dyDescent="0.25">
      <c r="A10" s="71" t="s">
        <v>7</v>
      </c>
      <c r="B10" s="72">
        <v>2</v>
      </c>
      <c r="C10" s="102" t="s">
        <v>84</v>
      </c>
      <c r="D10" s="126">
        <v>620259</v>
      </c>
      <c r="E10" s="366">
        <f t="shared" si="7"/>
        <v>1.5128268292682926E-3</v>
      </c>
      <c r="F10" s="101"/>
      <c r="G10" s="118">
        <f t="shared" si="8"/>
        <v>0</v>
      </c>
      <c r="H10" s="73">
        <v>10244</v>
      </c>
      <c r="I10" s="14">
        <f t="shared" si="0"/>
        <v>630503</v>
      </c>
      <c r="J10" s="45">
        <f t="shared" si="1"/>
        <v>1.6515681352467171E-2</v>
      </c>
      <c r="K10" s="15">
        <v>14702</v>
      </c>
      <c r="L10" s="100">
        <f t="shared" si="2"/>
        <v>645205</v>
      </c>
      <c r="M10" s="97">
        <f t="shared" si="3"/>
        <v>2.3317890636523453E-2</v>
      </c>
      <c r="N10" s="96"/>
      <c r="O10" s="95">
        <f t="shared" si="9"/>
        <v>7527</v>
      </c>
      <c r="P10" s="49">
        <f t="shared" si="4"/>
        <v>1.1666059624460443E-2</v>
      </c>
      <c r="Q10" s="380">
        <v>11693</v>
      </c>
      <c r="R10" s="144">
        <f t="shared" si="10"/>
        <v>7.3801101329802057E-4</v>
      </c>
      <c r="S10" s="29">
        <f t="shared" si="11"/>
        <v>5555</v>
      </c>
      <c r="T10" s="49">
        <f t="shared" si="5"/>
        <v>8.6096666950814076E-3</v>
      </c>
      <c r="U10" s="14">
        <f t="shared" si="6"/>
        <v>13082</v>
      </c>
      <c r="V10" s="100">
        <f t="shared" si="12"/>
        <v>658287</v>
      </c>
      <c r="W10" s="55">
        <f t="shared" si="13"/>
        <v>6.1309872166304791E-2</v>
      </c>
      <c r="X10" s="146">
        <v>15072</v>
      </c>
      <c r="Y10" s="136">
        <v>660277</v>
      </c>
      <c r="Z10" s="14">
        <f t="shared" si="14"/>
        <v>1990</v>
      </c>
      <c r="AA10" s="14">
        <v>658287</v>
      </c>
    </row>
    <row r="11" spans="1:27" s="90" customFormat="1" x14ac:dyDescent="0.25">
      <c r="A11" s="71" t="s">
        <v>8</v>
      </c>
      <c r="B11" s="72">
        <v>2</v>
      </c>
      <c r="C11" s="102" t="s">
        <v>84</v>
      </c>
      <c r="D11" s="126">
        <v>512702</v>
      </c>
      <c r="E11" s="366">
        <f t="shared" si="7"/>
        <v>1.2504926829268292E-3</v>
      </c>
      <c r="F11" s="101"/>
      <c r="G11" s="118">
        <f t="shared" si="8"/>
        <v>0</v>
      </c>
      <c r="H11" s="73">
        <v>8316</v>
      </c>
      <c r="I11" s="14">
        <f t="shared" si="0"/>
        <v>521018</v>
      </c>
      <c r="J11" s="45">
        <f t="shared" si="1"/>
        <v>1.6219948430082232E-2</v>
      </c>
      <c r="K11" s="15">
        <v>13121</v>
      </c>
      <c r="L11" s="100">
        <f t="shared" si="2"/>
        <v>534139</v>
      </c>
      <c r="M11" s="97">
        <f t="shared" si="3"/>
        <v>2.5183390976895259E-2</v>
      </c>
      <c r="N11" s="96"/>
      <c r="O11" s="95">
        <f t="shared" si="9"/>
        <v>6231</v>
      </c>
      <c r="P11" s="49">
        <f t="shared" si="4"/>
        <v>1.1665502799833003E-2</v>
      </c>
      <c r="Q11" s="380">
        <v>12910.5</v>
      </c>
      <c r="R11" s="144">
        <f t="shared" si="10"/>
        <v>8.1485428779475705E-4</v>
      </c>
      <c r="S11" s="29">
        <f t="shared" si="11"/>
        <v>6134</v>
      </c>
      <c r="T11" s="49">
        <f t="shared" si="5"/>
        <v>1.1483902130344349E-2</v>
      </c>
      <c r="U11" s="14">
        <f t="shared" si="6"/>
        <v>12365</v>
      </c>
      <c r="V11" s="100">
        <f t="shared" si="12"/>
        <v>546504</v>
      </c>
      <c r="W11" s="55">
        <f t="shared" si="13"/>
        <v>6.5929136223381146E-2</v>
      </c>
      <c r="X11" s="146">
        <v>11318</v>
      </c>
      <c r="Y11" s="136">
        <v>545457</v>
      </c>
      <c r="Z11" s="14">
        <f t="shared" si="14"/>
        <v>-1047</v>
      </c>
      <c r="AA11" s="14">
        <v>545457</v>
      </c>
    </row>
    <row r="12" spans="1:27" s="90" customFormat="1" x14ac:dyDescent="0.25">
      <c r="A12" s="71" t="s">
        <v>9</v>
      </c>
      <c r="B12" s="72">
        <v>2</v>
      </c>
      <c r="C12" s="102" t="s">
        <v>84</v>
      </c>
      <c r="D12" s="126">
        <v>498452</v>
      </c>
      <c r="E12" s="366">
        <f t="shared" si="7"/>
        <v>1.2157365853658537E-3</v>
      </c>
      <c r="F12" s="101"/>
      <c r="G12" s="118">
        <f t="shared" si="8"/>
        <v>0</v>
      </c>
      <c r="H12" s="73">
        <v>10096</v>
      </c>
      <c r="I12" s="14">
        <f t="shared" si="0"/>
        <v>508548</v>
      </c>
      <c r="J12" s="45">
        <f t="shared" si="1"/>
        <v>2.0254708577756686E-2</v>
      </c>
      <c r="K12" s="15">
        <v>48498</v>
      </c>
      <c r="L12" s="100">
        <f t="shared" si="2"/>
        <v>557046</v>
      </c>
      <c r="M12" s="97">
        <f t="shared" si="3"/>
        <v>9.5365629203143065E-2</v>
      </c>
      <c r="N12" s="96"/>
      <c r="O12" s="95">
        <f t="shared" si="9"/>
        <v>6498</v>
      </c>
      <c r="P12" s="49">
        <f t="shared" si="4"/>
        <v>1.1665104856690471E-2</v>
      </c>
      <c r="Q12" s="380">
        <v>12114</v>
      </c>
      <c r="R12" s="144">
        <f t="shared" si="10"/>
        <v>7.6458269178929456E-4</v>
      </c>
      <c r="S12" s="29">
        <f t="shared" si="11"/>
        <v>5755</v>
      </c>
      <c r="T12" s="49">
        <f t="shared" si="5"/>
        <v>1.0331283233341591E-2</v>
      </c>
      <c r="U12" s="14">
        <f t="shared" si="6"/>
        <v>12253</v>
      </c>
      <c r="V12" s="100">
        <f t="shared" si="12"/>
        <v>569299</v>
      </c>
      <c r="W12" s="55">
        <f t="shared" si="13"/>
        <v>0.14213404700954158</v>
      </c>
      <c r="X12" s="146">
        <v>9443</v>
      </c>
      <c r="Y12" s="136">
        <v>566489</v>
      </c>
      <c r="Z12" s="14">
        <f t="shared" si="14"/>
        <v>-2810</v>
      </c>
      <c r="AA12" s="14">
        <v>566489</v>
      </c>
    </row>
    <row r="13" spans="1:27" s="90" customFormat="1" x14ac:dyDescent="0.25">
      <c r="A13" s="71" t="s">
        <v>10</v>
      </c>
      <c r="B13" s="72">
        <v>2</v>
      </c>
      <c r="C13" s="102" t="s">
        <v>84</v>
      </c>
      <c r="D13" s="126">
        <v>460067</v>
      </c>
      <c r="E13" s="366">
        <f t="shared" si="7"/>
        <v>1.1221146341463416E-3</v>
      </c>
      <c r="F13" s="101"/>
      <c r="G13" s="118">
        <f t="shared" si="8"/>
        <v>0</v>
      </c>
      <c r="H13" s="73">
        <v>7323</v>
      </c>
      <c r="I13" s="14">
        <f t="shared" si="0"/>
        <v>467390</v>
      </c>
      <c r="J13" s="45">
        <f t="shared" si="1"/>
        <v>1.591724683578688E-2</v>
      </c>
      <c r="K13" s="15">
        <v>11802</v>
      </c>
      <c r="L13" s="100">
        <f t="shared" si="2"/>
        <v>479192</v>
      </c>
      <c r="M13" s="97">
        <f t="shared" si="3"/>
        <v>2.5250861165194038E-2</v>
      </c>
      <c r="N13" s="96"/>
      <c r="O13" s="95">
        <f t="shared" si="9"/>
        <v>5590</v>
      </c>
      <c r="P13" s="49">
        <f t="shared" si="4"/>
        <v>1.1665470208183776E-2</v>
      </c>
      <c r="Q13" s="380">
        <v>11742.5</v>
      </c>
      <c r="R13" s="144">
        <f t="shared" si="10"/>
        <v>7.4113523677858608E-4</v>
      </c>
      <c r="S13" s="29">
        <f t="shared" si="11"/>
        <v>5579</v>
      </c>
      <c r="T13" s="49">
        <f t="shared" si="5"/>
        <v>1.1642514900081804E-2</v>
      </c>
      <c r="U13" s="14">
        <f t="shared" si="6"/>
        <v>11169</v>
      </c>
      <c r="V13" s="100">
        <f t="shared" si="12"/>
        <v>490361</v>
      </c>
      <c r="W13" s="55">
        <f t="shared" si="13"/>
        <v>6.5846930990486108E-2</v>
      </c>
      <c r="X13" s="146">
        <v>11266</v>
      </c>
      <c r="Y13" s="136">
        <v>490458</v>
      </c>
      <c r="Z13" s="14">
        <f t="shared" si="14"/>
        <v>97</v>
      </c>
      <c r="AA13" s="14">
        <v>490361</v>
      </c>
    </row>
    <row r="14" spans="1:27" s="90" customFormat="1" x14ac:dyDescent="0.25">
      <c r="A14" s="71" t="s">
        <v>11</v>
      </c>
      <c r="B14" s="72">
        <v>2</v>
      </c>
      <c r="C14" s="102" t="s">
        <v>84</v>
      </c>
      <c r="D14" s="126">
        <v>496714</v>
      </c>
      <c r="E14" s="366">
        <f t="shared" si="7"/>
        <v>1.2114975609756097E-3</v>
      </c>
      <c r="F14" s="101"/>
      <c r="G14" s="118">
        <f t="shared" si="8"/>
        <v>0</v>
      </c>
      <c r="H14" s="73">
        <v>11887</v>
      </c>
      <c r="I14" s="14">
        <f t="shared" si="0"/>
        <v>508601</v>
      </c>
      <c r="J14" s="45">
        <f t="shared" si="1"/>
        <v>2.3931276348160058E-2</v>
      </c>
      <c r="K14" s="15">
        <v>76782</v>
      </c>
      <c r="L14" s="100">
        <f t="shared" si="2"/>
        <v>585383</v>
      </c>
      <c r="M14" s="97">
        <f t="shared" si="3"/>
        <v>0.15096706455551612</v>
      </c>
      <c r="N14" s="96"/>
      <c r="O14" s="95">
        <f t="shared" si="9"/>
        <v>6829</v>
      </c>
      <c r="P14" s="49">
        <f t="shared" si="4"/>
        <v>1.1665866620656903E-2</v>
      </c>
      <c r="Q14" s="380">
        <v>13919.5</v>
      </c>
      <c r="R14" s="144">
        <f t="shared" si="10"/>
        <v>8.7853795429759666E-4</v>
      </c>
      <c r="S14" s="29">
        <f t="shared" si="11"/>
        <v>6613</v>
      </c>
      <c r="T14" s="49">
        <f t="shared" si="5"/>
        <v>1.129687742896531E-2</v>
      </c>
      <c r="U14" s="14">
        <f t="shared" si="6"/>
        <v>13442</v>
      </c>
      <c r="V14" s="100">
        <f t="shared" si="12"/>
        <v>598825</v>
      </c>
      <c r="W14" s="55">
        <f t="shared" si="13"/>
        <v>0.20557302592638815</v>
      </c>
      <c r="X14" s="146">
        <v>10920</v>
      </c>
      <c r="Y14" s="136">
        <v>596303</v>
      </c>
      <c r="Z14" s="14">
        <f t="shared" si="14"/>
        <v>-2522</v>
      </c>
      <c r="AA14" s="14">
        <v>596303</v>
      </c>
    </row>
    <row r="15" spans="1:27" s="90" customFormat="1" x14ac:dyDescent="0.25">
      <c r="A15" s="71" t="s">
        <v>12</v>
      </c>
      <c r="B15" s="72">
        <v>2</v>
      </c>
      <c r="C15" s="102" t="s">
        <v>84</v>
      </c>
      <c r="D15" s="126">
        <v>552802</v>
      </c>
      <c r="E15" s="366">
        <f t="shared" si="7"/>
        <v>1.3482975609756098E-3</v>
      </c>
      <c r="F15" s="101"/>
      <c r="G15" s="118">
        <f t="shared" si="8"/>
        <v>0</v>
      </c>
      <c r="H15" s="73">
        <v>11291</v>
      </c>
      <c r="I15" s="14">
        <f t="shared" si="0"/>
        <v>564093</v>
      </c>
      <c r="J15" s="45">
        <f t="shared" si="1"/>
        <v>2.0425034641698092E-2</v>
      </c>
      <c r="K15" s="15">
        <v>10539</v>
      </c>
      <c r="L15" s="100">
        <f t="shared" si="2"/>
        <v>574632</v>
      </c>
      <c r="M15" s="97">
        <f t="shared" si="3"/>
        <v>1.8683089490562743E-2</v>
      </c>
      <c r="N15" s="96"/>
      <c r="O15" s="95">
        <f t="shared" si="9"/>
        <v>6703</v>
      </c>
      <c r="P15" s="49">
        <f t="shared" si="4"/>
        <v>1.1664856812707959E-2</v>
      </c>
      <c r="Q15" s="380">
        <v>16302</v>
      </c>
      <c r="R15" s="144">
        <f t="shared" si="10"/>
        <v>1.0289109329328942E-3</v>
      </c>
      <c r="S15" s="29">
        <f t="shared" si="11"/>
        <v>7745</v>
      </c>
      <c r="T15" s="49">
        <f t="shared" si="5"/>
        <v>1.3478191259797575E-2</v>
      </c>
      <c r="U15" s="14">
        <f t="shared" si="6"/>
        <v>14448</v>
      </c>
      <c r="V15" s="100">
        <f t="shared" si="12"/>
        <v>589080</v>
      </c>
      <c r="W15" s="55">
        <f t="shared" si="13"/>
        <v>6.5625667056197434E-2</v>
      </c>
      <c r="X15" s="146">
        <v>10735</v>
      </c>
      <c r="Y15" s="136">
        <v>603132</v>
      </c>
      <c r="Z15" s="14">
        <f t="shared" si="14"/>
        <v>14052</v>
      </c>
      <c r="AA15" s="14">
        <v>589080</v>
      </c>
    </row>
    <row r="16" spans="1:27" s="90" customFormat="1" x14ac:dyDescent="0.25">
      <c r="A16" s="71" t="s">
        <v>13</v>
      </c>
      <c r="B16" s="72">
        <v>2</v>
      </c>
      <c r="C16" s="102" t="s">
        <v>84</v>
      </c>
      <c r="D16" s="126">
        <v>466416</v>
      </c>
      <c r="E16" s="366">
        <f t="shared" si="7"/>
        <v>1.1375999999999999E-3</v>
      </c>
      <c r="F16" s="101"/>
      <c r="G16" s="118">
        <f t="shared" si="8"/>
        <v>0</v>
      </c>
      <c r="H16" s="73">
        <v>8109</v>
      </c>
      <c r="I16" s="14">
        <f t="shared" si="0"/>
        <v>474525</v>
      </c>
      <c r="J16" s="45">
        <f t="shared" si="1"/>
        <v>1.7385767212102499E-2</v>
      </c>
      <c r="K16" s="15">
        <v>17163</v>
      </c>
      <c r="L16" s="100">
        <f t="shared" si="2"/>
        <v>491688</v>
      </c>
      <c r="M16" s="97">
        <f t="shared" si="3"/>
        <v>3.6168800379326793E-2</v>
      </c>
      <c r="N16" s="96"/>
      <c r="O16" s="95">
        <f t="shared" si="9"/>
        <v>5736</v>
      </c>
      <c r="P16" s="49">
        <f t="shared" si="4"/>
        <v>1.1665934495045639E-2</v>
      </c>
      <c r="Q16" s="380">
        <v>9265</v>
      </c>
      <c r="R16" s="144">
        <f t="shared" si="10"/>
        <v>5.8476627368563765E-4</v>
      </c>
      <c r="S16" s="29">
        <f t="shared" si="11"/>
        <v>4402</v>
      </c>
      <c r="T16" s="49">
        <f t="shared" si="5"/>
        <v>8.9528318771253321E-3</v>
      </c>
      <c r="U16" s="14">
        <f t="shared" si="6"/>
        <v>10138</v>
      </c>
      <c r="V16" s="100">
        <f t="shared" si="12"/>
        <v>501826</v>
      </c>
      <c r="W16" s="55">
        <f t="shared" si="13"/>
        <v>7.5919350965661492E-2</v>
      </c>
      <c r="X16" s="146">
        <v>11455</v>
      </c>
      <c r="Y16" s="136">
        <v>503143</v>
      </c>
      <c r="Z16" s="14">
        <f t="shared" si="14"/>
        <v>1317</v>
      </c>
      <c r="AA16" s="14">
        <v>501826</v>
      </c>
    </row>
    <row r="17" spans="1:27" s="90" customFormat="1" x14ac:dyDescent="0.25">
      <c r="A17" s="71" t="s">
        <v>14</v>
      </c>
      <c r="B17" s="72">
        <v>2</v>
      </c>
      <c r="C17" s="102" t="s">
        <v>84</v>
      </c>
      <c r="D17" s="126">
        <v>525751</v>
      </c>
      <c r="E17" s="366">
        <f t="shared" si="7"/>
        <v>1.2823195121951219E-3</v>
      </c>
      <c r="F17" s="101"/>
      <c r="G17" s="118">
        <f t="shared" si="8"/>
        <v>0</v>
      </c>
      <c r="H17" s="73">
        <v>15831</v>
      </c>
      <c r="I17" s="14">
        <f t="shared" si="0"/>
        <v>541582</v>
      </c>
      <c r="J17" s="45">
        <f t="shared" si="1"/>
        <v>3.0111212341964233E-2</v>
      </c>
      <c r="K17" s="15">
        <v>10856</v>
      </c>
      <c r="L17" s="100">
        <f t="shared" si="2"/>
        <v>552438</v>
      </c>
      <c r="M17" s="97">
        <f t="shared" si="3"/>
        <v>2.0044979338308844E-2</v>
      </c>
      <c r="N17" s="96"/>
      <c r="O17" s="95">
        <f t="shared" si="9"/>
        <v>6445</v>
      </c>
      <c r="P17" s="49">
        <f t="shared" si="4"/>
        <v>1.1666467549299651E-2</v>
      </c>
      <c r="Q17" s="380">
        <v>17236</v>
      </c>
      <c r="R17" s="144">
        <f t="shared" si="10"/>
        <v>1.0878609274954829E-3</v>
      </c>
      <c r="S17" s="29">
        <f t="shared" si="11"/>
        <v>8189</v>
      </c>
      <c r="T17" s="49">
        <f t="shared" si="5"/>
        <v>1.4823382895456141E-2</v>
      </c>
      <c r="U17" s="14">
        <f t="shared" si="6"/>
        <v>14634</v>
      </c>
      <c r="V17" s="100">
        <f t="shared" si="12"/>
        <v>567072</v>
      </c>
      <c r="W17" s="55">
        <f t="shared" si="13"/>
        <v>7.8594239478384287E-2</v>
      </c>
      <c r="X17" s="146">
        <v>10397</v>
      </c>
      <c r="Y17" s="136">
        <v>562835</v>
      </c>
      <c r="Z17" s="14">
        <f t="shared" si="14"/>
        <v>-4237</v>
      </c>
      <c r="AA17" s="14">
        <v>562835</v>
      </c>
    </row>
    <row r="18" spans="1:27" s="90" customFormat="1" x14ac:dyDescent="0.25">
      <c r="A18" s="71" t="s">
        <v>15</v>
      </c>
      <c r="B18" s="72">
        <v>2</v>
      </c>
      <c r="C18" s="102" t="s">
        <v>84</v>
      </c>
      <c r="D18" s="126">
        <v>741009</v>
      </c>
      <c r="E18" s="366">
        <f t="shared" si="7"/>
        <v>1.807339024390244E-3</v>
      </c>
      <c r="F18" s="101"/>
      <c r="G18" s="118">
        <f t="shared" si="8"/>
        <v>0</v>
      </c>
      <c r="H18" s="73">
        <v>13800</v>
      </c>
      <c r="I18" s="14">
        <f t="shared" si="0"/>
        <v>754809</v>
      </c>
      <c r="J18" s="45">
        <f t="shared" si="1"/>
        <v>1.862325558798883E-2</v>
      </c>
      <c r="K18" s="15">
        <v>15962</v>
      </c>
      <c r="L18" s="100">
        <f t="shared" si="2"/>
        <v>770771</v>
      </c>
      <c r="M18" s="97">
        <f t="shared" si="3"/>
        <v>2.1147071643289994E-2</v>
      </c>
      <c r="N18" s="96"/>
      <c r="O18" s="95">
        <f t="shared" si="9"/>
        <v>8992</v>
      </c>
      <c r="P18" s="49">
        <f t="shared" si="4"/>
        <v>1.1666240686273874E-2</v>
      </c>
      <c r="Q18" s="380">
        <v>16786.5</v>
      </c>
      <c r="R18" s="144">
        <f t="shared" si="10"/>
        <v>1.0594904536669137E-3</v>
      </c>
      <c r="S18" s="29">
        <f t="shared" si="11"/>
        <v>7975</v>
      </c>
      <c r="T18" s="49">
        <f t="shared" si="5"/>
        <v>1.0346782637125683E-2</v>
      </c>
      <c r="U18" s="14">
        <f t="shared" si="6"/>
        <v>16967</v>
      </c>
      <c r="V18" s="100">
        <f t="shared" si="12"/>
        <v>787738</v>
      </c>
      <c r="W18" s="55">
        <f t="shared" si="13"/>
        <v>6.3061312345733977E-2</v>
      </c>
      <c r="X18" s="146">
        <v>16024</v>
      </c>
      <c r="Y18" s="136">
        <v>786795</v>
      </c>
      <c r="Z18" s="14">
        <f t="shared" si="14"/>
        <v>-943</v>
      </c>
      <c r="AA18" s="14">
        <v>786795</v>
      </c>
    </row>
    <row r="19" spans="1:27" s="90" customFormat="1" x14ac:dyDescent="0.25">
      <c r="A19" s="71" t="s">
        <v>16</v>
      </c>
      <c r="B19" s="72">
        <v>3</v>
      </c>
      <c r="C19" s="102" t="s">
        <v>84</v>
      </c>
      <c r="D19" s="126">
        <v>680789</v>
      </c>
      <c r="E19" s="366">
        <f t="shared" si="7"/>
        <v>1.6604609756097561E-3</v>
      </c>
      <c r="F19" s="101"/>
      <c r="G19" s="118">
        <f t="shared" si="8"/>
        <v>0</v>
      </c>
      <c r="H19" s="73">
        <v>17369</v>
      </c>
      <c r="I19" s="14">
        <f t="shared" si="0"/>
        <v>698158</v>
      </c>
      <c r="J19" s="45">
        <f t="shared" si="1"/>
        <v>2.55130444234557E-2</v>
      </c>
      <c r="K19" s="15">
        <v>137380</v>
      </c>
      <c r="L19" s="100">
        <f t="shared" si="2"/>
        <v>835538</v>
      </c>
      <c r="M19" s="97">
        <f t="shared" si="3"/>
        <v>0.19677494206182544</v>
      </c>
      <c r="N19" s="96"/>
      <c r="O19" s="95">
        <f t="shared" si="9"/>
        <v>9747</v>
      </c>
      <c r="P19" s="49">
        <f t="shared" si="4"/>
        <v>1.1665537653583679E-2</v>
      </c>
      <c r="Q19" s="380">
        <v>33818.5</v>
      </c>
      <c r="R19" s="144">
        <f t="shared" si="10"/>
        <v>2.1344757934849148E-3</v>
      </c>
      <c r="S19" s="29">
        <f t="shared" si="11"/>
        <v>16068</v>
      </c>
      <c r="T19" s="49">
        <f t="shared" si="5"/>
        <v>1.9230723198705505E-2</v>
      </c>
      <c r="U19" s="14">
        <f t="shared" si="6"/>
        <v>25815</v>
      </c>
      <c r="V19" s="100">
        <f t="shared" si="12"/>
        <v>861353</v>
      </c>
      <c r="W19" s="55">
        <f t="shared" si="13"/>
        <v>0.26522755214905058</v>
      </c>
      <c r="X19" s="146">
        <v>18597</v>
      </c>
      <c r="Y19" s="136">
        <v>854135</v>
      </c>
      <c r="Z19" s="14">
        <f t="shared" si="14"/>
        <v>-7218</v>
      </c>
      <c r="AA19" s="14">
        <v>854135</v>
      </c>
    </row>
    <row r="20" spans="1:27" s="90" customFormat="1" x14ac:dyDescent="0.25">
      <c r="A20" s="71" t="s">
        <v>17</v>
      </c>
      <c r="B20" s="72">
        <v>3</v>
      </c>
      <c r="C20" s="102" t="s">
        <v>84</v>
      </c>
      <c r="D20" s="126">
        <v>762973</v>
      </c>
      <c r="E20" s="366">
        <f t="shared" si="7"/>
        <v>1.8609097560975611E-3</v>
      </c>
      <c r="F20" s="101"/>
      <c r="G20" s="118">
        <f t="shared" si="8"/>
        <v>0</v>
      </c>
      <c r="H20" s="73">
        <v>12897</v>
      </c>
      <c r="I20" s="14">
        <f t="shared" si="0"/>
        <v>775870</v>
      </c>
      <c r="J20" s="45">
        <f t="shared" si="1"/>
        <v>1.6903612578688998E-2</v>
      </c>
      <c r="K20" s="15">
        <v>15306</v>
      </c>
      <c r="L20" s="100">
        <f t="shared" si="2"/>
        <v>791176</v>
      </c>
      <c r="M20" s="97">
        <f t="shared" si="3"/>
        <v>1.9727531674120558E-2</v>
      </c>
      <c r="N20" s="96"/>
      <c r="O20" s="95">
        <f t="shared" si="9"/>
        <v>9230</v>
      </c>
      <c r="P20" s="49">
        <f t="shared" si="4"/>
        <v>1.1666177942708069E-2</v>
      </c>
      <c r="Q20" s="380">
        <v>26916</v>
      </c>
      <c r="R20" s="144">
        <f t="shared" si="10"/>
        <v>1.6988201859171744E-3</v>
      </c>
      <c r="S20" s="29">
        <f t="shared" si="11"/>
        <v>12788</v>
      </c>
      <c r="T20" s="49">
        <f t="shared" si="5"/>
        <v>1.6163280989312113E-2</v>
      </c>
      <c r="U20" s="14">
        <f t="shared" si="6"/>
        <v>22018</v>
      </c>
      <c r="V20" s="100">
        <f t="shared" si="12"/>
        <v>813194</v>
      </c>
      <c r="W20" s="55">
        <f t="shared" si="13"/>
        <v>6.5822774855728738E-2</v>
      </c>
      <c r="X20" s="146">
        <v>14788</v>
      </c>
      <c r="Y20" s="136">
        <v>805964</v>
      </c>
      <c r="Z20" s="14">
        <f t="shared" si="14"/>
        <v>-7230</v>
      </c>
      <c r="AA20" s="14">
        <v>805964</v>
      </c>
    </row>
    <row r="21" spans="1:27" s="90" customFormat="1" x14ac:dyDescent="0.25">
      <c r="A21" s="71" t="s">
        <v>18</v>
      </c>
      <c r="B21" s="72">
        <v>3</v>
      </c>
      <c r="C21" s="102" t="s">
        <v>84</v>
      </c>
      <c r="D21" s="126">
        <v>1230451</v>
      </c>
      <c r="E21" s="366">
        <f t="shared" si="7"/>
        <v>3.0011E-3</v>
      </c>
      <c r="F21" s="101"/>
      <c r="G21" s="118">
        <f t="shared" si="8"/>
        <v>0</v>
      </c>
      <c r="H21" s="73">
        <v>26151</v>
      </c>
      <c r="I21" s="14">
        <f t="shared" si="0"/>
        <v>1256602</v>
      </c>
      <c r="J21" s="45">
        <f t="shared" si="1"/>
        <v>2.1253182776071577E-2</v>
      </c>
      <c r="K21" s="15">
        <v>47185</v>
      </c>
      <c r="L21" s="100">
        <f t="shared" si="2"/>
        <v>1303787</v>
      </c>
      <c r="M21" s="97">
        <f t="shared" si="3"/>
        <v>3.7549677622668032E-2</v>
      </c>
      <c r="N21" s="96"/>
      <c r="O21" s="95">
        <f t="shared" si="9"/>
        <v>15209</v>
      </c>
      <c r="P21" s="49">
        <f t="shared" si="4"/>
        <v>1.1665249001562373E-2</v>
      </c>
      <c r="Q21" s="380">
        <v>33323.5</v>
      </c>
      <c r="R21" s="144">
        <f t="shared" si="10"/>
        <v>2.1032335586792599E-3</v>
      </c>
      <c r="S21" s="29">
        <f t="shared" si="11"/>
        <v>15832</v>
      </c>
      <c r="T21" s="49">
        <f t="shared" si="5"/>
        <v>1.2143087789646621E-2</v>
      </c>
      <c r="U21" s="14">
        <f t="shared" si="6"/>
        <v>31041</v>
      </c>
      <c r="V21" s="100">
        <f t="shared" si="12"/>
        <v>1334828</v>
      </c>
      <c r="W21" s="55">
        <f t="shared" si="13"/>
        <v>8.4828245903331378E-2</v>
      </c>
      <c r="X21" s="146">
        <v>28743</v>
      </c>
      <c r="Y21" s="136">
        <v>1350232</v>
      </c>
      <c r="Z21" s="14">
        <f t="shared" si="14"/>
        <v>15404</v>
      </c>
      <c r="AA21" s="14">
        <v>1334828</v>
      </c>
    </row>
    <row r="22" spans="1:27" s="90" customFormat="1" x14ac:dyDescent="0.25">
      <c r="A22" s="71" t="s">
        <v>19</v>
      </c>
      <c r="B22" s="72">
        <v>3</v>
      </c>
      <c r="C22" s="102" t="s">
        <v>84</v>
      </c>
      <c r="D22" s="126">
        <v>852932</v>
      </c>
      <c r="E22" s="366">
        <f t="shared" si="7"/>
        <v>2.080321951219512E-3</v>
      </c>
      <c r="F22" s="101"/>
      <c r="G22" s="118">
        <f t="shared" si="8"/>
        <v>0</v>
      </c>
      <c r="H22" s="73">
        <v>15598</v>
      </c>
      <c r="I22" s="14">
        <f t="shared" si="0"/>
        <v>868530</v>
      </c>
      <c r="J22" s="45">
        <f t="shared" si="1"/>
        <v>1.8287507093179833E-2</v>
      </c>
      <c r="K22" s="15">
        <v>21929</v>
      </c>
      <c r="L22" s="100">
        <f t="shared" si="2"/>
        <v>890459</v>
      </c>
      <c r="M22" s="97">
        <f t="shared" si="3"/>
        <v>2.5248408229997743E-2</v>
      </c>
      <c r="N22" s="96"/>
      <c r="O22" s="95">
        <f t="shared" si="9"/>
        <v>10388</v>
      </c>
      <c r="P22" s="49">
        <f t="shared" si="4"/>
        <v>1.1665893657091454E-2</v>
      </c>
      <c r="Q22" s="380">
        <v>21067</v>
      </c>
      <c r="R22" s="144">
        <f t="shared" si="10"/>
        <v>1.3296568902034893E-3</v>
      </c>
      <c r="S22" s="29">
        <f t="shared" si="11"/>
        <v>10009</v>
      </c>
      <c r="T22" s="49">
        <f t="shared" si="5"/>
        <v>1.1240270467253404E-2</v>
      </c>
      <c r="U22" s="14">
        <f t="shared" si="6"/>
        <v>20397</v>
      </c>
      <c r="V22" s="100">
        <f t="shared" si="12"/>
        <v>910856</v>
      </c>
      <c r="W22" s="55">
        <f t="shared" si="13"/>
        <v>6.7911627187161372E-2</v>
      </c>
      <c r="X22" s="146">
        <v>15793</v>
      </c>
      <c r="Y22" s="136">
        <v>906252</v>
      </c>
      <c r="Z22" s="14">
        <f t="shared" si="14"/>
        <v>-4604</v>
      </c>
      <c r="AA22" s="14">
        <v>906252</v>
      </c>
    </row>
    <row r="23" spans="1:27" s="90" customFormat="1" x14ac:dyDescent="0.25">
      <c r="A23" s="71" t="s">
        <v>20</v>
      </c>
      <c r="B23" s="72">
        <v>3</v>
      </c>
      <c r="C23" s="102" t="s">
        <v>84</v>
      </c>
      <c r="D23" s="126">
        <v>1197173</v>
      </c>
      <c r="E23" s="366">
        <f t="shared" si="7"/>
        <v>2.9199341463414636E-3</v>
      </c>
      <c r="F23" s="101"/>
      <c r="G23" s="118">
        <f t="shared" si="8"/>
        <v>0</v>
      </c>
      <c r="H23" s="73">
        <v>23341</v>
      </c>
      <c r="I23" s="14">
        <f t="shared" si="0"/>
        <v>1220514</v>
      </c>
      <c r="J23" s="45">
        <f t="shared" si="1"/>
        <v>1.9496764460942506E-2</v>
      </c>
      <c r="K23" s="15">
        <v>30722</v>
      </c>
      <c r="L23" s="100">
        <f t="shared" si="2"/>
        <v>1251236</v>
      </c>
      <c r="M23" s="97">
        <f t="shared" si="3"/>
        <v>2.5171362229355898E-2</v>
      </c>
      <c r="N23" s="96"/>
      <c r="O23" s="95">
        <f t="shared" si="9"/>
        <v>14596</v>
      </c>
      <c r="P23" s="49">
        <f t="shared" si="4"/>
        <v>1.1665265385586732E-2</v>
      </c>
      <c r="Q23" s="380">
        <v>32074</v>
      </c>
      <c r="R23" s="144">
        <f t="shared" si="10"/>
        <v>2.0243705841546831E-3</v>
      </c>
      <c r="S23" s="29">
        <f t="shared" si="11"/>
        <v>15239</v>
      </c>
      <c r="T23" s="49">
        <f t="shared" si="5"/>
        <v>1.217915724931188E-2</v>
      </c>
      <c r="U23" s="14">
        <f t="shared" si="6"/>
        <v>29835</v>
      </c>
      <c r="V23" s="100">
        <f t="shared" si="12"/>
        <v>1281071</v>
      </c>
      <c r="W23" s="55">
        <f t="shared" si="13"/>
        <v>7.0080097028583088E-2</v>
      </c>
      <c r="X23" s="146">
        <v>23090</v>
      </c>
      <c r="Y23" s="136">
        <v>1355626</v>
      </c>
      <c r="Z23" s="14">
        <f t="shared" si="14"/>
        <v>74555</v>
      </c>
      <c r="AA23" s="14">
        <v>1281071</v>
      </c>
    </row>
    <row r="24" spans="1:27" s="90" customFormat="1" x14ac:dyDescent="0.25">
      <c r="A24" s="71" t="s">
        <v>21</v>
      </c>
      <c r="B24" s="72">
        <v>3</v>
      </c>
      <c r="C24" s="102" t="s">
        <v>84</v>
      </c>
      <c r="D24" s="126">
        <v>1040209</v>
      </c>
      <c r="E24" s="366">
        <f t="shared" si="7"/>
        <v>2.5370951219512196E-3</v>
      </c>
      <c r="F24" s="101"/>
      <c r="G24" s="118">
        <f t="shared" si="8"/>
        <v>0</v>
      </c>
      <c r="H24" s="73">
        <v>17506</v>
      </c>
      <c r="I24" s="14">
        <f t="shared" si="0"/>
        <v>1057715</v>
      </c>
      <c r="J24" s="45">
        <f t="shared" si="1"/>
        <v>1.6829310263610564E-2</v>
      </c>
      <c r="K24" s="15">
        <v>24294</v>
      </c>
      <c r="L24" s="100">
        <f t="shared" si="2"/>
        <v>1082009</v>
      </c>
      <c r="M24" s="97">
        <f t="shared" si="3"/>
        <v>2.296837995112111E-2</v>
      </c>
      <c r="N24" s="96"/>
      <c r="O24" s="95">
        <f t="shared" si="9"/>
        <v>12622</v>
      </c>
      <c r="P24" s="49">
        <f t="shared" si="4"/>
        <v>1.1665337349319646E-2</v>
      </c>
      <c r="Q24" s="380">
        <v>35638.5</v>
      </c>
      <c r="R24" s="144">
        <f t="shared" si="10"/>
        <v>2.2493462325683319E-3</v>
      </c>
      <c r="S24" s="29">
        <f t="shared" si="11"/>
        <v>16932</v>
      </c>
      <c r="T24" s="49">
        <f t="shared" si="5"/>
        <v>1.5648668356732707E-2</v>
      </c>
      <c r="U24" s="14">
        <f t="shared" si="6"/>
        <v>29554</v>
      </c>
      <c r="V24" s="100">
        <f t="shared" si="12"/>
        <v>1111563</v>
      </c>
      <c r="W24" s="55">
        <f t="shared" si="13"/>
        <v>6.8595830261034108E-2</v>
      </c>
      <c r="X24" s="146">
        <v>22339</v>
      </c>
      <c r="Y24" s="136">
        <v>1104348</v>
      </c>
      <c r="Z24" s="14">
        <f t="shared" si="14"/>
        <v>-7215</v>
      </c>
      <c r="AA24" s="14">
        <v>1104348</v>
      </c>
    </row>
    <row r="25" spans="1:27" s="90" customFormat="1" x14ac:dyDescent="0.25">
      <c r="A25" s="71" t="s">
        <v>22</v>
      </c>
      <c r="B25" s="72">
        <v>3</v>
      </c>
      <c r="C25" s="102" t="s">
        <v>84</v>
      </c>
      <c r="D25" s="126">
        <v>1017692</v>
      </c>
      <c r="E25" s="366">
        <f t="shared" si="7"/>
        <v>2.4821756097560977E-3</v>
      </c>
      <c r="F25" s="101"/>
      <c r="G25" s="118">
        <f t="shared" si="8"/>
        <v>0</v>
      </c>
      <c r="H25" s="73">
        <v>19324</v>
      </c>
      <c r="I25" s="14">
        <f t="shared" si="0"/>
        <v>1037016</v>
      </c>
      <c r="J25" s="45">
        <f t="shared" si="1"/>
        <v>1.8988063186111237E-2</v>
      </c>
      <c r="K25" s="15">
        <v>63600</v>
      </c>
      <c r="L25" s="100">
        <f t="shared" si="2"/>
        <v>1100616</v>
      </c>
      <c r="M25" s="97">
        <f t="shared" si="3"/>
        <v>6.1329815547686906E-2</v>
      </c>
      <c r="N25" s="96"/>
      <c r="O25" s="95">
        <f t="shared" si="9"/>
        <v>12839</v>
      </c>
      <c r="P25" s="49">
        <f t="shared" si="4"/>
        <v>1.1665285621869935E-2</v>
      </c>
      <c r="Q25" s="380">
        <v>34643</v>
      </c>
      <c r="R25" s="144">
        <f t="shared" si="10"/>
        <v>2.1865146270147375E-3</v>
      </c>
      <c r="S25" s="29">
        <f t="shared" si="11"/>
        <v>16459</v>
      </c>
      <c r="T25" s="49">
        <f t="shared" si="5"/>
        <v>1.4954352835139595E-2</v>
      </c>
      <c r="U25" s="14">
        <f t="shared" si="6"/>
        <v>29298</v>
      </c>
      <c r="V25" s="100">
        <f t="shared" si="12"/>
        <v>1129914</v>
      </c>
      <c r="W25" s="55">
        <f t="shared" si="13"/>
        <v>0.11027108398218721</v>
      </c>
      <c r="X25" s="146">
        <v>22017</v>
      </c>
      <c r="Y25" s="136">
        <v>1122633</v>
      </c>
      <c r="Z25" s="14">
        <f t="shared" si="14"/>
        <v>-7281</v>
      </c>
      <c r="AA25" s="14">
        <v>1122633</v>
      </c>
    </row>
    <row r="26" spans="1:27" s="90" customFormat="1" x14ac:dyDescent="0.25">
      <c r="A26" s="71" t="s">
        <v>23</v>
      </c>
      <c r="B26" s="72">
        <v>3</v>
      </c>
      <c r="C26" s="102" t="s">
        <v>84</v>
      </c>
      <c r="D26" s="126">
        <v>524791</v>
      </c>
      <c r="E26" s="366">
        <f t="shared" si="7"/>
        <v>1.2799780487804879E-3</v>
      </c>
      <c r="F26" s="101"/>
      <c r="G26" s="118">
        <f t="shared" si="8"/>
        <v>0</v>
      </c>
      <c r="H26" s="73">
        <v>8695</v>
      </c>
      <c r="I26" s="14">
        <f t="shared" si="0"/>
        <v>533486</v>
      </c>
      <c r="J26" s="45">
        <f t="shared" si="1"/>
        <v>1.6568500603097336E-2</v>
      </c>
      <c r="K26" s="15">
        <v>11535</v>
      </c>
      <c r="L26" s="100">
        <f t="shared" si="2"/>
        <v>545021</v>
      </c>
      <c r="M26" s="97">
        <f t="shared" si="3"/>
        <v>2.1621935720899987E-2</v>
      </c>
      <c r="N26" s="96"/>
      <c r="O26" s="95">
        <f t="shared" si="9"/>
        <v>6358</v>
      </c>
      <c r="P26" s="49">
        <f t="shared" si="4"/>
        <v>1.1665605545474394E-2</v>
      </c>
      <c r="Q26" s="380">
        <v>23563.5</v>
      </c>
      <c r="R26" s="144">
        <f t="shared" si="10"/>
        <v>1.4872250501879677E-3</v>
      </c>
      <c r="S26" s="29">
        <f t="shared" si="11"/>
        <v>11195</v>
      </c>
      <c r="T26" s="49">
        <f t="shared" si="5"/>
        <v>2.0540492935134609E-2</v>
      </c>
      <c r="U26" s="14">
        <f t="shared" si="6"/>
        <v>17553</v>
      </c>
      <c r="V26" s="100">
        <f t="shared" si="12"/>
        <v>562574</v>
      </c>
      <c r="W26" s="55">
        <f t="shared" si="13"/>
        <v>7.1996280424016401E-2</v>
      </c>
      <c r="X26" s="146">
        <v>11481</v>
      </c>
      <c r="Y26" s="136">
        <v>556502</v>
      </c>
      <c r="Z26" s="14">
        <f t="shared" si="14"/>
        <v>-6072</v>
      </c>
      <c r="AA26" s="14">
        <v>556502</v>
      </c>
    </row>
    <row r="27" spans="1:27" s="90" customFormat="1" x14ac:dyDescent="0.25">
      <c r="A27" s="71" t="s">
        <v>24</v>
      </c>
      <c r="B27" s="72">
        <v>3</v>
      </c>
      <c r="C27" s="102" t="s">
        <v>84</v>
      </c>
      <c r="D27" s="126">
        <v>1195690</v>
      </c>
      <c r="E27" s="366">
        <f t="shared" si="7"/>
        <v>2.9163170731707315E-3</v>
      </c>
      <c r="F27" s="101"/>
      <c r="G27" s="118">
        <f t="shared" si="8"/>
        <v>0</v>
      </c>
      <c r="H27" s="73">
        <v>24887</v>
      </c>
      <c r="I27" s="14">
        <f t="shared" si="0"/>
        <v>1220577</v>
      </c>
      <c r="J27" s="45">
        <f t="shared" si="1"/>
        <v>2.0813923341334251E-2</v>
      </c>
      <c r="K27" s="15">
        <v>26306</v>
      </c>
      <c r="L27" s="100">
        <f t="shared" si="2"/>
        <v>1246883</v>
      </c>
      <c r="M27" s="97">
        <f t="shared" si="3"/>
        <v>2.1552101997661666E-2</v>
      </c>
      <c r="N27" s="96"/>
      <c r="O27" s="95">
        <f t="shared" si="9"/>
        <v>14546</v>
      </c>
      <c r="P27" s="49">
        <f t="shared" si="4"/>
        <v>1.1665890063462249E-2</v>
      </c>
      <c r="Q27" s="380">
        <v>31118</v>
      </c>
      <c r="R27" s="144">
        <f t="shared" si="10"/>
        <v>1.964032045822954E-3</v>
      </c>
      <c r="S27" s="29">
        <f t="shared" si="11"/>
        <v>14784</v>
      </c>
      <c r="T27" s="49">
        <f t="shared" si="5"/>
        <v>1.1856766031776839E-2</v>
      </c>
      <c r="U27" s="14">
        <f t="shared" si="6"/>
        <v>29330</v>
      </c>
      <c r="V27" s="100">
        <f t="shared" si="12"/>
        <v>1276213</v>
      </c>
      <c r="W27" s="55">
        <f t="shared" si="13"/>
        <v>6.7344378559660134E-2</v>
      </c>
      <c r="X27" s="146">
        <v>26620</v>
      </c>
      <c r="Y27" s="136">
        <v>1273503</v>
      </c>
      <c r="Z27" s="14">
        <f t="shared" si="14"/>
        <v>-2710</v>
      </c>
      <c r="AA27" s="14">
        <v>1273503</v>
      </c>
    </row>
    <row r="28" spans="1:27" s="90" customFormat="1" x14ac:dyDescent="0.25">
      <c r="A28" s="71" t="s">
        <v>25</v>
      </c>
      <c r="B28" s="72">
        <v>3</v>
      </c>
      <c r="C28" s="102" t="s">
        <v>84</v>
      </c>
      <c r="D28" s="126">
        <v>1088604</v>
      </c>
      <c r="E28" s="366">
        <f t="shared" si="7"/>
        <v>2.6551317073170732E-3</v>
      </c>
      <c r="F28" s="101"/>
      <c r="G28" s="118">
        <f t="shared" si="8"/>
        <v>0</v>
      </c>
      <c r="H28" s="73">
        <v>21398</v>
      </c>
      <c r="I28" s="14">
        <f t="shared" si="0"/>
        <v>1110002</v>
      </c>
      <c r="J28" s="45">
        <f t="shared" si="1"/>
        <v>1.9656367237305794E-2</v>
      </c>
      <c r="K28" s="15">
        <v>35813</v>
      </c>
      <c r="L28" s="100">
        <f t="shared" si="2"/>
        <v>1145815</v>
      </c>
      <c r="M28" s="97">
        <f t="shared" si="3"/>
        <v>3.2263905830800299E-2</v>
      </c>
      <c r="N28" s="96"/>
      <c r="O28" s="95">
        <f t="shared" si="9"/>
        <v>13367</v>
      </c>
      <c r="P28" s="49">
        <f t="shared" si="4"/>
        <v>1.1665932109459206E-2</v>
      </c>
      <c r="Q28" s="380">
        <v>32306.5</v>
      </c>
      <c r="R28" s="144">
        <f t="shared" si="10"/>
        <v>2.0390449671694607E-3</v>
      </c>
      <c r="S28" s="29">
        <f t="shared" si="11"/>
        <v>15349</v>
      </c>
      <c r="T28" s="49">
        <f t="shared" si="5"/>
        <v>1.3395705240374756E-2</v>
      </c>
      <c r="U28" s="14">
        <f t="shared" si="6"/>
        <v>28716</v>
      </c>
      <c r="V28" s="100">
        <f t="shared" si="12"/>
        <v>1174531</v>
      </c>
      <c r="W28" s="55">
        <f t="shared" si="13"/>
        <v>7.8933202523598922E-2</v>
      </c>
      <c r="X28" s="146">
        <v>26280</v>
      </c>
      <c r="Y28" s="136">
        <v>1172095</v>
      </c>
      <c r="Z28" s="14">
        <f t="shared" si="14"/>
        <v>-2436</v>
      </c>
      <c r="AA28" s="14">
        <v>1172095</v>
      </c>
    </row>
    <row r="29" spans="1:27" s="90" customFormat="1" x14ac:dyDescent="0.25">
      <c r="A29" s="71" t="s">
        <v>26</v>
      </c>
      <c r="B29" s="72">
        <v>3</v>
      </c>
      <c r="C29" s="102" t="s">
        <v>84</v>
      </c>
      <c r="D29" s="126">
        <v>644175</v>
      </c>
      <c r="E29" s="366">
        <f t="shared" si="7"/>
        <v>1.5711585365853658E-3</v>
      </c>
      <c r="F29" s="101"/>
      <c r="G29" s="118">
        <f t="shared" si="8"/>
        <v>0</v>
      </c>
      <c r="H29" s="73">
        <v>17987</v>
      </c>
      <c r="I29" s="14">
        <f t="shared" si="0"/>
        <v>662162</v>
      </c>
      <c r="J29" s="45">
        <f t="shared" si="1"/>
        <v>2.7922536577793311E-2</v>
      </c>
      <c r="K29" s="15">
        <v>13377</v>
      </c>
      <c r="L29" s="100">
        <f t="shared" si="2"/>
        <v>675539</v>
      </c>
      <c r="M29" s="97">
        <f t="shared" si="3"/>
        <v>2.0202004947429852E-2</v>
      </c>
      <c r="N29" s="96"/>
      <c r="O29" s="95">
        <f t="shared" si="9"/>
        <v>7881</v>
      </c>
      <c r="P29" s="49">
        <f t="shared" si="4"/>
        <v>1.1666239846996251E-2</v>
      </c>
      <c r="Q29" s="380">
        <v>20822.5</v>
      </c>
      <c r="R29" s="144">
        <f t="shared" si="10"/>
        <v>1.3142251196782719E-3</v>
      </c>
      <c r="S29" s="29">
        <f t="shared" si="11"/>
        <v>9893</v>
      </c>
      <c r="T29" s="49">
        <f t="shared" si="5"/>
        <v>1.4644602310155299E-2</v>
      </c>
      <c r="U29" s="14">
        <f t="shared" si="6"/>
        <v>17774</v>
      </c>
      <c r="V29" s="100">
        <f t="shared" si="12"/>
        <v>693313</v>
      </c>
      <c r="W29" s="55">
        <f t="shared" si="13"/>
        <v>7.6280513835526031E-2</v>
      </c>
      <c r="X29" s="146">
        <v>13162</v>
      </c>
      <c r="Y29" s="136">
        <v>688701</v>
      </c>
      <c r="Z29" s="14">
        <f t="shared" si="14"/>
        <v>-4612</v>
      </c>
      <c r="AA29" s="14">
        <v>688701</v>
      </c>
    </row>
    <row r="30" spans="1:27" s="90" customFormat="1" x14ac:dyDescent="0.25">
      <c r="A30" s="71" t="s">
        <v>27</v>
      </c>
      <c r="B30" s="72">
        <v>4</v>
      </c>
      <c r="C30" s="102"/>
      <c r="D30" s="126">
        <v>2712182</v>
      </c>
      <c r="E30" s="366">
        <f t="shared" si="7"/>
        <v>6.6150780487804874E-3</v>
      </c>
      <c r="F30" s="101">
        <v>2712182</v>
      </c>
      <c r="G30" s="118">
        <f>F30/$F$72</f>
        <v>7.0072311064178217E-3</v>
      </c>
      <c r="H30" s="73">
        <v>101492</v>
      </c>
      <c r="I30" s="14">
        <f t="shared" si="0"/>
        <v>2813674</v>
      </c>
      <c r="J30" s="45">
        <f t="shared" si="1"/>
        <v>3.7420792557431692E-2</v>
      </c>
      <c r="K30" s="15">
        <v>91104</v>
      </c>
      <c r="L30" s="100">
        <f t="shared" si="2"/>
        <v>2904778</v>
      </c>
      <c r="M30" s="97">
        <f t="shared" si="3"/>
        <v>3.237901761184836E-2</v>
      </c>
      <c r="N30" s="96">
        <f>ROUND(($N$1*G30),0)</f>
        <v>14867</v>
      </c>
      <c r="O30" s="95">
        <f t="shared" si="9"/>
        <v>33886</v>
      </c>
      <c r="P30" s="49">
        <f t="shared" si="4"/>
        <v>1.1665607492207667E-2</v>
      </c>
      <c r="Q30" s="380">
        <v>88438</v>
      </c>
      <c r="R30" s="144">
        <f t="shared" si="10"/>
        <v>5.5818197206918959E-3</v>
      </c>
      <c r="S30" s="29">
        <f t="shared" si="11"/>
        <v>42018</v>
      </c>
      <c r="T30" s="49">
        <f t="shared" si="5"/>
        <v>1.4465132963689479E-2</v>
      </c>
      <c r="U30" s="14">
        <f t="shared" si="6"/>
        <v>90771</v>
      </c>
      <c r="V30" s="100">
        <f t="shared" si="12"/>
        <v>2995549</v>
      </c>
      <c r="W30" s="55">
        <f t="shared" si="13"/>
        <v>0.10447934541266046</v>
      </c>
      <c r="X30" s="146"/>
      <c r="Y30" s="136">
        <v>3299164</v>
      </c>
      <c r="Z30" s="14">
        <f t="shared" si="14"/>
        <v>303615</v>
      </c>
      <c r="AA30" s="14">
        <v>2995549</v>
      </c>
    </row>
    <row r="31" spans="1:27" s="90" customFormat="1" x14ac:dyDescent="0.25">
      <c r="A31" s="71" t="s">
        <v>28</v>
      </c>
      <c r="B31" s="72">
        <v>4</v>
      </c>
      <c r="C31" s="102" t="s">
        <v>84</v>
      </c>
      <c r="D31" s="126">
        <v>1431276</v>
      </c>
      <c r="E31" s="366">
        <f t="shared" si="7"/>
        <v>3.4909170731707317E-3</v>
      </c>
      <c r="F31" s="101"/>
      <c r="G31" s="118">
        <f>F31/$D$72</f>
        <v>0</v>
      </c>
      <c r="H31" s="73">
        <v>27786</v>
      </c>
      <c r="I31" s="14">
        <f t="shared" si="0"/>
        <v>1459062</v>
      </c>
      <c r="J31" s="45">
        <f t="shared" si="1"/>
        <v>1.9413446463155903E-2</v>
      </c>
      <c r="K31" s="15">
        <v>35973</v>
      </c>
      <c r="L31" s="100">
        <f t="shared" si="2"/>
        <v>1495035</v>
      </c>
      <c r="M31" s="97">
        <f t="shared" si="3"/>
        <v>2.465488101259572E-2</v>
      </c>
      <c r="N31" s="96"/>
      <c r="O31" s="95">
        <f t="shared" si="9"/>
        <v>17441</v>
      </c>
      <c r="P31" s="49">
        <f t="shared" si="4"/>
        <v>1.1665947619955385E-2</v>
      </c>
      <c r="Q31" s="380">
        <v>58531</v>
      </c>
      <c r="R31" s="144">
        <f t="shared" si="10"/>
        <v>3.6942206977975236E-3</v>
      </c>
      <c r="S31" s="29">
        <f t="shared" si="11"/>
        <v>27809</v>
      </c>
      <c r="T31" s="49">
        <f t="shared" si="5"/>
        <v>1.8600902320012574E-2</v>
      </c>
      <c r="U31" s="14">
        <f t="shared" si="6"/>
        <v>45250</v>
      </c>
      <c r="V31" s="100">
        <f t="shared" si="12"/>
        <v>1540285</v>
      </c>
      <c r="W31" s="55">
        <f t="shared" si="13"/>
        <v>7.6162109893549435E-2</v>
      </c>
      <c r="X31" s="146">
        <v>32105</v>
      </c>
      <c r="Y31" s="136">
        <v>1527140</v>
      </c>
      <c r="Z31" s="14">
        <f t="shared" si="14"/>
        <v>-13145</v>
      </c>
      <c r="AA31" s="14">
        <v>1527140</v>
      </c>
    </row>
    <row r="32" spans="1:27" s="90" customFormat="1" x14ac:dyDescent="0.25">
      <c r="A32" s="71" t="s">
        <v>29</v>
      </c>
      <c r="B32" s="72">
        <v>4</v>
      </c>
      <c r="C32" s="102"/>
      <c r="D32" s="126">
        <v>1680006</v>
      </c>
      <c r="E32" s="366">
        <f t="shared" si="7"/>
        <v>4.0975756097560972E-3</v>
      </c>
      <c r="F32" s="101">
        <v>1680006</v>
      </c>
      <c r="G32" s="118">
        <f>F32/$F$72</f>
        <v>4.3404868486586002E-3</v>
      </c>
      <c r="H32" s="73">
        <v>32843</v>
      </c>
      <c r="I32" s="14">
        <f t="shared" si="0"/>
        <v>1712849</v>
      </c>
      <c r="J32" s="45">
        <f t="shared" si="1"/>
        <v>1.9549334942851493E-2</v>
      </c>
      <c r="K32" s="15">
        <v>40407</v>
      </c>
      <c r="L32" s="100">
        <f t="shared" si="2"/>
        <v>1753256</v>
      </c>
      <c r="M32" s="97">
        <f t="shared" si="3"/>
        <v>2.3590520822325933E-2</v>
      </c>
      <c r="N32" s="96">
        <f>ROUND(($N$1*G32),0)</f>
        <v>9209</v>
      </c>
      <c r="O32" s="95">
        <f t="shared" si="9"/>
        <v>20453</v>
      </c>
      <c r="P32" s="49">
        <f t="shared" si="4"/>
        <v>1.1665723659294478E-2</v>
      </c>
      <c r="Q32" s="380">
        <v>74091.5</v>
      </c>
      <c r="R32" s="144">
        <f t="shared" si="10"/>
        <v>4.6763313941478053E-3</v>
      </c>
      <c r="S32" s="29">
        <f t="shared" si="11"/>
        <v>35202</v>
      </c>
      <c r="T32" s="49">
        <f t="shared" si="5"/>
        <v>2.0078071884539393E-2</v>
      </c>
      <c r="U32" s="14">
        <f t="shared" si="6"/>
        <v>64864</v>
      </c>
      <c r="V32" s="100">
        <f t="shared" si="12"/>
        <v>1818120</v>
      </c>
      <c r="W32" s="55">
        <f t="shared" si="13"/>
        <v>8.2210420677069074E-2</v>
      </c>
      <c r="X32" s="146"/>
      <c r="Y32" s="136">
        <v>2083392</v>
      </c>
      <c r="Z32" s="14">
        <f t="shared" si="14"/>
        <v>265272</v>
      </c>
      <c r="AA32" s="14">
        <v>1818120</v>
      </c>
    </row>
    <row r="33" spans="1:27" s="90" customFormat="1" x14ac:dyDescent="0.25">
      <c r="A33" s="71" t="s">
        <v>30</v>
      </c>
      <c r="B33" s="72">
        <v>4</v>
      </c>
      <c r="C33" s="102" t="s">
        <v>84</v>
      </c>
      <c r="D33" s="126">
        <v>1823314</v>
      </c>
      <c r="E33" s="366">
        <f t="shared" si="7"/>
        <v>4.4471073170731712E-3</v>
      </c>
      <c r="F33" s="101"/>
      <c r="G33" s="118">
        <f>F33/$D$72</f>
        <v>0</v>
      </c>
      <c r="H33" s="73">
        <v>33534</v>
      </c>
      <c r="I33" s="14">
        <f t="shared" si="0"/>
        <v>1856848</v>
      </c>
      <c r="J33" s="45">
        <f t="shared" si="1"/>
        <v>1.839178550704923E-2</v>
      </c>
      <c r="K33" s="15">
        <v>58115</v>
      </c>
      <c r="L33" s="100">
        <f t="shared" si="2"/>
        <v>1914963</v>
      </c>
      <c r="M33" s="97">
        <f t="shared" si="3"/>
        <v>3.1297661413319799E-2</v>
      </c>
      <c r="N33" s="96"/>
      <c r="O33" s="95">
        <f t="shared" si="9"/>
        <v>22339</v>
      </c>
      <c r="P33" s="49">
        <f t="shared" si="4"/>
        <v>1.1665499542288807E-2</v>
      </c>
      <c r="Q33" s="380">
        <v>55900</v>
      </c>
      <c r="R33" s="144">
        <f t="shared" si="10"/>
        <v>3.5281634861335284E-3</v>
      </c>
      <c r="S33" s="29">
        <f t="shared" si="11"/>
        <v>26559</v>
      </c>
      <c r="T33" s="49">
        <f t="shared" si="5"/>
        <v>1.3869197472744904E-2</v>
      </c>
      <c r="U33" s="14">
        <f t="shared" si="6"/>
        <v>48898</v>
      </c>
      <c r="V33" s="100">
        <f t="shared" si="12"/>
        <v>1963861</v>
      </c>
      <c r="W33" s="55">
        <f t="shared" si="13"/>
        <v>7.7083267062063809E-2</v>
      </c>
      <c r="X33" s="146">
        <v>46195</v>
      </c>
      <c r="Y33" s="136">
        <v>2203952</v>
      </c>
      <c r="Z33" s="14">
        <f t="shared" si="14"/>
        <v>240091</v>
      </c>
      <c r="AA33" s="14">
        <v>1963861</v>
      </c>
    </row>
    <row r="34" spans="1:27" s="90" customFormat="1" x14ac:dyDescent="0.25">
      <c r="A34" s="71" t="s">
        <v>31</v>
      </c>
      <c r="B34" s="72">
        <v>4</v>
      </c>
      <c r="C34" s="102"/>
      <c r="D34" s="126">
        <v>2754925</v>
      </c>
      <c r="E34" s="366">
        <f t="shared" si="7"/>
        <v>6.7193292682926828E-3</v>
      </c>
      <c r="F34" s="101">
        <v>2754925</v>
      </c>
      <c r="G34" s="118">
        <f>F34/$F$72</f>
        <v>7.1176625152176796E-3</v>
      </c>
      <c r="H34" s="73">
        <v>51549</v>
      </c>
      <c r="I34" s="14">
        <f t="shared" si="0"/>
        <v>2806474</v>
      </c>
      <c r="J34" s="45">
        <f t="shared" si="1"/>
        <v>1.8711580170059028E-2</v>
      </c>
      <c r="K34" s="15">
        <v>71968</v>
      </c>
      <c r="L34" s="100">
        <f t="shared" si="2"/>
        <v>2878442</v>
      </c>
      <c r="M34" s="97">
        <f t="shared" si="3"/>
        <v>2.5643565555925285E-2</v>
      </c>
      <c r="N34" s="96">
        <f>ROUND(($N$1*G34),0)</f>
        <v>15101</v>
      </c>
      <c r="O34" s="95">
        <f t="shared" si="9"/>
        <v>33579</v>
      </c>
      <c r="P34" s="49">
        <f t="shared" si="4"/>
        <v>1.1665685811977451E-2</v>
      </c>
      <c r="Q34" s="380">
        <v>87051.5</v>
      </c>
      <c r="R34" s="144">
        <f t="shared" si="10"/>
        <v>5.4943099054231281E-3</v>
      </c>
      <c r="S34" s="29">
        <f t="shared" si="11"/>
        <v>41359</v>
      </c>
      <c r="T34" s="49">
        <f t="shared" si="5"/>
        <v>1.4368536868208565E-2</v>
      </c>
      <c r="U34" s="14">
        <f t="shared" si="6"/>
        <v>90039</v>
      </c>
      <c r="V34" s="100">
        <f t="shared" si="12"/>
        <v>2968481</v>
      </c>
      <c r="W34" s="55">
        <f t="shared" si="13"/>
        <v>7.7517899761336606E-2</v>
      </c>
      <c r="X34" s="146"/>
      <c r="Y34" s="136">
        <v>3211428</v>
      </c>
      <c r="Z34" s="14">
        <f t="shared" si="14"/>
        <v>242947</v>
      </c>
      <c r="AA34" s="14">
        <v>2968481</v>
      </c>
    </row>
    <row r="35" spans="1:27" s="90" customFormat="1" x14ac:dyDescent="0.25">
      <c r="A35" s="71" t="s">
        <v>32</v>
      </c>
      <c r="B35" s="72">
        <v>4</v>
      </c>
      <c r="C35" s="102"/>
      <c r="D35" s="126">
        <v>1439667</v>
      </c>
      <c r="E35" s="366">
        <f t="shared" si="7"/>
        <v>3.5113829268292682E-3</v>
      </c>
      <c r="F35" s="101">
        <v>1439667</v>
      </c>
      <c r="G35" s="118">
        <f>F35/$F$72</f>
        <v>3.7195436682653398E-3</v>
      </c>
      <c r="H35" s="73">
        <v>25899</v>
      </c>
      <c r="I35" s="14">
        <f t="shared" si="0"/>
        <v>1465566</v>
      </c>
      <c r="J35" s="45">
        <f t="shared" si="1"/>
        <v>1.7989576756291648E-2</v>
      </c>
      <c r="K35" s="15">
        <v>44173</v>
      </c>
      <c r="L35" s="100">
        <f t="shared" si="2"/>
        <v>1509739</v>
      </c>
      <c r="M35" s="97">
        <f t="shared" si="3"/>
        <v>3.0140573675972337E-2</v>
      </c>
      <c r="N35" s="96">
        <f>ROUND(($N$1*G35),0)</f>
        <v>7892</v>
      </c>
      <c r="O35" s="95">
        <f t="shared" si="9"/>
        <v>17612</v>
      </c>
      <c r="P35" s="49">
        <f t="shared" si="4"/>
        <v>1.166559252956968E-2</v>
      </c>
      <c r="Q35" s="380">
        <v>58933</v>
      </c>
      <c r="R35" s="144">
        <f t="shared" si="10"/>
        <v>3.7195931793972672E-3</v>
      </c>
      <c r="S35" s="29">
        <f t="shared" si="11"/>
        <v>28000</v>
      </c>
      <c r="T35" s="49">
        <f t="shared" si="5"/>
        <v>1.854625203429202E-2</v>
      </c>
      <c r="U35" s="14">
        <f t="shared" si="6"/>
        <v>53504</v>
      </c>
      <c r="V35" s="100">
        <f t="shared" si="12"/>
        <v>1563243</v>
      </c>
      <c r="W35" s="55">
        <f t="shared" si="13"/>
        <v>8.5836516361075255E-2</v>
      </c>
      <c r="X35" s="146"/>
      <c r="Y35" s="136">
        <v>1654554</v>
      </c>
      <c r="Z35" s="14">
        <f t="shared" si="14"/>
        <v>91311</v>
      </c>
      <c r="AA35" s="14">
        <v>1563243</v>
      </c>
    </row>
    <row r="36" spans="1:27" s="90" customFormat="1" x14ac:dyDescent="0.25">
      <c r="A36" s="71" t="s">
        <v>33</v>
      </c>
      <c r="B36" s="72">
        <v>4</v>
      </c>
      <c r="C36" s="102" t="s">
        <v>84</v>
      </c>
      <c r="D36" s="126">
        <v>1995899</v>
      </c>
      <c r="E36" s="366">
        <f t="shared" ref="E36:E67" si="15">D36/$D$72</f>
        <v>4.8680463414634148E-3</v>
      </c>
      <c r="F36" s="101"/>
      <c r="G36" s="118">
        <f>F36/$D$72</f>
        <v>0</v>
      </c>
      <c r="H36" s="73">
        <v>38616</v>
      </c>
      <c r="I36" s="14">
        <f t="shared" ref="I36:I67" si="16">SUM(D36,H36)</f>
        <v>2034515</v>
      </c>
      <c r="J36" s="45">
        <f t="shared" ref="J36:J67" si="17">(I36/D36)-1</f>
        <v>1.9347672402260763E-2</v>
      </c>
      <c r="K36" s="15">
        <v>61369</v>
      </c>
      <c r="L36" s="100">
        <f t="shared" ref="L36:L67" si="18">I36+K36</f>
        <v>2095884</v>
      </c>
      <c r="M36" s="97">
        <f t="shared" ref="M36:M67" si="19">L36/I36-1</f>
        <v>3.0163945706962014E-2</v>
      </c>
      <c r="N36" s="96"/>
      <c r="O36" s="95">
        <f t="shared" ref="O36:O70" si="20">ROUND((L36*$P$1),0)</f>
        <v>24450</v>
      </c>
      <c r="P36" s="49">
        <f t="shared" ref="P36:P67" si="21">O36/L36</f>
        <v>1.1665721957894616E-2</v>
      </c>
      <c r="Q36" s="380">
        <v>57497</v>
      </c>
      <c r="R36" s="144">
        <f t="shared" ref="R36:R67" si="22">Q36/$Q$72</f>
        <v>3.6289591406479336E-3</v>
      </c>
      <c r="S36" s="29">
        <f t="shared" ref="S36:S67" si="23">ROUND((R36*$S$1),0)</f>
        <v>27317</v>
      </c>
      <c r="T36" s="49">
        <f t="shared" ref="T36:T67" si="24">S36/L36</f>
        <v>1.3033641174797841E-2</v>
      </c>
      <c r="U36" s="14">
        <f t="shared" ref="U36:U70" si="25">O36+S36+N36</f>
        <v>51767</v>
      </c>
      <c r="V36" s="100">
        <f t="shared" ref="V36:V70" si="26">L36+O36+S36+N36</f>
        <v>2147651</v>
      </c>
      <c r="W36" s="55">
        <f t="shared" ref="W36:W67" si="27">V36/D36-1</f>
        <v>7.6031903417958624E-2</v>
      </c>
      <c r="X36" s="146">
        <v>51665</v>
      </c>
      <c r="Y36" s="136">
        <v>2147549</v>
      </c>
      <c r="Z36" s="14">
        <f t="shared" si="14"/>
        <v>-102</v>
      </c>
      <c r="AA36" s="14">
        <v>2147549</v>
      </c>
    </row>
    <row r="37" spans="1:27" s="90" customFormat="1" x14ac:dyDescent="0.25">
      <c r="A37" s="71" t="s">
        <v>34</v>
      </c>
      <c r="B37" s="72">
        <v>4</v>
      </c>
      <c r="C37" s="102"/>
      <c r="D37" s="126">
        <v>1725333</v>
      </c>
      <c r="E37" s="366">
        <f t="shared" si="15"/>
        <v>4.2081292682926829E-3</v>
      </c>
      <c r="F37" s="101">
        <v>1725333</v>
      </c>
      <c r="G37" s="118">
        <f t="shared" ref="G37:G70" si="28">F37/$F$72</f>
        <v>4.4575943157683295E-3</v>
      </c>
      <c r="H37" s="73">
        <v>37249</v>
      </c>
      <c r="I37" s="14">
        <f t="shared" si="16"/>
        <v>1762582</v>
      </c>
      <c r="J37" s="45">
        <f t="shared" si="17"/>
        <v>2.1589455484825271E-2</v>
      </c>
      <c r="K37" s="15">
        <v>72040</v>
      </c>
      <c r="L37" s="100">
        <f t="shared" si="18"/>
        <v>1834622</v>
      </c>
      <c r="M37" s="97">
        <f t="shared" si="19"/>
        <v>4.0871857309333626E-2</v>
      </c>
      <c r="N37" s="96">
        <f>ROUND(($N$1*G37),0)</f>
        <v>9458</v>
      </c>
      <c r="O37" s="95">
        <f t="shared" si="20"/>
        <v>21402</v>
      </c>
      <c r="P37" s="49">
        <f t="shared" si="21"/>
        <v>1.166561831265514E-2</v>
      </c>
      <c r="Q37" s="380">
        <v>66515.5</v>
      </c>
      <c r="R37" s="144">
        <f t="shared" si="22"/>
        <v>4.1981674125566139E-3</v>
      </c>
      <c r="S37" s="29">
        <f t="shared" si="23"/>
        <v>31602</v>
      </c>
      <c r="T37" s="49">
        <f t="shared" si="24"/>
        <v>1.7225346692670208E-2</v>
      </c>
      <c r="U37" s="14">
        <f t="shared" si="25"/>
        <v>62462</v>
      </c>
      <c r="V37" s="100">
        <f t="shared" si="26"/>
        <v>1897084</v>
      </c>
      <c r="W37" s="55">
        <f t="shared" si="27"/>
        <v>9.9546580283342401E-2</v>
      </c>
      <c r="X37" s="146"/>
      <c r="Y37" s="136">
        <v>2011556</v>
      </c>
      <c r="Z37" s="14">
        <f t="shared" si="14"/>
        <v>114472</v>
      </c>
      <c r="AA37" s="14">
        <v>1897084</v>
      </c>
    </row>
    <row r="38" spans="1:27" s="90" customFormat="1" x14ac:dyDescent="0.25">
      <c r="A38" s="71" t="s">
        <v>35</v>
      </c>
      <c r="B38" s="72">
        <v>4</v>
      </c>
      <c r="C38" s="102"/>
      <c r="D38" s="126">
        <v>1497855</v>
      </c>
      <c r="E38" s="366">
        <f t="shared" si="15"/>
        <v>3.6533048780487804E-3</v>
      </c>
      <c r="F38" s="101">
        <v>1497855</v>
      </c>
      <c r="G38" s="118">
        <f t="shared" si="28"/>
        <v>3.869878993704503E-3</v>
      </c>
      <c r="H38" s="73">
        <v>29683</v>
      </c>
      <c r="I38" s="14">
        <f t="shared" si="16"/>
        <v>1527538</v>
      </c>
      <c r="J38" s="45">
        <f t="shared" si="17"/>
        <v>1.9817004983793574E-2</v>
      </c>
      <c r="K38" s="15">
        <v>70785</v>
      </c>
      <c r="L38" s="100">
        <f t="shared" si="18"/>
        <v>1598323</v>
      </c>
      <c r="M38" s="97">
        <f t="shared" si="19"/>
        <v>4.6339272738223247E-2</v>
      </c>
      <c r="N38" s="96">
        <f t="shared" ref="N38:N70" si="29">ROUND(($N$1*G38),0)</f>
        <v>8211</v>
      </c>
      <c r="O38" s="95">
        <f t="shared" si="20"/>
        <v>18645</v>
      </c>
      <c r="P38" s="49">
        <f t="shared" si="21"/>
        <v>1.1665351746799614E-2</v>
      </c>
      <c r="Q38" s="380">
        <v>51784</v>
      </c>
      <c r="R38" s="144">
        <f t="shared" si="22"/>
        <v>3.2683795700525695E-3</v>
      </c>
      <c r="S38" s="29">
        <f t="shared" si="23"/>
        <v>24603</v>
      </c>
      <c r="T38" s="49">
        <f t="shared" si="24"/>
        <v>1.5393008797345719E-2</v>
      </c>
      <c r="U38" s="14">
        <f t="shared" si="25"/>
        <v>51459</v>
      </c>
      <c r="V38" s="100">
        <f t="shared" si="26"/>
        <v>1649782</v>
      </c>
      <c r="W38" s="55">
        <f t="shared" si="27"/>
        <v>0.10142971115361643</v>
      </c>
      <c r="X38" s="146"/>
      <c r="Y38" s="136">
        <v>1868322</v>
      </c>
      <c r="Z38" s="14">
        <f t="shared" si="14"/>
        <v>218540</v>
      </c>
      <c r="AA38" s="14">
        <v>1649782</v>
      </c>
    </row>
    <row r="39" spans="1:27" s="90" customFormat="1" x14ac:dyDescent="0.25">
      <c r="A39" s="71" t="s">
        <v>36</v>
      </c>
      <c r="B39" s="72">
        <v>5</v>
      </c>
      <c r="C39" s="102"/>
      <c r="D39" s="126">
        <v>5388520</v>
      </c>
      <c r="E39" s="366">
        <f t="shared" si="15"/>
        <v>1.3142731707317072E-2</v>
      </c>
      <c r="F39" s="101">
        <v>5388520</v>
      </c>
      <c r="G39" s="118">
        <f t="shared" si="28"/>
        <v>1.3921855156311251E-2</v>
      </c>
      <c r="H39" s="73">
        <v>103800</v>
      </c>
      <c r="I39" s="14">
        <f t="shared" si="16"/>
        <v>5492320</v>
      </c>
      <c r="J39" s="45">
        <f t="shared" si="17"/>
        <v>1.9263174303890462E-2</v>
      </c>
      <c r="K39" s="15">
        <v>140587</v>
      </c>
      <c r="L39" s="100">
        <f t="shared" si="18"/>
        <v>5632907</v>
      </c>
      <c r="M39" s="97">
        <f t="shared" si="19"/>
        <v>2.5597015468872941E-2</v>
      </c>
      <c r="N39" s="96">
        <f t="shared" si="29"/>
        <v>29538</v>
      </c>
      <c r="O39" s="95">
        <f t="shared" si="20"/>
        <v>65711</v>
      </c>
      <c r="P39" s="49">
        <f t="shared" si="21"/>
        <v>1.1665557411120049E-2</v>
      </c>
      <c r="Q39" s="380">
        <v>177145</v>
      </c>
      <c r="R39" s="144">
        <f t="shared" si="22"/>
        <v>1.1180617544742826E-2</v>
      </c>
      <c r="S39" s="29">
        <f t="shared" si="23"/>
        <v>84163</v>
      </c>
      <c r="T39" s="49">
        <f t="shared" si="24"/>
        <v>1.4941308280076344E-2</v>
      </c>
      <c r="U39" s="14">
        <f t="shared" si="25"/>
        <v>179412</v>
      </c>
      <c r="V39" s="100">
        <f t="shared" si="26"/>
        <v>5812319</v>
      </c>
      <c r="W39" s="55">
        <f t="shared" si="27"/>
        <v>7.8648497175476839E-2</v>
      </c>
      <c r="X39" s="14"/>
      <c r="Y39" s="136">
        <v>6562280</v>
      </c>
      <c r="Z39" s="14">
        <f t="shared" si="14"/>
        <v>749961</v>
      </c>
      <c r="AA39" s="14">
        <v>5812319</v>
      </c>
    </row>
    <row r="40" spans="1:27" s="90" customFormat="1" x14ac:dyDescent="0.25">
      <c r="A40" s="71" t="s">
        <v>37</v>
      </c>
      <c r="B40" s="72">
        <v>5</v>
      </c>
      <c r="C40" s="102"/>
      <c r="D40" s="126">
        <v>3263255</v>
      </c>
      <c r="E40" s="366">
        <f t="shared" si="15"/>
        <v>7.9591585365853656E-3</v>
      </c>
      <c r="F40" s="101">
        <v>3263255</v>
      </c>
      <c r="G40" s="118">
        <f t="shared" si="28"/>
        <v>8.4309909674842934E-3</v>
      </c>
      <c r="H40" s="73">
        <v>81329</v>
      </c>
      <c r="I40" s="14">
        <f t="shared" si="16"/>
        <v>3344584</v>
      </c>
      <c r="J40" s="45">
        <f t="shared" si="17"/>
        <v>2.4922661575635274E-2</v>
      </c>
      <c r="K40" s="15">
        <v>77666</v>
      </c>
      <c r="L40" s="100">
        <f t="shared" si="18"/>
        <v>3422250</v>
      </c>
      <c r="M40" s="97">
        <f t="shared" si="19"/>
        <v>2.3221423052911749E-2</v>
      </c>
      <c r="N40" s="96">
        <f t="shared" si="29"/>
        <v>17888</v>
      </c>
      <c r="O40" s="95">
        <f t="shared" si="20"/>
        <v>39923</v>
      </c>
      <c r="P40" s="49">
        <f t="shared" si="21"/>
        <v>1.1665716999050332E-2</v>
      </c>
      <c r="Q40" s="380">
        <v>120696.5</v>
      </c>
      <c r="R40" s="144">
        <f t="shared" si="22"/>
        <v>7.6178351378195959E-3</v>
      </c>
      <c r="S40" s="29">
        <f t="shared" si="23"/>
        <v>57344</v>
      </c>
      <c r="T40" s="49">
        <f t="shared" si="24"/>
        <v>1.6756227628022501E-2</v>
      </c>
      <c r="U40" s="14">
        <f t="shared" si="25"/>
        <v>115155</v>
      </c>
      <c r="V40" s="100">
        <f t="shared" si="26"/>
        <v>3537405</v>
      </c>
      <c r="W40" s="55">
        <f t="shared" si="27"/>
        <v>8.401120966642206E-2</v>
      </c>
      <c r="X40" s="14"/>
      <c r="Y40" s="136">
        <v>3745747</v>
      </c>
      <c r="Z40" s="14">
        <f t="shared" si="14"/>
        <v>208342</v>
      </c>
      <c r="AA40" s="14">
        <v>3537405</v>
      </c>
    </row>
    <row r="41" spans="1:27" s="90" customFormat="1" x14ac:dyDescent="0.25">
      <c r="A41" s="71" t="s">
        <v>38</v>
      </c>
      <c r="B41" s="72">
        <v>5</v>
      </c>
      <c r="C41" s="102"/>
      <c r="D41" s="126">
        <v>3368613</v>
      </c>
      <c r="E41" s="366">
        <f t="shared" si="15"/>
        <v>8.2161292682926823E-3</v>
      </c>
      <c r="F41" s="101">
        <v>3368613</v>
      </c>
      <c r="G41" s="118">
        <f t="shared" si="28"/>
        <v>8.7031953604453753E-3</v>
      </c>
      <c r="H41" s="73">
        <v>67868</v>
      </c>
      <c r="I41" s="14">
        <f t="shared" si="16"/>
        <v>3436481</v>
      </c>
      <c r="J41" s="45">
        <f t="shared" si="17"/>
        <v>2.0147164426427056E-2</v>
      </c>
      <c r="K41" s="15">
        <v>91127</v>
      </c>
      <c r="L41" s="100">
        <f t="shared" si="18"/>
        <v>3527608</v>
      </c>
      <c r="M41" s="97">
        <f t="shared" si="19"/>
        <v>2.6517533488472633E-2</v>
      </c>
      <c r="N41" s="96">
        <f t="shared" si="29"/>
        <v>18465</v>
      </c>
      <c r="O41" s="95">
        <f t="shared" si="20"/>
        <v>41152</v>
      </c>
      <c r="P41" s="49">
        <f t="shared" si="21"/>
        <v>1.1665695281335115E-2</v>
      </c>
      <c r="Q41" s="380">
        <v>144940</v>
      </c>
      <c r="R41" s="144">
        <f t="shared" si="22"/>
        <v>9.14797881359917E-3</v>
      </c>
      <c r="S41" s="29">
        <f t="shared" si="23"/>
        <v>68862</v>
      </c>
      <c r="T41" s="49">
        <f t="shared" si="24"/>
        <v>1.9520876469267562E-2</v>
      </c>
      <c r="U41" s="14">
        <f t="shared" si="25"/>
        <v>128479</v>
      </c>
      <c r="V41" s="100">
        <f t="shared" si="26"/>
        <v>3656087</v>
      </c>
      <c r="W41" s="55">
        <f t="shared" si="27"/>
        <v>8.5338980761518135E-2</v>
      </c>
      <c r="X41" s="14"/>
      <c r="Y41" s="136">
        <v>3935839</v>
      </c>
      <c r="Z41" s="14">
        <f t="shared" si="14"/>
        <v>279752</v>
      </c>
      <c r="AA41" s="14">
        <v>3656087</v>
      </c>
    </row>
    <row r="42" spans="1:27" s="90" customFormat="1" x14ac:dyDescent="0.25">
      <c r="A42" s="71" t="s">
        <v>39</v>
      </c>
      <c r="B42" s="72">
        <v>5</v>
      </c>
      <c r="C42" s="102"/>
      <c r="D42" s="126">
        <v>3138208</v>
      </c>
      <c r="E42" s="366">
        <f t="shared" si="15"/>
        <v>7.6541658536585363E-3</v>
      </c>
      <c r="F42" s="101">
        <v>3138208</v>
      </c>
      <c r="G42" s="118">
        <f t="shared" si="28"/>
        <v>8.1079178005050018E-3</v>
      </c>
      <c r="H42" s="73">
        <v>78792</v>
      </c>
      <c r="I42" s="14">
        <f t="shared" si="16"/>
        <v>3217000</v>
      </c>
      <c r="J42" s="45">
        <f t="shared" si="17"/>
        <v>2.5107322395456322E-2</v>
      </c>
      <c r="K42" s="15">
        <v>83002</v>
      </c>
      <c r="L42" s="100">
        <f t="shared" si="18"/>
        <v>3300002</v>
      </c>
      <c r="M42" s="97">
        <f t="shared" si="19"/>
        <v>2.580105688529688E-2</v>
      </c>
      <c r="N42" s="96">
        <f t="shared" si="29"/>
        <v>17202</v>
      </c>
      <c r="O42" s="95">
        <f t="shared" si="20"/>
        <v>38497</v>
      </c>
      <c r="P42" s="49">
        <f t="shared" si="21"/>
        <v>1.1665750505605754E-2</v>
      </c>
      <c r="Q42" s="380">
        <v>129443</v>
      </c>
      <c r="R42" s="144">
        <f t="shared" si="22"/>
        <v>8.1698759594916338E-3</v>
      </c>
      <c r="S42" s="29">
        <f t="shared" si="23"/>
        <v>61500</v>
      </c>
      <c r="T42" s="49">
        <f t="shared" si="24"/>
        <v>1.8636352341604642E-2</v>
      </c>
      <c r="U42" s="14">
        <f t="shared" si="25"/>
        <v>117199</v>
      </c>
      <c r="V42" s="100">
        <f t="shared" si="26"/>
        <v>3417201</v>
      </c>
      <c r="W42" s="55">
        <f t="shared" si="27"/>
        <v>8.8902010319265035E-2</v>
      </c>
      <c r="X42" s="14"/>
      <c r="Y42" s="136">
        <v>3602456</v>
      </c>
      <c r="Z42" s="14">
        <f t="shared" si="14"/>
        <v>185255</v>
      </c>
      <c r="AA42" s="14">
        <v>3417201</v>
      </c>
    </row>
    <row r="43" spans="1:27" s="90" customFormat="1" x14ac:dyDescent="0.25">
      <c r="A43" s="71" t="s">
        <v>40</v>
      </c>
      <c r="B43" s="72">
        <v>5</v>
      </c>
      <c r="C43" s="102"/>
      <c r="D43" s="126">
        <v>3270896</v>
      </c>
      <c r="E43" s="366">
        <f t="shared" si="15"/>
        <v>7.9777951219512193E-3</v>
      </c>
      <c r="F43" s="101">
        <v>3270896</v>
      </c>
      <c r="G43" s="118">
        <f t="shared" si="28"/>
        <v>8.45073236127134E-3</v>
      </c>
      <c r="H43" s="73">
        <v>53819</v>
      </c>
      <c r="I43" s="14">
        <f t="shared" si="16"/>
        <v>3324715</v>
      </c>
      <c r="J43" s="45">
        <f t="shared" si="17"/>
        <v>1.6453901316336506E-2</v>
      </c>
      <c r="K43" s="15">
        <v>73322</v>
      </c>
      <c r="L43" s="100">
        <f t="shared" si="18"/>
        <v>3398037</v>
      </c>
      <c r="M43" s="97">
        <f t="shared" si="19"/>
        <v>2.205361963356256E-2</v>
      </c>
      <c r="N43" s="96">
        <f t="shared" si="29"/>
        <v>17930</v>
      </c>
      <c r="O43" s="95">
        <f t="shared" si="20"/>
        <v>39640</v>
      </c>
      <c r="P43" s="49">
        <f t="shared" si="21"/>
        <v>1.1665558674022679E-2</v>
      </c>
      <c r="Q43" s="380">
        <v>103754.5</v>
      </c>
      <c r="R43" s="144">
        <f t="shared" si="22"/>
        <v>6.5485302043298962E-3</v>
      </c>
      <c r="S43" s="29">
        <f t="shared" si="23"/>
        <v>49295</v>
      </c>
      <c r="T43" s="49">
        <f t="shared" si="24"/>
        <v>1.4506905016043086E-2</v>
      </c>
      <c r="U43" s="14">
        <f t="shared" si="25"/>
        <v>106865</v>
      </c>
      <c r="V43" s="100">
        <f t="shared" si="26"/>
        <v>3504902</v>
      </c>
      <c r="W43" s="55">
        <f t="shared" si="27"/>
        <v>7.154186498133841E-2</v>
      </c>
      <c r="X43" s="14"/>
      <c r="Y43" s="136">
        <v>3836036</v>
      </c>
      <c r="Z43" s="14">
        <f t="shared" si="14"/>
        <v>331134</v>
      </c>
      <c r="AA43" s="14">
        <v>3504902</v>
      </c>
    </row>
    <row r="44" spans="1:27" s="90" customFormat="1" x14ac:dyDescent="0.25">
      <c r="A44" s="71" t="s">
        <v>41</v>
      </c>
      <c r="B44" s="72">
        <v>5</v>
      </c>
      <c r="C44" s="102"/>
      <c r="D44" s="126">
        <v>3209897</v>
      </c>
      <c r="E44" s="366">
        <f t="shared" si="15"/>
        <v>7.8290170731707322E-3</v>
      </c>
      <c r="F44" s="101">
        <v>3209897</v>
      </c>
      <c r="G44" s="118">
        <f t="shared" si="28"/>
        <v>8.2931344971676844E-3</v>
      </c>
      <c r="H44" s="73">
        <v>68794</v>
      </c>
      <c r="I44" s="14">
        <f t="shared" si="16"/>
        <v>3278691</v>
      </c>
      <c r="J44" s="45">
        <f t="shared" si="17"/>
        <v>2.1431840336309849E-2</v>
      </c>
      <c r="K44" s="15">
        <v>127606</v>
      </c>
      <c r="L44" s="100">
        <f t="shared" si="18"/>
        <v>3406297</v>
      </c>
      <c r="M44" s="97">
        <f t="shared" si="19"/>
        <v>3.8919800615550448E-2</v>
      </c>
      <c r="N44" s="96">
        <f t="shared" si="29"/>
        <v>17595</v>
      </c>
      <c r="O44" s="95">
        <f t="shared" si="20"/>
        <v>39737</v>
      </c>
      <c r="P44" s="49">
        <f t="shared" si="21"/>
        <v>1.1665747290973159E-2</v>
      </c>
      <c r="Q44" s="380">
        <v>94511</v>
      </c>
      <c r="R44" s="144">
        <f t="shared" si="22"/>
        <v>5.9651209166004639E-3</v>
      </c>
      <c r="S44" s="29">
        <f t="shared" si="23"/>
        <v>44903</v>
      </c>
      <c r="T44" s="49">
        <f t="shared" si="24"/>
        <v>1.3182350217846535E-2</v>
      </c>
      <c r="U44" s="14">
        <f t="shared" si="25"/>
        <v>102235</v>
      </c>
      <c r="V44" s="100">
        <f t="shared" si="26"/>
        <v>3508532</v>
      </c>
      <c r="W44" s="55">
        <f t="shared" si="27"/>
        <v>9.3035695537894147E-2</v>
      </c>
      <c r="X44" s="14"/>
      <c r="Y44" s="136">
        <v>3763377</v>
      </c>
      <c r="Z44" s="14">
        <f t="shared" si="14"/>
        <v>254845</v>
      </c>
      <c r="AA44" s="14">
        <v>3508532</v>
      </c>
    </row>
    <row r="45" spans="1:27" s="90" customFormat="1" x14ac:dyDescent="0.25">
      <c r="A45" s="71" t="s">
        <v>42</v>
      </c>
      <c r="B45" s="72">
        <v>5</v>
      </c>
      <c r="C45" s="102"/>
      <c r="D45" s="126">
        <v>3358182</v>
      </c>
      <c r="E45" s="366">
        <f t="shared" si="15"/>
        <v>8.1906878048780482E-3</v>
      </c>
      <c r="F45" s="101">
        <v>3358182</v>
      </c>
      <c r="G45" s="118">
        <f t="shared" si="28"/>
        <v>8.6762456838856729E-3</v>
      </c>
      <c r="H45" s="73">
        <v>61734</v>
      </c>
      <c r="I45" s="14">
        <f t="shared" si="16"/>
        <v>3419916</v>
      </c>
      <c r="J45" s="45">
        <f t="shared" si="17"/>
        <v>1.8383160888838068E-2</v>
      </c>
      <c r="K45" s="15">
        <v>84433</v>
      </c>
      <c r="L45" s="100">
        <f t="shared" si="18"/>
        <v>3504349</v>
      </c>
      <c r="M45" s="97">
        <f t="shared" si="19"/>
        <v>2.4688618083017255E-2</v>
      </c>
      <c r="N45" s="96">
        <f t="shared" si="29"/>
        <v>18408</v>
      </c>
      <c r="O45" s="95">
        <f t="shared" si="20"/>
        <v>40880</v>
      </c>
      <c r="P45" s="49">
        <f t="shared" si="21"/>
        <v>1.1665504777064156E-2</v>
      </c>
      <c r="Q45" s="380">
        <v>159432</v>
      </c>
      <c r="R45" s="144">
        <f t="shared" si="22"/>
        <v>1.0062650463707348E-2</v>
      </c>
      <c r="S45" s="29">
        <f t="shared" si="23"/>
        <v>75748</v>
      </c>
      <c r="T45" s="49">
        <f t="shared" si="24"/>
        <v>2.1615427002276314E-2</v>
      </c>
      <c r="U45" s="14">
        <f t="shared" si="25"/>
        <v>135036</v>
      </c>
      <c r="V45" s="100">
        <f t="shared" si="26"/>
        <v>3639385</v>
      </c>
      <c r="W45" s="55">
        <f t="shared" si="27"/>
        <v>8.3736676570834945E-2</v>
      </c>
      <c r="X45" s="14"/>
      <c r="Y45" s="136">
        <v>3821909</v>
      </c>
      <c r="Z45" s="14">
        <f t="shared" si="14"/>
        <v>182524</v>
      </c>
      <c r="AA45" s="14">
        <v>3639385</v>
      </c>
    </row>
    <row r="46" spans="1:27" s="90" customFormat="1" x14ac:dyDescent="0.25">
      <c r="A46" s="71" t="s">
        <v>43</v>
      </c>
      <c r="B46" s="72">
        <v>5</v>
      </c>
      <c r="C46" s="102"/>
      <c r="D46" s="126">
        <v>3256170</v>
      </c>
      <c r="E46" s="366">
        <f t="shared" si="15"/>
        <v>7.9418780487804878E-3</v>
      </c>
      <c r="F46" s="101">
        <v>3256170</v>
      </c>
      <c r="G46" s="118">
        <f t="shared" si="28"/>
        <v>8.4126860630239844E-3</v>
      </c>
      <c r="H46" s="73">
        <v>128921</v>
      </c>
      <c r="I46" s="14">
        <f t="shared" si="16"/>
        <v>3385091</v>
      </c>
      <c r="J46" s="45">
        <f t="shared" si="17"/>
        <v>3.9592834526452902E-2</v>
      </c>
      <c r="K46" s="15">
        <v>78119</v>
      </c>
      <c r="L46" s="100">
        <f t="shared" si="18"/>
        <v>3463210</v>
      </c>
      <c r="M46" s="97">
        <f t="shared" si="19"/>
        <v>2.3077370741288794E-2</v>
      </c>
      <c r="N46" s="96">
        <f t="shared" si="29"/>
        <v>17849</v>
      </c>
      <c r="O46" s="95">
        <f t="shared" si="20"/>
        <v>40401</v>
      </c>
      <c r="P46" s="49">
        <f t="shared" si="21"/>
        <v>1.1665766730865295E-2</v>
      </c>
      <c r="Q46" s="380">
        <v>128052.5</v>
      </c>
      <c r="R46" s="144">
        <f t="shared" si="22"/>
        <v>8.0821136817193859E-3</v>
      </c>
      <c r="S46" s="29">
        <f t="shared" si="23"/>
        <v>60839</v>
      </c>
      <c r="T46" s="49">
        <f t="shared" si="24"/>
        <v>1.7567228091856978E-2</v>
      </c>
      <c r="U46" s="14">
        <f t="shared" si="25"/>
        <v>119089</v>
      </c>
      <c r="V46" s="100">
        <f t="shared" si="26"/>
        <v>3582299</v>
      </c>
      <c r="W46" s="55">
        <f t="shared" si="27"/>
        <v>0.10015723994754566</v>
      </c>
      <c r="X46" s="14"/>
      <c r="Y46" s="136">
        <v>3795664</v>
      </c>
      <c r="Z46" s="14">
        <f t="shared" si="14"/>
        <v>213365</v>
      </c>
      <c r="AA46" s="14">
        <v>3582299</v>
      </c>
    </row>
    <row r="47" spans="1:27" s="90" customFormat="1" x14ac:dyDescent="0.25">
      <c r="A47" s="71" t="s">
        <v>44</v>
      </c>
      <c r="B47" s="72">
        <v>5</v>
      </c>
      <c r="C47" s="102"/>
      <c r="D47" s="126">
        <v>2904913</v>
      </c>
      <c r="E47" s="366">
        <f t="shared" si="15"/>
        <v>7.0851536585365858E-3</v>
      </c>
      <c r="F47" s="101">
        <v>2904913</v>
      </c>
      <c r="G47" s="118">
        <f t="shared" si="28"/>
        <v>7.5051735964022743E-3</v>
      </c>
      <c r="H47" s="73">
        <v>73663</v>
      </c>
      <c r="I47" s="14">
        <f t="shared" si="16"/>
        <v>2978576</v>
      </c>
      <c r="J47" s="45">
        <f t="shared" si="17"/>
        <v>2.5358074407047626E-2</v>
      </c>
      <c r="K47" s="15">
        <v>96151</v>
      </c>
      <c r="L47" s="100">
        <f t="shared" si="18"/>
        <v>3074727</v>
      </c>
      <c r="M47" s="97">
        <f t="shared" si="19"/>
        <v>3.228086172721456E-2</v>
      </c>
      <c r="N47" s="96">
        <f t="shared" si="29"/>
        <v>15924</v>
      </c>
      <c r="O47" s="95">
        <f t="shared" si="20"/>
        <v>35869</v>
      </c>
      <c r="P47" s="49">
        <f t="shared" si="21"/>
        <v>1.1665751138231133E-2</v>
      </c>
      <c r="Q47" s="380">
        <v>108560</v>
      </c>
      <c r="R47" s="144">
        <f t="shared" si="22"/>
        <v>6.8518323444482264E-3</v>
      </c>
      <c r="S47" s="29">
        <f t="shared" si="23"/>
        <v>51578</v>
      </c>
      <c r="T47" s="49">
        <f t="shared" si="24"/>
        <v>1.6774822610267512E-2</v>
      </c>
      <c r="U47" s="14">
        <f t="shared" si="25"/>
        <v>103371</v>
      </c>
      <c r="V47" s="100">
        <f t="shared" si="26"/>
        <v>3178098</v>
      </c>
      <c r="W47" s="55">
        <f t="shared" si="27"/>
        <v>9.4042403335315106E-2</v>
      </c>
      <c r="X47" s="14"/>
      <c r="Y47" s="136">
        <v>3369252</v>
      </c>
      <c r="Z47" s="14">
        <f t="shared" si="14"/>
        <v>191154</v>
      </c>
      <c r="AA47" s="14">
        <v>3178098</v>
      </c>
    </row>
    <row r="48" spans="1:27" s="90" customFormat="1" x14ac:dyDescent="0.25">
      <c r="A48" s="71" t="s">
        <v>45</v>
      </c>
      <c r="B48" s="72">
        <v>6</v>
      </c>
      <c r="C48" s="102"/>
      <c r="D48" s="126">
        <v>3437112</v>
      </c>
      <c r="E48" s="366">
        <f t="shared" si="15"/>
        <v>8.3832000000000004E-3</v>
      </c>
      <c r="F48" s="101">
        <v>3437112</v>
      </c>
      <c r="G48" s="118">
        <f t="shared" si="28"/>
        <v>8.8801703287765977E-3</v>
      </c>
      <c r="H48" s="73">
        <v>181248</v>
      </c>
      <c r="I48" s="14">
        <f t="shared" si="16"/>
        <v>3618360</v>
      </c>
      <c r="J48" s="45">
        <f t="shared" si="17"/>
        <v>5.2732642986321077E-2</v>
      </c>
      <c r="K48" s="15">
        <v>81478</v>
      </c>
      <c r="L48" s="100">
        <f t="shared" si="18"/>
        <v>3699838</v>
      </c>
      <c r="M48" s="97">
        <f t="shared" si="19"/>
        <v>2.2517936302634434E-2</v>
      </c>
      <c r="N48" s="96">
        <f t="shared" si="29"/>
        <v>18841</v>
      </c>
      <c r="O48" s="95">
        <f t="shared" si="20"/>
        <v>43161</v>
      </c>
      <c r="P48" s="49">
        <f t="shared" si="21"/>
        <v>1.1665645901252974E-2</v>
      </c>
      <c r="Q48" s="380">
        <v>219287</v>
      </c>
      <c r="R48" s="144">
        <f t="shared" si="22"/>
        <v>1.3840436250156763E-2</v>
      </c>
      <c r="S48" s="29">
        <f t="shared" si="23"/>
        <v>104185</v>
      </c>
      <c r="T48" s="49">
        <f t="shared" si="24"/>
        <v>2.8159341030607285E-2</v>
      </c>
      <c r="U48" s="14">
        <f t="shared" si="25"/>
        <v>166187</v>
      </c>
      <c r="V48" s="100">
        <f t="shared" si="26"/>
        <v>3866025</v>
      </c>
      <c r="W48" s="55">
        <f t="shared" si="27"/>
        <v>0.12478877615858885</v>
      </c>
      <c r="X48" s="14"/>
      <c r="Y48" s="136">
        <v>3959762</v>
      </c>
      <c r="Z48" s="14">
        <f t="shared" si="14"/>
        <v>93737</v>
      </c>
      <c r="AA48" s="14">
        <v>3866025</v>
      </c>
    </row>
    <row r="49" spans="1:27" s="90" customFormat="1" x14ac:dyDescent="0.25">
      <c r="A49" s="71" t="s">
        <v>46</v>
      </c>
      <c r="B49" s="72">
        <v>6</v>
      </c>
      <c r="C49" s="102"/>
      <c r="D49" s="126">
        <v>10485055</v>
      </c>
      <c r="E49" s="366">
        <f t="shared" si="15"/>
        <v>2.5573304878048781E-2</v>
      </c>
      <c r="F49" s="101">
        <v>10485055</v>
      </c>
      <c r="G49" s="118">
        <f t="shared" si="28"/>
        <v>2.7089333808904312E-2</v>
      </c>
      <c r="H49" s="73">
        <v>206066</v>
      </c>
      <c r="I49" s="14">
        <f t="shared" si="16"/>
        <v>10691121</v>
      </c>
      <c r="J49" s="45">
        <f t="shared" si="17"/>
        <v>1.9653306539641369E-2</v>
      </c>
      <c r="K49" s="15">
        <v>250147</v>
      </c>
      <c r="L49" s="100">
        <f t="shared" si="18"/>
        <v>10941268</v>
      </c>
      <c r="M49" s="97">
        <f t="shared" si="19"/>
        <v>2.3397639966847184E-2</v>
      </c>
      <c r="N49" s="96">
        <f t="shared" si="29"/>
        <v>57475</v>
      </c>
      <c r="O49" s="95">
        <f t="shared" si="20"/>
        <v>127637</v>
      </c>
      <c r="P49" s="49">
        <f t="shared" si="21"/>
        <v>1.1665649721768994E-2</v>
      </c>
      <c r="Q49" s="380">
        <v>387079.5</v>
      </c>
      <c r="R49" s="144">
        <f t="shared" si="22"/>
        <v>2.4430764903950325E-2</v>
      </c>
      <c r="S49" s="29">
        <f t="shared" si="23"/>
        <v>183905</v>
      </c>
      <c r="T49" s="49">
        <f t="shared" si="24"/>
        <v>1.6808380893329731E-2</v>
      </c>
      <c r="U49" s="14">
        <f t="shared" si="25"/>
        <v>369017</v>
      </c>
      <c r="V49" s="100">
        <f t="shared" si="26"/>
        <v>11310285</v>
      </c>
      <c r="W49" s="55">
        <f t="shared" si="27"/>
        <v>7.8705357291878775E-2</v>
      </c>
      <c r="X49" s="14"/>
      <c r="Y49" s="136">
        <v>12031820</v>
      </c>
      <c r="Z49" s="14">
        <f t="shared" si="14"/>
        <v>721535</v>
      </c>
      <c r="AA49" s="14">
        <v>11310285</v>
      </c>
    </row>
    <row r="50" spans="1:27" s="90" customFormat="1" x14ac:dyDescent="0.25">
      <c r="A50" s="71" t="s">
        <v>47</v>
      </c>
      <c r="B50" s="72">
        <v>6</v>
      </c>
      <c r="C50" s="102"/>
      <c r="D50" s="126">
        <v>5958891</v>
      </c>
      <c r="E50" s="366">
        <f t="shared" si="15"/>
        <v>1.4533880487804879E-2</v>
      </c>
      <c r="F50" s="101">
        <v>5958891</v>
      </c>
      <c r="G50" s="118">
        <f t="shared" si="28"/>
        <v>1.5395473598362203E-2</v>
      </c>
      <c r="H50" s="73">
        <v>125969</v>
      </c>
      <c r="I50" s="14">
        <f t="shared" si="16"/>
        <v>6084860</v>
      </c>
      <c r="J50" s="45">
        <f t="shared" si="17"/>
        <v>2.1139671794634163E-2</v>
      </c>
      <c r="K50" s="15">
        <v>139900</v>
      </c>
      <c r="L50" s="100">
        <f t="shared" si="18"/>
        <v>6224760</v>
      </c>
      <c r="M50" s="97">
        <f t="shared" si="19"/>
        <v>2.2991490354749233E-2</v>
      </c>
      <c r="N50" s="96">
        <f t="shared" si="29"/>
        <v>32664</v>
      </c>
      <c r="O50" s="95">
        <f t="shared" si="20"/>
        <v>72616</v>
      </c>
      <c r="P50" s="49">
        <f t="shared" si="21"/>
        <v>1.1665670644330063E-2</v>
      </c>
      <c r="Q50" s="380">
        <v>207586</v>
      </c>
      <c r="R50" s="144">
        <f t="shared" si="22"/>
        <v>1.3101920311851784E-2</v>
      </c>
      <c r="S50" s="29">
        <f t="shared" si="23"/>
        <v>98626</v>
      </c>
      <c r="T50" s="49">
        <f t="shared" si="24"/>
        <v>1.5844144995148406E-2</v>
      </c>
      <c r="U50" s="14">
        <f t="shared" si="25"/>
        <v>203906</v>
      </c>
      <c r="V50" s="100">
        <f t="shared" si="26"/>
        <v>6428666</v>
      </c>
      <c r="W50" s="55">
        <f t="shared" si="27"/>
        <v>7.8835978036852827E-2</v>
      </c>
      <c r="X50" s="14"/>
      <c r="Y50" s="136">
        <v>7265883</v>
      </c>
      <c r="Z50" s="14">
        <f t="shared" si="14"/>
        <v>837217</v>
      </c>
      <c r="AA50" s="14">
        <v>6428666</v>
      </c>
    </row>
    <row r="51" spans="1:27" s="90" customFormat="1" x14ac:dyDescent="0.25">
      <c r="A51" s="71" t="s">
        <v>48</v>
      </c>
      <c r="B51" s="72">
        <v>6</v>
      </c>
      <c r="C51" s="102"/>
      <c r="D51" s="126">
        <v>6399841</v>
      </c>
      <c r="E51" s="366">
        <f t="shared" si="15"/>
        <v>1.5609368292682927E-2</v>
      </c>
      <c r="F51" s="101">
        <v>6399841</v>
      </c>
      <c r="G51" s="118">
        <f t="shared" si="28"/>
        <v>1.6534718146248347E-2</v>
      </c>
      <c r="H51" s="73">
        <v>164198</v>
      </c>
      <c r="I51" s="14">
        <f t="shared" si="16"/>
        <v>6564039</v>
      </c>
      <c r="J51" s="45">
        <f t="shared" si="17"/>
        <v>2.5656574905532858E-2</v>
      </c>
      <c r="K51" s="15">
        <v>189548</v>
      </c>
      <c r="L51" s="100">
        <f t="shared" si="18"/>
        <v>6753587</v>
      </c>
      <c r="M51" s="97">
        <f t="shared" si="19"/>
        <v>2.8876732755548806E-2</v>
      </c>
      <c r="N51" s="96">
        <f t="shared" si="29"/>
        <v>35081</v>
      </c>
      <c r="O51" s="95">
        <f t="shared" si="20"/>
        <v>78785</v>
      </c>
      <c r="P51" s="49">
        <f t="shared" si="21"/>
        <v>1.1665652637627975E-2</v>
      </c>
      <c r="Q51" s="380">
        <v>232430</v>
      </c>
      <c r="R51" s="144">
        <f t="shared" si="22"/>
        <v>1.4669964920966297E-2</v>
      </c>
      <c r="S51" s="29">
        <f t="shared" si="23"/>
        <v>110430</v>
      </c>
      <c r="T51" s="49">
        <f t="shared" si="24"/>
        <v>1.6351310792324138E-2</v>
      </c>
      <c r="U51" s="14">
        <f t="shared" si="25"/>
        <v>224296</v>
      </c>
      <c r="V51" s="100">
        <f t="shared" si="26"/>
        <v>6977883</v>
      </c>
      <c r="W51" s="55">
        <f t="shared" si="27"/>
        <v>9.0321306419956393E-2</v>
      </c>
      <c r="X51" s="14"/>
      <c r="Y51" s="136">
        <v>7431609</v>
      </c>
      <c r="Z51" s="14">
        <f t="shared" si="14"/>
        <v>453726</v>
      </c>
      <c r="AA51" s="14">
        <v>6977883</v>
      </c>
    </row>
    <row r="52" spans="1:27" s="90" customFormat="1" x14ac:dyDescent="0.25">
      <c r="A52" s="71" t="s">
        <v>49</v>
      </c>
      <c r="B52" s="72">
        <v>6</v>
      </c>
      <c r="C52" s="102"/>
      <c r="D52" s="126">
        <v>5662266</v>
      </c>
      <c r="E52" s="366">
        <f t="shared" si="15"/>
        <v>1.3810404878048781E-2</v>
      </c>
      <c r="F52" s="101">
        <v>5662266</v>
      </c>
      <c r="G52" s="118">
        <f t="shared" si="28"/>
        <v>1.4629109126161891E-2</v>
      </c>
      <c r="H52" s="73">
        <v>108720</v>
      </c>
      <c r="I52" s="14">
        <f t="shared" si="16"/>
        <v>5770986</v>
      </c>
      <c r="J52" s="45">
        <f t="shared" si="17"/>
        <v>1.9200793463252985E-2</v>
      </c>
      <c r="K52" s="15">
        <v>168555</v>
      </c>
      <c r="L52" s="100">
        <f t="shared" si="18"/>
        <v>5939541</v>
      </c>
      <c r="M52" s="97">
        <f t="shared" si="19"/>
        <v>2.9207313966798765E-2</v>
      </c>
      <c r="N52" s="96">
        <f t="shared" si="29"/>
        <v>31038</v>
      </c>
      <c r="O52" s="95">
        <f t="shared" si="20"/>
        <v>69288</v>
      </c>
      <c r="P52" s="49">
        <f t="shared" si="21"/>
        <v>1.1665547893347315E-2</v>
      </c>
      <c r="Q52" s="380">
        <v>204162</v>
      </c>
      <c r="R52" s="144">
        <f t="shared" si="22"/>
        <v>1.2885812408872871E-2</v>
      </c>
      <c r="S52" s="29">
        <f t="shared" si="23"/>
        <v>96999</v>
      </c>
      <c r="T52" s="49">
        <f t="shared" si="24"/>
        <v>1.6331059925337666E-2</v>
      </c>
      <c r="U52" s="14">
        <f t="shared" si="25"/>
        <v>197325</v>
      </c>
      <c r="V52" s="100">
        <f t="shared" si="26"/>
        <v>6136866</v>
      </c>
      <c r="W52" s="55">
        <f t="shared" si="27"/>
        <v>8.3818033275017356E-2</v>
      </c>
      <c r="X52" s="14"/>
      <c r="Y52" s="136">
        <v>6747773</v>
      </c>
      <c r="Z52" s="14">
        <f t="shared" si="14"/>
        <v>610907</v>
      </c>
      <c r="AA52" s="14">
        <v>6136866</v>
      </c>
    </row>
    <row r="53" spans="1:27" s="90" customFormat="1" x14ac:dyDescent="0.25">
      <c r="A53" s="71" t="s">
        <v>50</v>
      </c>
      <c r="B53" s="72">
        <v>6</v>
      </c>
      <c r="C53" s="102"/>
      <c r="D53" s="126">
        <v>5464578</v>
      </c>
      <c r="E53" s="366">
        <f t="shared" si="15"/>
        <v>1.3328239024390244E-2</v>
      </c>
      <c r="F53" s="101">
        <v>5464578</v>
      </c>
      <c r="G53" s="118">
        <f t="shared" si="28"/>
        <v>1.4118359662089965E-2</v>
      </c>
      <c r="H53" s="73">
        <v>138157</v>
      </c>
      <c r="I53" s="14">
        <f t="shared" si="16"/>
        <v>5602735</v>
      </c>
      <c r="J53" s="45">
        <f t="shared" si="17"/>
        <v>2.5282281632726278E-2</v>
      </c>
      <c r="K53" s="15">
        <v>124265</v>
      </c>
      <c r="L53" s="100">
        <f t="shared" si="18"/>
        <v>5727000</v>
      </c>
      <c r="M53" s="97">
        <f t="shared" si="19"/>
        <v>2.2179346337101391E-2</v>
      </c>
      <c r="N53" s="96">
        <f t="shared" si="29"/>
        <v>29955</v>
      </c>
      <c r="O53" s="95">
        <f t="shared" si="20"/>
        <v>66809</v>
      </c>
      <c r="P53" s="49">
        <f t="shared" si="21"/>
        <v>1.166561899773005E-2</v>
      </c>
      <c r="Q53" s="380">
        <v>172250</v>
      </c>
      <c r="R53" s="144">
        <f t="shared" si="22"/>
        <v>1.087166655610913E-2</v>
      </c>
      <c r="S53" s="29">
        <f t="shared" si="23"/>
        <v>81838</v>
      </c>
      <c r="T53" s="49">
        <f t="shared" si="24"/>
        <v>1.4289855072463768E-2</v>
      </c>
      <c r="U53" s="14">
        <f t="shared" si="25"/>
        <v>178602</v>
      </c>
      <c r="V53" s="100">
        <f t="shared" si="26"/>
        <v>5905602</v>
      </c>
      <c r="W53" s="55">
        <f t="shared" si="27"/>
        <v>8.0705957532310801E-2</v>
      </c>
      <c r="X53" s="14"/>
      <c r="Y53" s="136">
        <v>6947051</v>
      </c>
      <c r="Z53" s="14">
        <f t="shared" si="14"/>
        <v>1041449</v>
      </c>
      <c r="AA53" s="14">
        <v>5905602</v>
      </c>
    </row>
    <row r="54" spans="1:27" s="90" customFormat="1" x14ac:dyDescent="0.25">
      <c r="A54" s="71" t="s">
        <v>51</v>
      </c>
      <c r="B54" s="72">
        <v>6</v>
      </c>
      <c r="C54" s="102"/>
      <c r="D54" s="126">
        <v>5474546</v>
      </c>
      <c r="E54" s="366">
        <f t="shared" si="15"/>
        <v>1.3352551219512196E-2</v>
      </c>
      <c r="F54" s="101">
        <v>5474546</v>
      </c>
      <c r="G54" s="118">
        <f t="shared" si="28"/>
        <v>1.4144113125415352E-2</v>
      </c>
      <c r="H54" s="73">
        <v>108519</v>
      </c>
      <c r="I54" s="14">
        <f t="shared" si="16"/>
        <v>5583065</v>
      </c>
      <c r="J54" s="45">
        <f t="shared" si="17"/>
        <v>1.9822465643726472E-2</v>
      </c>
      <c r="K54" s="15">
        <v>152681</v>
      </c>
      <c r="L54" s="100">
        <f t="shared" si="18"/>
        <v>5735746</v>
      </c>
      <c r="M54" s="97">
        <f t="shared" si="19"/>
        <v>2.7347165042857391E-2</v>
      </c>
      <c r="N54" s="96">
        <f t="shared" si="29"/>
        <v>30009</v>
      </c>
      <c r="O54" s="95">
        <f t="shared" si="20"/>
        <v>66911</v>
      </c>
      <c r="P54" s="49">
        <f t="shared" si="21"/>
        <v>1.1665614202581494E-2</v>
      </c>
      <c r="Q54" s="380">
        <v>223721</v>
      </c>
      <c r="R54" s="144">
        <f t="shared" si="22"/>
        <v>1.4120290935264386E-2</v>
      </c>
      <c r="S54" s="29">
        <f t="shared" si="23"/>
        <v>106292</v>
      </c>
      <c r="T54" s="49">
        <f t="shared" si="24"/>
        <v>1.8531504010114812E-2</v>
      </c>
      <c r="U54" s="14">
        <f t="shared" si="25"/>
        <v>203212</v>
      </c>
      <c r="V54" s="100">
        <f t="shared" si="26"/>
        <v>5938958</v>
      </c>
      <c r="W54" s="55">
        <f t="shared" si="27"/>
        <v>8.4831143988926216E-2</v>
      </c>
      <c r="X54" s="14"/>
      <c r="Y54" s="136">
        <v>6290243</v>
      </c>
      <c r="Z54" s="14">
        <f t="shared" si="14"/>
        <v>351285</v>
      </c>
      <c r="AA54" s="14">
        <v>5938958</v>
      </c>
    </row>
    <row r="55" spans="1:27" s="90" customFormat="1" x14ac:dyDescent="0.25">
      <c r="A55" s="71" t="s">
        <v>52</v>
      </c>
      <c r="B55" s="72">
        <v>6</v>
      </c>
      <c r="C55" s="102"/>
      <c r="D55" s="126">
        <v>6068963</v>
      </c>
      <c r="E55" s="366">
        <f t="shared" si="15"/>
        <v>1.4802348780487804E-2</v>
      </c>
      <c r="F55" s="101">
        <v>6068963</v>
      </c>
      <c r="G55" s="118">
        <f t="shared" si="28"/>
        <v>1.5679857147233786E-2</v>
      </c>
      <c r="H55" s="73">
        <v>118778</v>
      </c>
      <c r="I55" s="14">
        <f t="shared" si="16"/>
        <v>6187741</v>
      </c>
      <c r="J55" s="45">
        <f t="shared" si="17"/>
        <v>1.9571383117676033E-2</v>
      </c>
      <c r="K55" s="15">
        <v>150428</v>
      </c>
      <c r="L55" s="100">
        <f t="shared" si="18"/>
        <v>6338169</v>
      </c>
      <c r="M55" s="97">
        <f t="shared" si="19"/>
        <v>2.4310649072092794E-2</v>
      </c>
      <c r="N55" s="96">
        <f t="shared" si="29"/>
        <v>33268</v>
      </c>
      <c r="O55" s="95">
        <f t="shared" si="20"/>
        <v>73939</v>
      </c>
      <c r="P55" s="49">
        <f t="shared" si="21"/>
        <v>1.1665671899881496E-2</v>
      </c>
      <c r="Q55" s="380">
        <v>237481</v>
      </c>
      <c r="R55" s="144">
        <f t="shared" si="22"/>
        <v>1.4988761947235715E-2</v>
      </c>
      <c r="S55" s="29">
        <f t="shared" si="23"/>
        <v>112830</v>
      </c>
      <c r="T55" s="49">
        <f t="shared" si="24"/>
        <v>1.7801671113534524E-2</v>
      </c>
      <c r="U55" s="14">
        <f t="shared" si="25"/>
        <v>220037</v>
      </c>
      <c r="V55" s="100">
        <f>L55+O55+S55+N55</f>
        <v>6558206</v>
      </c>
      <c r="W55" s="55">
        <f t="shared" si="27"/>
        <v>8.0613936845553402E-2</v>
      </c>
      <c r="X55" s="14"/>
      <c r="Y55" s="136">
        <v>7031670</v>
      </c>
      <c r="Z55" s="14">
        <f t="shared" si="14"/>
        <v>473464</v>
      </c>
      <c r="AA55" s="14">
        <v>6558206</v>
      </c>
    </row>
    <row r="56" spans="1:27" s="90" customFormat="1" x14ac:dyDescent="0.25">
      <c r="A56" s="71" t="s">
        <v>53</v>
      </c>
      <c r="B56" s="72">
        <v>6</v>
      </c>
      <c r="C56" s="102"/>
      <c r="D56" s="126">
        <v>6760921</v>
      </c>
      <c r="E56" s="366">
        <f t="shared" si="15"/>
        <v>1.6490051219512195E-2</v>
      </c>
      <c r="F56" s="101">
        <v>6760921</v>
      </c>
      <c r="G56" s="118">
        <f t="shared" si="28"/>
        <v>1.7467609452180378E-2</v>
      </c>
      <c r="H56" s="73">
        <v>198804</v>
      </c>
      <c r="I56" s="14">
        <f t="shared" si="16"/>
        <v>6959725</v>
      </c>
      <c r="J56" s="45">
        <f t="shared" si="17"/>
        <v>2.9404869543661283E-2</v>
      </c>
      <c r="K56" s="15">
        <v>534555</v>
      </c>
      <c r="L56" s="100">
        <f t="shared" si="18"/>
        <v>7494280</v>
      </c>
      <c r="M56" s="97">
        <f t="shared" si="19"/>
        <v>7.680691406628859E-2</v>
      </c>
      <c r="N56" s="96">
        <f t="shared" si="29"/>
        <v>37061</v>
      </c>
      <c r="O56" s="95">
        <f t="shared" si="20"/>
        <v>87425</v>
      </c>
      <c r="P56" s="49">
        <f t="shared" si="21"/>
        <v>1.1665563603174688E-2</v>
      </c>
      <c r="Q56" s="380">
        <v>273545.5</v>
      </c>
      <c r="R56" s="144">
        <f t="shared" si="22"/>
        <v>1.7264995436424672E-2</v>
      </c>
      <c r="S56" s="29">
        <f t="shared" si="23"/>
        <v>129964</v>
      </c>
      <c r="T56" s="49">
        <f t="shared" si="24"/>
        <v>1.7341759315104319E-2</v>
      </c>
      <c r="U56" s="14">
        <f t="shared" si="25"/>
        <v>254450</v>
      </c>
      <c r="V56" s="100">
        <f t="shared" si="26"/>
        <v>7748730</v>
      </c>
      <c r="W56" s="55">
        <f t="shared" si="27"/>
        <v>0.14610568589693629</v>
      </c>
      <c r="X56" s="14"/>
      <c r="Y56" s="136">
        <v>8516178</v>
      </c>
      <c r="Z56" s="14">
        <f t="shared" si="14"/>
        <v>767448</v>
      </c>
      <c r="AA56" s="14">
        <v>7748730</v>
      </c>
    </row>
    <row r="57" spans="1:27" s="90" customFormat="1" x14ac:dyDescent="0.25">
      <c r="A57" s="71" t="s">
        <v>54</v>
      </c>
      <c r="B57" s="72">
        <v>6</v>
      </c>
      <c r="C57" s="102"/>
      <c r="D57" s="126">
        <v>10766297</v>
      </c>
      <c r="E57" s="366">
        <f t="shared" si="15"/>
        <v>2.6259260975609756E-2</v>
      </c>
      <c r="F57" s="101">
        <v>10766297</v>
      </c>
      <c r="G57" s="118">
        <f t="shared" si="28"/>
        <v>2.7815954548526933E-2</v>
      </c>
      <c r="H57" s="73">
        <v>213103</v>
      </c>
      <c r="I57" s="14">
        <f t="shared" si="16"/>
        <v>10979400</v>
      </c>
      <c r="J57" s="45">
        <f t="shared" si="17"/>
        <v>1.979352789543154E-2</v>
      </c>
      <c r="K57" s="15">
        <v>279357</v>
      </c>
      <c r="L57" s="100">
        <f t="shared" si="18"/>
        <v>11258757</v>
      </c>
      <c r="M57" s="97">
        <f t="shared" si="19"/>
        <v>2.5443740095087097E-2</v>
      </c>
      <c r="N57" s="96">
        <f t="shared" si="29"/>
        <v>59017</v>
      </c>
      <c r="O57" s="95">
        <f t="shared" si="20"/>
        <v>131340</v>
      </c>
      <c r="P57" s="49">
        <f t="shared" si="21"/>
        <v>1.1665586174388523E-2</v>
      </c>
      <c r="Q57" s="380">
        <v>326077</v>
      </c>
      <c r="R57" s="144">
        <f t="shared" si="22"/>
        <v>2.0580553936815075E-2</v>
      </c>
      <c r="S57" s="29">
        <f t="shared" si="23"/>
        <v>154922</v>
      </c>
      <c r="T57" s="49">
        <f t="shared" si="24"/>
        <v>1.3760133556484077E-2</v>
      </c>
      <c r="U57" s="14">
        <f t="shared" si="25"/>
        <v>345279</v>
      </c>
      <c r="V57" s="100">
        <f t="shared" si="26"/>
        <v>11604036</v>
      </c>
      <c r="W57" s="55">
        <f t="shared" si="27"/>
        <v>7.7811247451189613E-2</v>
      </c>
      <c r="X57" s="14"/>
      <c r="Y57" s="136">
        <v>12431629</v>
      </c>
      <c r="Z57" s="14">
        <f t="shared" si="14"/>
        <v>827593</v>
      </c>
      <c r="AA57" s="14">
        <v>11604036</v>
      </c>
    </row>
    <row r="58" spans="1:27" s="90" customFormat="1" x14ac:dyDescent="0.25">
      <c r="A58" s="71" t="s">
        <v>55</v>
      </c>
      <c r="B58" s="72">
        <v>6</v>
      </c>
      <c r="C58" s="102"/>
      <c r="D58" s="126">
        <v>6162040</v>
      </c>
      <c r="E58" s="366">
        <f t="shared" si="15"/>
        <v>1.5029365853658537E-2</v>
      </c>
      <c r="F58" s="101">
        <v>6162040</v>
      </c>
      <c r="G58" s="118">
        <f t="shared" si="28"/>
        <v>1.5920332177925697E-2</v>
      </c>
      <c r="H58" s="73">
        <v>135895</v>
      </c>
      <c r="I58" s="14">
        <f t="shared" si="16"/>
        <v>6297935</v>
      </c>
      <c r="J58" s="45">
        <f t="shared" si="17"/>
        <v>2.20535731673277E-2</v>
      </c>
      <c r="K58" s="15">
        <v>174979</v>
      </c>
      <c r="L58" s="100">
        <f t="shared" si="18"/>
        <v>6472914</v>
      </c>
      <c r="M58" s="97">
        <f t="shared" si="19"/>
        <v>2.7783551275140095E-2</v>
      </c>
      <c r="N58" s="96">
        <f>ROUND(($N$1*G58),0)</f>
        <v>33778</v>
      </c>
      <c r="O58" s="95">
        <f t="shared" si="20"/>
        <v>75511</v>
      </c>
      <c r="P58" s="49">
        <f t="shared" si="21"/>
        <v>1.1665688745439844E-2</v>
      </c>
      <c r="Q58" s="380">
        <v>215125.5</v>
      </c>
      <c r="R58" s="144">
        <f t="shared" si="22"/>
        <v>1.3577780573098719E-2</v>
      </c>
      <c r="S58" s="29">
        <f t="shared" si="23"/>
        <v>102208</v>
      </c>
      <c r="T58" s="49">
        <f t="shared" si="24"/>
        <v>1.5790106279799175E-2</v>
      </c>
      <c r="U58" s="14">
        <f t="shared" si="25"/>
        <v>211497</v>
      </c>
      <c r="V58" s="100">
        <f t="shared" si="26"/>
        <v>6684411</v>
      </c>
      <c r="W58" s="55">
        <f t="shared" si="27"/>
        <v>8.4772413032047744E-2</v>
      </c>
      <c r="X58" s="14"/>
      <c r="Y58" s="136">
        <v>7194169</v>
      </c>
      <c r="Z58" s="14">
        <f t="shared" si="14"/>
        <v>509758</v>
      </c>
      <c r="AA58" s="14">
        <v>6684411</v>
      </c>
    </row>
    <row r="59" spans="1:27" s="90" customFormat="1" x14ac:dyDescent="0.25">
      <c r="A59" s="71" t="s">
        <v>56</v>
      </c>
      <c r="B59" s="72">
        <v>6</v>
      </c>
      <c r="C59" s="102"/>
      <c r="D59" s="126">
        <v>7549352</v>
      </c>
      <c r="E59" s="366">
        <f t="shared" si="15"/>
        <v>1.8413053658536585E-2</v>
      </c>
      <c r="F59" s="101">
        <v>7549352</v>
      </c>
      <c r="G59" s="118">
        <f t="shared" si="28"/>
        <v>1.9504610740613128E-2</v>
      </c>
      <c r="H59" s="73">
        <v>126627</v>
      </c>
      <c r="I59" s="14">
        <f t="shared" si="16"/>
        <v>7675979</v>
      </c>
      <c r="J59" s="45">
        <f t="shared" si="17"/>
        <v>1.6773227688946069E-2</v>
      </c>
      <c r="K59" s="15">
        <v>189155</v>
      </c>
      <c r="L59" s="100">
        <f t="shared" si="18"/>
        <v>7865134</v>
      </c>
      <c r="M59" s="97">
        <f t="shared" si="19"/>
        <v>2.4642459287603558E-2</v>
      </c>
      <c r="N59" s="96">
        <f t="shared" si="29"/>
        <v>41383</v>
      </c>
      <c r="O59" s="95">
        <f t="shared" si="20"/>
        <v>91752</v>
      </c>
      <c r="P59" s="49">
        <f t="shared" si="21"/>
        <v>1.1665662657495727E-2</v>
      </c>
      <c r="Q59" s="380">
        <v>261891.5</v>
      </c>
      <c r="R59" s="144">
        <f t="shared" si="22"/>
        <v>1.652944593253558E-2</v>
      </c>
      <c r="S59" s="29">
        <f t="shared" si="23"/>
        <v>124427</v>
      </c>
      <c r="T59" s="49">
        <f t="shared" si="24"/>
        <v>1.5820073758438191E-2</v>
      </c>
      <c r="U59" s="14">
        <f t="shared" si="25"/>
        <v>257562</v>
      </c>
      <c r="V59" s="100">
        <f t="shared" si="26"/>
        <v>8122696</v>
      </c>
      <c r="W59" s="55">
        <f t="shared" si="27"/>
        <v>7.5946120938591877E-2</v>
      </c>
      <c r="X59" s="14"/>
      <c r="Y59" s="136">
        <v>8638033</v>
      </c>
      <c r="Z59" s="14">
        <f t="shared" si="14"/>
        <v>515337</v>
      </c>
      <c r="AA59" s="14">
        <v>8122696</v>
      </c>
    </row>
    <row r="60" spans="1:27" s="90" customFormat="1" x14ac:dyDescent="0.25">
      <c r="A60" s="71" t="s">
        <v>57</v>
      </c>
      <c r="B60" s="72">
        <v>6</v>
      </c>
      <c r="C60" s="102"/>
      <c r="D60" s="126">
        <v>8135019</v>
      </c>
      <c r="E60" s="366">
        <f t="shared" si="15"/>
        <v>1.984150975609756E-2</v>
      </c>
      <c r="F60" s="101">
        <v>8135019</v>
      </c>
      <c r="G60" s="118">
        <f t="shared" si="28"/>
        <v>2.101774814083273E-2</v>
      </c>
      <c r="H60" s="73">
        <v>195102</v>
      </c>
      <c r="I60" s="14">
        <f t="shared" si="16"/>
        <v>8330121</v>
      </c>
      <c r="J60" s="45">
        <f t="shared" si="17"/>
        <v>2.3982980248724584E-2</v>
      </c>
      <c r="K60" s="15">
        <v>257734</v>
      </c>
      <c r="L60" s="100">
        <f t="shared" si="18"/>
        <v>8587855</v>
      </c>
      <c r="M60" s="97">
        <f t="shared" si="19"/>
        <v>3.0940006753803484E-2</v>
      </c>
      <c r="N60" s="96">
        <f t="shared" si="29"/>
        <v>44593</v>
      </c>
      <c r="O60" s="95">
        <f t="shared" si="20"/>
        <v>100183</v>
      </c>
      <c r="P60" s="49">
        <f t="shared" si="21"/>
        <v>1.1665660400647194E-2</v>
      </c>
      <c r="Q60" s="380">
        <v>270628.5</v>
      </c>
      <c r="R60" s="144">
        <f t="shared" si="22"/>
        <v>1.7080887155761854E-2</v>
      </c>
      <c r="S60" s="29">
        <f t="shared" si="23"/>
        <v>128578</v>
      </c>
      <c r="T60" s="49">
        <f t="shared" si="24"/>
        <v>1.497207393464375E-2</v>
      </c>
      <c r="U60" s="14">
        <f t="shared" si="25"/>
        <v>273354</v>
      </c>
      <c r="V60" s="100">
        <f t="shared" si="26"/>
        <v>8861209</v>
      </c>
      <c r="W60" s="55">
        <f t="shared" si="27"/>
        <v>8.9267154754033129E-2</v>
      </c>
      <c r="X60" s="14"/>
      <c r="Y60" s="136">
        <v>9428927</v>
      </c>
      <c r="Z60" s="14">
        <f t="shared" si="14"/>
        <v>567718</v>
      </c>
      <c r="AA60" s="14">
        <v>8861209</v>
      </c>
    </row>
    <row r="61" spans="1:27" s="90" customFormat="1" x14ac:dyDescent="0.25">
      <c r="A61" s="71" t="s">
        <v>58</v>
      </c>
      <c r="B61" s="72">
        <v>7</v>
      </c>
      <c r="C61" s="102"/>
      <c r="D61" s="126">
        <v>17962793</v>
      </c>
      <c r="E61" s="366">
        <f t="shared" si="15"/>
        <v>4.381169024390244E-2</v>
      </c>
      <c r="F61" s="101">
        <v>17962793</v>
      </c>
      <c r="G61" s="118">
        <f t="shared" si="28"/>
        <v>4.640892162389703E-2</v>
      </c>
      <c r="H61" s="73">
        <v>386091</v>
      </c>
      <c r="I61" s="14">
        <f t="shared" si="16"/>
        <v>18348884</v>
      </c>
      <c r="J61" s="45">
        <f t="shared" si="17"/>
        <v>2.1493929145651292E-2</v>
      </c>
      <c r="K61" s="15">
        <v>495744</v>
      </c>
      <c r="L61" s="100">
        <f t="shared" si="18"/>
        <v>18844628</v>
      </c>
      <c r="M61" s="97">
        <f t="shared" si="19"/>
        <v>2.7017664943546515E-2</v>
      </c>
      <c r="N61" s="96">
        <f t="shared" si="29"/>
        <v>98465</v>
      </c>
      <c r="O61" s="95">
        <f t="shared" si="20"/>
        <v>219834</v>
      </c>
      <c r="P61" s="49">
        <f t="shared" si="21"/>
        <v>1.1665605710019853E-2</v>
      </c>
      <c r="Q61" s="380">
        <v>881667</v>
      </c>
      <c r="R61" s="144">
        <f t="shared" si="22"/>
        <v>5.5646964513933625E-2</v>
      </c>
      <c r="S61" s="29">
        <f t="shared" si="23"/>
        <v>418889</v>
      </c>
      <c r="T61" s="49">
        <f t="shared" si="24"/>
        <v>2.2228562962346616E-2</v>
      </c>
      <c r="U61" s="14">
        <f t="shared" si="25"/>
        <v>737188</v>
      </c>
      <c r="V61" s="100">
        <f t="shared" si="26"/>
        <v>19581816</v>
      </c>
      <c r="W61" s="55">
        <f t="shared" si="27"/>
        <v>9.0132030135847918E-2</v>
      </c>
      <c r="X61" s="14"/>
      <c r="Y61" s="136">
        <v>20463187</v>
      </c>
      <c r="Z61" s="14">
        <f t="shared" si="14"/>
        <v>881371</v>
      </c>
      <c r="AA61" s="14">
        <v>19581816</v>
      </c>
    </row>
    <row r="62" spans="1:27" s="90" customFormat="1" x14ac:dyDescent="0.25">
      <c r="A62" s="71" t="s">
        <v>59</v>
      </c>
      <c r="B62" s="72">
        <v>7</v>
      </c>
      <c r="C62" s="102"/>
      <c r="D62" s="126">
        <v>10708892</v>
      </c>
      <c r="E62" s="366">
        <f t="shared" si="15"/>
        <v>2.6119248780487804E-2</v>
      </c>
      <c r="F62" s="101">
        <v>10708892</v>
      </c>
      <c r="G62" s="118">
        <f t="shared" si="28"/>
        <v>2.7667642192769126E-2</v>
      </c>
      <c r="H62" s="73">
        <v>310724</v>
      </c>
      <c r="I62" s="14">
        <f t="shared" si="16"/>
        <v>11019616</v>
      </c>
      <c r="J62" s="45">
        <f t="shared" si="17"/>
        <v>2.901551346301745E-2</v>
      </c>
      <c r="K62" s="15">
        <v>251266</v>
      </c>
      <c r="L62" s="100">
        <f t="shared" si="18"/>
        <v>11270882</v>
      </c>
      <c r="M62" s="97">
        <f t="shared" si="19"/>
        <v>2.2801701983081735E-2</v>
      </c>
      <c r="N62" s="96">
        <f t="shared" si="29"/>
        <v>58702</v>
      </c>
      <c r="O62" s="95">
        <f t="shared" si="20"/>
        <v>131482</v>
      </c>
      <c r="P62" s="49">
        <f t="shared" si="21"/>
        <v>1.1665635395703726E-2</v>
      </c>
      <c r="Q62" s="380">
        <v>481609.5</v>
      </c>
      <c r="R62" s="144">
        <f t="shared" si="22"/>
        <v>3.0397085017442319E-2</v>
      </c>
      <c r="S62" s="29">
        <f t="shared" si="23"/>
        <v>228817</v>
      </c>
      <c r="T62" s="49">
        <f t="shared" si="24"/>
        <v>2.0301605499906752E-2</v>
      </c>
      <c r="U62" s="14">
        <f t="shared" si="25"/>
        <v>419001</v>
      </c>
      <c r="V62" s="100">
        <f t="shared" si="26"/>
        <v>11689883</v>
      </c>
      <c r="W62" s="55">
        <f t="shared" si="27"/>
        <v>9.1605275316998247E-2</v>
      </c>
      <c r="X62" s="14"/>
      <c r="Y62" s="136">
        <v>12262996</v>
      </c>
      <c r="Z62" s="14">
        <f t="shared" si="14"/>
        <v>573113</v>
      </c>
      <c r="AA62" s="14">
        <v>11689883</v>
      </c>
    </row>
    <row r="63" spans="1:27" s="90" customFormat="1" x14ac:dyDescent="0.25">
      <c r="A63" s="71" t="s">
        <v>60</v>
      </c>
      <c r="B63" s="72">
        <v>7</v>
      </c>
      <c r="C63" s="102"/>
      <c r="D63" s="126">
        <v>21039506</v>
      </c>
      <c r="E63" s="367">
        <f t="shared" si="15"/>
        <v>5.1315868292682927E-2</v>
      </c>
      <c r="F63" s="101">
        <v>21039506</v>
      </c>
      <c r="G63" s="118">
        <f t="shared" si="28"/>
        <v>5.4357960087805461E-2</v>
      </c>
      <c r="H63" s="73">
        <v>441231</v>
      </c>
      <c r="I63" s="14">
        <f t="shared" si="16"/>
        <v>21480737</v>
      </c>
      <c r="J63" s="45">
        <f t="shared" si="17"/>
        <v>2.0971547525878265E-2</v>
      </c>
      <c r="K63" s="15">
        <v>473554</v>
      </c>
      <c r="L63" s="100">
        <f t="shared" si="18"/>
        <v>21954291</v>
      </c>
      <c r="M63" s="97">
        <f t="shared" si="19"/>
        <v>2.2045519201692176E-2</v>
      </c>
      <c r="N63" s="96">
        <f t="shared" si="29"/>
        <v>115330</v>
      </c>
      <c r="O63" s="95">
        <f t="shared" si="20"/>
        <v>256110</v>
      </c>
      <c r="P63" s="49">
        <f t="shared" si="21"/>
        <v>1.1665601043549982E-2</v>
      </c>
      <c r="Q63" s="380">
        <v>675514.5</v>
      </c>
      <c r="R63" s="144">
        <f t="shared" si="22"/>
        <v>4.2635520451766502E-2</v>
      </c>
      <c r="S63" s="29">
        <f t="shared" si="23"/>
        <v>320944</v>
      </c>
      <c r="T63" s="49">
        <f t="shared" si="24"/>
        <v>1.4618736719851259E-2</v>
      </c>
      <c r="U63" s="14">
        <f t="shared" si="25"/>
        <v>692384</v>
      </c>
      <c r="V63" s="100">
        <f t="shared" si="26"/>
        <v>22646675</v>
      </c>
      <c r="W63" s="55">
        <f t="shared" si="27"/>
        <v>7.6388152839710122E-2</v>
      </c>
      <c r="X63" s="14"/>
      <c r="Y63" s="136">
        <v>26426328</v>
      </c>
      <c r="Z63" s="14">
        <f t="shared" si="14"/>
        <v>3779653</v>
      </c>
      <c r="AA63" s="14">
        <v>22646675</v>
      </c>
    </row>
    <row r="64" spans="1:27" s="90" customFormat="1" x14ac:dyDescent="0.25">
      <c r="A64" s="71" t="s">
        <v>61</v>
      </c>
      <c r="B64" s="72">
        <v>7</v>
      </c>
      <c r="C64" s="102"/>
      <c r="D64" s="126">
        <v>11472659</v>
      </c>
      <c r="E64" s="366">
        <f t="shared" si="15"/>
        <v>2.7982095121951218E-2</v>
      </c>
      <c r="F64" s="101">
        <v>11472659</v>
      </c>
      <c r="G64" s="118">
        <f t="shared" si="28"/>
        <v>2.9640921228046044E-2</v>
      </c>
      <c r="H64" s="73">
        <v>218421</v>
      </c>
      <c r="I64" s="14">
        <f t="shared" si="16"/>
        <v>11691080</v>
      </c>
      <c r="J64" s="45">
        <f t="shared" si="17"/>
        <v>1.9038393802169207E-2</v>
      </c>
      <c r="K64" s="15">
        <v>260401</v>
      </c>
      <c r="L64" s="100">
        <f t="shared" si="18"/>
        <v>11951481</v>
      </c>
      <c r="M64" s="97">
        <f t="shared" si="19"/>
        <v>2.2273476872966436E-2</v>
      </c>
      <c r="N64" s="96">
        <f t="shared" si="29"/>
        <v>62889</v>
      </c>
      <c r="O64" s="95">
        <f t="shared" si="20"/>
        <v>139421</v>
      </c>
      <c r="P64" s="49">
        <f t="shared" si="21"/>
        <v>1.166558353730387E-2</v>
      </c>
      <c r="Q64" s="380">
        <v>513840</v>
      </c>
      <c r="R64" s="144">
        <f t="shared" si="22"/>
        <v>3.2431333197045657E-2</v>
      </c>
      <c r="S64" s="29">
        <f t="shared" si="23"/>
        <v>244130</v>
      </c>
      <c r="T64" s="49">
        <f t="shared" si="24"/>
        <v>2.0426757152523609E-2</v>
      </c>
      <c r="U64" s="14">
        <f t="shared" si="25"/>
        <v>446440</v>
      </c>
      <c r="V64" s="100">
        <f t="shared" si="26"/>
        <v>12397921</v>
      </c>
      <c r="W64" s="55">
        <f t="shared" si="27"/>
        <v>8.0649307191994479E-2</v>
      </c>
      <c r="X64" s="14"/>
      <c r="Y64" s="136">
        <v>13371087</v>
      </c>
      <c r="Z64" s="14">
        <f t="shared" si="14"/>
        <v>973166</v>
      </c>
      <c r="AA64" s="14">
        <v>12397921</v>
      </c>
    </row>
    <row r="65" spans="1:27" s="90" customFormat="1" x14ac:dyDescent="0.25">
      <c r="A65" s="71" t="s">
        <v>62</v>
      </c>
      <c r="B65" s="72">
        <v>7</v>
      </c>
      <c r="C65" s="102"/>
      <c r="D65" s="126">
        <v>10757055</v>
      </c>
      <c r="E65" s="366">
        <f t="shared" si="15"/>
        <v>2.6236719512195122E-2</v>
      </c>
      <c r="F65" s="101">
        <v>10757055</v>
      </c>
      <c r="G65" s="118">
        <f t="shared" si="28"/>
        <v>2.7792076788890775E-2</v>
      </c>
      <c r="H65" s="73">
        <v>177274</v>
      </c>
      <c r="I65" s="14">
        <f t="shared" si="16"/>
        <v>10934329</v>
      </c>
      <c r="J65" s="45">
        <f t="shared" si="17"/>
        <v>1.6479789310364312E-2</v>
      </c>
      <c r="K65" s="15">
        <v>268532</v>
      </c>
      <c r="L65" s="100">
        <f t="shared" si="18"/>
        <v>11202861</v>
      </c>
      <c r="M65" s="97">
        <f t="shared" si="19"/>
        <v>2.4558617177149245E-2</v>
      </c>
      <c r="N65" s="96">
        <f t="shared" si="29"/>
        <v>58966</v>
      </c>
      <c r="O65" s="95">
        <f t="shared" si="20"/>
        <v>130688</v>
      </c>
      <c r="P65" s="49">
        <f t="shared" si="21"/>
        <v>1.1665591494886886E-2</v>
      </c>
      <c r="Q65" s="380">
        <v>491586.5</v>
      </c>
      <c r="R65" s="144">
        <f t="shared" si="22"/>
        <v>3.1026789616747402E-2</v>
      </c>
      <c r="S65" s="29">
        <f t="shared" si="23"/>
        <v>233558</v>
      </c>
      <c r="T65" s="49">
        <f t="shared" si="24"/>
        <v>2.0848067292810291E-2</v>
      </c>
      <c r="U65" s="14">
        <f t="shared" si="25"/>
        <v>423212</v>
      </c>
      <c r="V65" s="100">
        <f t="shared" si="26"/>
        <v>11626073</v>
      </c>
      <c r="W65" s="55">
        <f t="shared" si="27"/>
        <v>8.0785865648172361E-2</v>
      </c>
      <c r="X65" s="14"/>
      <c r="Y65" s="136">
        <v>12207852</v>
      </c>
      <c r="Z65" s="14">
        <f t="shared" si="14"/>
        <v>581779</v>
      </c>
      <c r="AA65" s="14">
        <v>11626073</v>
      </c>
    </row>
    <row r="66" spans="1:27" s="90" customFormat="1" x14ac:dyDescent="0.25">
      <c r="A66" s="71" t="s">
        <v>63</v>
      </c>
      <c r="B66" s="72">
        <v>8</v>
      </c>
      <c r="C66" s="102"/>
      <c r="D66" s="126">
        <v>35887933</v>
      </c>
      <c r="E66" s="366">
        <f t="shared" si="15"/>
        <v>8.753154390243903E-2</v>
      </c>
      <c r="F66" s="101">
        <v>35887933</v>
      </c>
      <c r="G66" s="118">
        <f t="shared" si="28"/>
        <v>9.2720562433729975E-2</v>
      </c>
      <c r="H66" s="73">
        <v>570347</v>
      </c>
      <c r="I66" s="14">
        <f t="shared" si="16"/>
        <v>36458280</v>
      </c>
      <c r="J66" s="45">
        <f t="shared" si="17"/>
        <v>1.5892444961931984E-2</v>
      </c>
      <c r="K66" s="15">
        <v>1127221</v>
      </c>
      <c r="L66" s="100">
        <f t="shared" si="18"/>
        <v>37585501</v>
      </c>
      <c r="M66" s="97">
        <f t="shared" si="19"/>
        <v>3.0918106943059298E-2</v>
      </c>
      <c r="N66" s="96">
        <f t="shared" si="29"/>
        <v>196724</v>
      </c>
      <c r="O66" s="95">
        <f t="shared" si="20"/>
        <v>438458</v>
      </c>
      <c r="P66" s="49">
        <f t="shared" si="21"/>
        <v>1.166561541909472E-2</v>
      </c>
      <c r="Q66" s="380">
        <v>1489769.5</v>
      </c>
      <c r="R66" s="144">
        <f t="shared" si="22"/>
        <v>9.4027734394551046E-2</v>
      </c>
      <c r="S66" s="29">
        <f t="shared" si="23"/>
        <v>707804</v>
      </c>
      <c r="T66" s="49">
        <f t="shared" si="24"/>
        <v>1.8831836244513542E-2</v>
      </c>
      <c r="U66" s="14">
        <f t="shared" si="25"/>
        <v>1342986</v>
      </c>
      <c r="V66" s="100">
        <f t="shared" si="26"/>
        <v>38928487</v>
      </c>
      <c r="W66" s="55">
        <f t="shared" si="27"/>
        <v>8.4723575470339929E-2</v>
      </c>
      <c r="X66" s="14"/>
      <c r="Y66" s="136">
        <v>41595717</v>
      </c>
      <c r="Z66" s="14">
        <f t="shared" si="14"/>
        <v>2667230</v>
      </c>
      <c r="AA66" s="14">
        <v>38928487</v>
      </c>
    </row>
    <row r="67" spans="1:27" s="90" customFormat="1" x14ac:dyDescent="0.25">
      <c r="A67" s="71" t="s">
        <v>64</v>
      </c>
      <c r="B67" s="72">
        <v>8</v>
      </c>
      <c r="C67" s="102"/>
      <c r="D67" s="126">
        <v>27528201</v>
      </c>
      <c r="E67" s="366">
        <f t="shared" si="15"/>
        <v>6.7141953658536591E-2</v>
      </c>
      <c r="F67" s="101">
        <v>27528201</v>
      </c>
      <c r="G67" s="118">
        <f t="shared" si="28"/>
        <v>7.1122242663258659E-2</v>
      </c>
      <c r="H67" s="73">
        <v>851383</v>
      </c>
      <c r="I67" s="14">
        <f t="shared" si="16"/>
        <v>28379584</v>
      </c>
      <c r="J67" s="45">
        <f t="shared" si="17"/>
        <v>3.0927665778087032E-2</v>
      </c>
      <c r="K67" s="15">
        <v>845067</v>
      </c>
      <c r="L67" s="100">
        <f t="shared" si="18"/>
        <v>29224651</v>
      </c>
      <c r="M67" s="97">
        <f t="shared" si="19"/>
        <v>2.9777286376008849E-2</v>
      </c>
      <c r="N67" s="96">
        <f t="shared" si="29"/>
        <v>150899</v>
      </c>
      <c r="O67" s="95">
        <f t="shared" si="20"/>
        <v>340924</v>
      </c>
      <c r="P67" s="49">
        <f t="shared" si="21"/>
        <v>1.1665631182387773E-2</v>
      </c>
      <c r="Q67" s="380">
        <v>1204098.5</v>
      </c>
      <c r="R67" s="144">
        <f t="shared" si="22"/>
        <v>7.5997430436639576E-2</v>
      </c>
      <c r="S67" s="29">
        <f t="shared" si="23"/>
        <v>572079</v>
      </c>
      <c r="T67" s="49">
        <f t="shared" si="24"/>
        <v>1.9575220932492914E-2</v>
      </c>
      <c r="U67" s="14">
        <f t="shared" si="25"/>
        <v>1063902</v>
      </c>
      <c r="V67" s="100">
        <f t="shared" si="26"/>
        <v>30288553</v>
      </c>
      <c r="W67" s="55">
        <f t="shared" si="27"/>
        <v>0.10027360669155239</v>
      </c>
      <c r="X67" s="14"/>
      <c r="Y67" s="136">
        <v>31866057</v>
      </c>
      <c r="Z67" s="14">
        <f t="shared" si="14"/>
        <v>1577504</v>
      </c>
      <c r="AA67" s="14">
        <v>30288553</v>
      </c>
    </row>
    <row r="68" spans="1:27" s="90" customFormat="1" x14ac:dyDescent="0.25">
      <c r="A68" s="71" t="s">
        <v>65</v>
      </c>
      <c r="B68" s="72">
        <v>8</v>
      </c>
      <c r="C68" s="102"/>
      <c r="D68" s="126">
        <v>65681042</v>
      </c>
      <c r="E68" s="366">
        <f t="shared" ref="E68:E70" si="30">D68/$D$72</f>
        <v>0.16019766341463415</v>
      </c>
      <c r="F68" s="101">
        <v>65681042</v>
      </c>
      <c r="G68" s="118">
        <f t="shared" si="28"/>
        <v>0.16969445288123564</v>
      </c>
      <c r="H68" s="73">
        <v>1261378</v>
      </c>
      <c r="I68" s="14">
        <f t="shared" ref="I68:I70" si="31">SUM(D68,H68)</f>
        <v>66942420</v>
      </c>
      <c r="J68" s="45">
        <f t="shared" ref="J68:J70" si="32">(I68/D68)-1</f>
        <v>1.9204597880770446E-2</v>
      </c>
      <c r="K68" s="15">
        <v>1518122</v>
      </c>
      <c r="L68" s="100">
        <f t="shared" ref="L68:L70" si="33">I68+K68</f>
        <v>68460542</v>
      </c>
      <c r="M68" s="97">
        <f t="shared" ref="M68:M70" si="34">L68/I68-1</f>
        <v>2.2678026877426927E-2</v>
      </c>
      <c r="N68" s="96">
        <f t="shared" si="29"/>
        <v>360038</v>
      </c>
      <c r="O68" s="95">
        <f t="shared" si="20"/>
        <v>798635</v>
      </c>
      <c r="P68" s="49">
        <f t="shared" ref="P68:P70" si="35">O68/L68</f>
        <v>1.1665624850004839E-2</v>
      </c>
      <c r="Q68" s="380">
        <v>2357985</v>
      </c>
      <c r="R68" s="144">
        <f t="shared" ref="R68:R70" si="36">Q68/$Q$72</f>
        <v>0.14882569906709425</v>
      </c>
      <c r="S68" s="29">
        <f t="shared" ref="S68:S70" si="37">ROUND((R68*$S$1),0)</f>
        <v>1120302</v>
      </c>
      <c r="T68" s="49">
        <f t="shared" ref="T68:T70" si="38">S68/L68</f>
        <v>1.636419997960285E-2</v>
      </c>
      <c r="U68" s="14">
        <f t="shared" si="25"/>
        <v>2278975</v>
      </c>
      <c r="V68" s="100">
        <f t="shared" si="26"/>
        <v>70739517</v>
      </c>
      <c r="W68" s="55">
        <f t="shared" ref="W68:W70" si="39">V68/D68-1</f>
        <v>7.7015754409011983E-2</v>
      </c>
      <c r="X68" s="14"/>
      <c r="Y68" s="136">
        <v>74950331</v>
      </c>
      <c r="Z68" s="14">
        <f t="shared" si="14"/>
        <v>4210814</v>
      </c>
      <c r="AA68" s="14">
        <v>70739517</v>
      </c>
    </row>
    <row r="69" spans="1:27" x14ac:dyDescent="0.25">
      <c r="A69" s="71" t="s">
        <v>66</v>
      </c>
      <c r="B69" s="72">
        <v>8</v>
      </c>
      <c r="C69" s="102"/>
      <c r="D69" s="126">
        <v>26657769</v>
      </c>
      <c r="E69" s="366">
        <f t="shared" si="30"/>
        <v>6.5018948780487806E-2</v>
      </c>
      <c r="F69" s="101">
        <v>26657769</v>
      </c>
      <c r="G69" s="118">
        <f t="shared" si="28"/>
        <v>6.8873382451657264E-2</v>
      </c>
      <c r="H69" s="73">
        <v>551186</v>
      </c>
      <c r="I69" s="14">
        <f t="shared" si="31"/>
        <v>27208955</v>
      </c>
      <c r="J69" s="45">
        <f t="shared" si="32"/>
        <v>2.0676373930616609E-2</v>
      </c>
      <c r="K69" s="15">
        <v>704929</v>
      </c>
      <c r="L69" s="100">
        <f t="shared" si="33"/>
        <v>27913884</v>
      </c>
      <c r="M69" s="97">
        <f t="shared" si="34"/>
        <v>2.5907977722775533E-2</v>
      </c>
      <c r="N69" s="96">
        <f t="shared" si="29"/>
        <v>146128</v>
      </c>
      <c r="O69" s="95">
        <f t="shared" si="20"/>
        <v>325633</v>
      </c>
      <c r="P69" s="49">
        <f t="shared" si="35"/>
        <v>1.1665628473629825E-2</v>
      </c>
      <c r="Q69" s="380">
        <v>1260504.5</v>
      </c>
      <c r="R69" s="144">
        <f t="shared" si="36"/>
        <v>7.9557530429463327E-2</v>
      </c>
      <c r="S69" s="29">
        <f t="shared" si="37"/>
        <v>598878</v>
      </c>
      <c r="T69" s="49">
        <f t="shared" si="38"/>
        <v>2.1454484800467036E-2</v>
      </c>
      <c r="U69" s="14">
        <f t="shared" si="25"/>
        <v>1070639</v>
      </c>
      <c r="V69" s="100">
        <f t="shared" si="26"/>
        <v>28984523</v>
      </c>
      <c r="W69" s="55">
        <f t="shared" si="39"/>
        <v>8.728239786307701E-2</v>
      </c>
      <c r="X69" s="14"/>
      <c r="Y69" s="136">
        <v>30469235</v>
      </c>
      <c r="Z69" s="14">
        <f t="shared" si="14"/>
        <v>1484712</v>
      </c>
      <c r="AA69" s="14">
        <v>28984523</v>
      </c>
    </row>
    <row r="70" spans="1:27" ht="14.25" thickBot="1" x14ac:dyDescent="0.3">
      <c r="A70" s="74" t="s">
        <v>67</v>
      </c>
      <c r="B70" s="75">
        <v>8</v>
      </c>
      <c r="C70" s="99"/>
      <c r="D70" s="127">
        <v>28065385</v>
      </c>
      <c r="E70" s="368">
        <f t="shared" si="30"/>
        <v>6.8452158536585372E-2</v>
      </c>
      <c r="F70" s="98">
        <v>28065385</v>
      </c>
      <c r="G70" s="120">
        <f t="shared" si="28"/>
        <v>7.2510118710909566E-2</v>
      </c>
      <c r="H70" s="76">
        <v>583165</v>
      </c>
      <c r="I70" s="34">
        <f t="shared" si="31"/>
        <v>28648550</v>
      </c>
      <c r="J70" s="46">
        <f t="shared" si="32"/>
        <v>2.0778799221888411E-2</v>
      </c>
      <c r="K70" s="77">
        <v>625937</v>
      </c>
      <c r="L70" s="94">
        <f t="shared" si="33"/>
        <v>29274487</v>
      </c>
      <c r="M70" s="131">
        <f t="shared" si="34"/>
        <v>2.184881957376561E-2</v>
      </c>
      <c r="N70" s="132">
        <f t="shared" si="29"/>
        <v>153844</v>
      </c>
      <c r="O70" s="133">
        <f t="shared" si="20"/>
        <v>341505</v>
      </c>
      <c r="P70" s="50">
        <f t="shared" si="35"/>
        <v>1.1665618598201226E-2</v>
      </c>
      <c r="Q70" s="381">
        <v>983635</v>
      </c>
      <c r="R70" s="145">
        <f t="shared" si="36"/>
        <v>6.2082738652646748E-2</v>
      </c>
      <c r="S70" s="65">
        <f t="shared" si="37"/>
        <v>467335</v>
      </c>
      <c r="T70" s="50">
        <f t="shared" si="38"/>
        <v>1.5963900580051156E-2</v>
      </c>
      <c r="U70" s="34">
        <f t="shared" si="25"/>
        <v>962684</v>
      </c>
      <c r="V70" s="94">
        <f t="shared" si="26"/>
        <v>30237171</v>
      </c>
      <c r="W70" s="56">
        <f t="shared" si="39"/>
        <v>7.7383082398477798E-2</v>
      </c>
      <c r="X70" s="34"/>
      <c r="Y70" s="137">
        <v>32082898</v>
      </c>
      <c r="Z70" s="34">
        <f t="shared" ref="Z70" si="40">Y70-V70</f>
        <v>1845727</v>
      </c>
      <c r="AA70" s="34">
        <v>30237171</v>
      </c>
    </row>
    <row r="71" spans="1:27" ht="14.25" thickBot="1" x14ac:dyDescent="0.3">
      <c r="A71" s="78"/>
      <c r="B71" s="79"/>
      <c r="C71" s="93"/>
      <c r="D71" s="3"/>
      <c r="E71" s="121"/>
      <c r="F71" s="3"/>
      <c r="G71" s="3"/>
      <c r="H71" s="80"/>
      <c r="I71" s="1"/>
      <c r="J71" s="9"/>
      <c r="K71" s="7"/>
      <c r="L71" s="1"/>
      <c r="M71" s="27"/>
      <c r="N71" s="27"/>
      <c r="O71" s="3"/>
      <c r="P71" s="51"/>
      <c r="Q71" s="382"/>
      <c r="S71" s="32"/>
      <c r="T71" s="51"/>
      <c r="U71" s="33"/>
      <c r="V71" s="47"/>
      <c r="W71" s="24"/>
      <c r="X71" s="33"/>
      <c r="AA71" s="47"/>
    </row>
    <row r="72" spans="1:27" s="90" customFormat="1" ht="14.25" thickBot="1" x14ac:dyDescent="0.3">
      <c r="A72" s="416" t="s">
        <v>68</v>
      </c>
      <c r="B72" s="416"/>
      <c r="C72" s="92"/>
      <c r="D72" s="41">
        <f>SUM(D4:D70)</f>
        <v>410000000</v>
      </c>
      <c r="E72" s="122"/>
      <c r="F72" s="41">
        <f>SUM(F4:F70)</f>
        <v>387054738</v>
      </c>
      <c r="G72" s="41"/>
      <c r="H72" s="5">
        <f>SUM(H4:H70)</f>
        <v>8818826</v>
      </c>
      <c r="I72" s="267">
        <f>SUM(I4:I70)</f>
        <v>418818826</v>
      </c>
      <c r="J72" s="37">
        <f>(I72/D72)-1</f>
        <v>2.150933170731717E-2</v>
      </c>
      <c r="K72" s="5">
        <f>SUM(K4:K70)</f>
        <v>11368716</v>
      </c>
      <c r="L72" s="266">
        <f>SUM(L4:L70)</f>
        <v>430187542</v>
      </c>
      <c r="M72" s="40">
        <f>L72/I72-1</f>
        <v>2.7144711016404921E-2</v>
      </c>
      <c r="N72" s="91">
        <f>SUM(N4:N70)</f>
        <v>2121685</v>
      </c>
      <c r="O72" s="5">
        <f>SUM(O4:O70)</f>
        <v>5018409</v>
      </c>
      <c r="P72" s="52">
        <f>O72/L72</f>
        <v>1.1665630707641459E-2</v>
      </c>
      <c r="Q72" s="383">
        <f>SUM(Q4:Q71)</f>
        <v>15843937</v>
      </c>
      <c r="R72" s="377"/>
      <c r="S72" s="30">
        <f>SUM(S4:S70)</f>
        <v>7527608</v>
      </c>
      <c r="T72" s="52">
        <f>S72/L72</f>
        <v>1.749843327634067E-2</v>
      </c>
      <c r="U72" s="28">
        <f>SUM(U4:U70)</f>
        <v>14667702</v>
      </c>
      <c r="V72" s="28">
        <f>SUM(V4:V70)</f>
        <v>444855244</v>
      </c>
      <c r="W72" s="52">
        <f>V72/D72-1</f>
        <v>8.5012790243902403E-2</v>
      </c>
      <c r="X72" s="138">
        <f>SUM(X4:X70)</f>
        <v>516245</v>
      </c>
      <c r="Y72" s="138"/>
      <c r="Z72" s="138"/>
      <c r="AA72" s="41">
        <f>SUM(AA4:AA70)</f>
        <v>444778204</v>
      </c>
    </row>
    <row r="73" spans="1:27" x14ac:dyDescent="0.25">
      <c r="D73" s="17"/>
      <c r="E73" s="123"/>
      <c r="F73" s="17"/>
      <c r="G73" s="17"/>
      <c r="H73" s="25"/>
      <c r="K73" s="17"/>
      <c r="Q73" s="410" t="s">
        <v>179</v>
      </c>
      <c r="V73" s="17"/>
      <c r="AA73" s="17"/>
    </row>
    <row r="74" spans="1:27" ht="13.5" hidden="1" customHeight="1" x14ac:dyDescent="0.25">
      <c r="D74" s="17"/>
      <c r="E74" s="123"/>
      <c r="F74" s="17"/>
      <c r="G74" s="17"/>
      <c r="L74" s="38"/>
      <c r="Q74" s="411"/>
      <c r="V74" s="19">
        <v>444855243</v>
      </c>
      <c r="AA74" s="19">
        <f>AA72+Z78</f>
        <v>444701164</v>
      </c>
    </row>
    <row r="75" spans="1:27" ht="15" hidden="1" customHeight="1" x14ac:dyDescent="0.25">
      <c r="D75" s="17"/>
      <c r="E75" s="123"/>
      <c r="F75" s="17"/>
      <c r="G75" s="17"/>
      <c r="H75" s="89"/>
      <c r="J75" s="2"/>
      <c r="P75" s="82"/>
      <c r="Q75" s="411"/>
      <c r="R75" s="82"/>
      <c r="T75" s="81"/>
      <c r="V75" s="20">
        <f>V74-L72</f>
        <v>14667701</v>
      </c>
      <c r="W75" s="81"/>
      <c r="AA75" s="20"/>
    </row>
    <row r="76" spans="1:27" s="13" customFormat="1" x14ac:dyDescent="0.25">
      <c r="A76" s="18"/>
      <c r="B76" s="18"/>
      <c r="C76" s="18"/>
      <c r="D76" s="83"/>
      <c r="E76" s="84"/>
      <c r="F76" s="83"/>
      <c r="G76" s="83"/>
      <c r="H76" s="83"/>
      <c r="I76" s="58"/>
      <c r="J76" s="59"/>
      <c r="K76" s="83"/>
      <c r="L76" s="58"/>
      <c r="M76" s="60"/>
      <c r="N76" s="60"/>
      <c r="O76" s="60"/>
      <c r="P76" s="85"/>
      <c r="Q76" s="411"/>
      <c r="R76" s="12"/>
      <c r="S76" s="18"/>
      <c r="T76" s="53"/>
      <c r="V76" s="18"/>
      <c r="Y76" s="112" t="s">
        <v>96</v>
      </c>
      <c r="Z76" s="134">
        <f>COUNTIF(Z4:Z70,"&lt;0")</f>
        <v>18</v>
      </c>
      <c r="AA76" s="25"/>
    </row>
    <row r="77" spans="1:27" ht="14.25" thickBot="1" x14ac:dyDescent="0.3">
      <c r="Q77" s="85"/>
      <c r="R77" s="85"/>
      <c r="S77" s="83"/>
      <c r="T77" s="84"/>
      <c r="U77" s="61"/>
      <c r="V77" s="83"/>
      <c r="X77" s="61"/>
      <c r="Y77" s="84"/>
      <c r="AA77" s="83"/>
    </row>
    <row r="78" spans="1:27" ht="14.25" thickBot="1" x14ac:dyDescent="0.3">
      <c r="Q78" s="85"/>
      <c r="R78" s="85"/>
      <c r="S78" s="83"/>
      <c r="T78" s="84"/>
      <c r="U78" s="61"/>
      <c r="V78" s="83"/>
      <c r="X78" s="61"/>
      <c r="Y78" s="112" t="s">
        <v>181</v>
      </c>
      <c r="Z78" s="8">
        <f>SUMIF(Z4:Z70,"&lt;0")</f>
        <v>-77040</v>
      </c>
      <c r="AA78" s="83"/>
    </row>
    <row r="80" spans="1:27" x14ac:dyDescent="0.25">
      <c r="Y80" s="17"/>
      <c r="Z80" s="17"/>
    </row>
    <row r="81" spans="24:27" x14ac:dyDescent="0.25">
      <c r="X81" s="349"/>
      <c r="Y81" s="349"/>
      <c r="Z81" s="350" t="s">
        <v>171</v>
      </c>
      <c r="AA81" s="355">
        <f>11700000+2423613</f>
        <v>14123613</v>
      </c>
    </row>
    <row r="82" spans="24:27" ht="14.25" thickBot="1" x14ac:dyDescent="0.3">
      <c r="X82" s="18"/>
      <c r="Z82" s="350" t="s">
        <v>172</v>
      </c>
      <c r="AA82" s="355">
        <v>6250000</v>
      </c>
    </row>
    <row r="83" spans="24:27" ht="14.25" thickBot="1" x14ac:dyDescent="0.3">
      <c r="X83" s="351"/>
      <c r="Y83" s="352"/>
      <c r="Z83" s="353" t="s">
        <v>182</v>
      </c>
      <c r="AA83" s="354">
        <f>AA72+11700000+2423613+6250000</f>
        <v>465151817</v>
      </c>
    </row>
  </sheetData>
  <autoFilter ref="A3:T70" xr:uid="{4EC7684B-053D-43A3-8CD8-BE9A689EFD27}">
    <sortState xmlns:xlrd2="http://schemas.microsoft.com/office/spreadsheetml/2017/richdata2" ref="A4:T70">
      <sortCondition ref="B3:B70"/>
    </sortState>
  </autoFilter>
  <mergeCells count="6">
    <mergeCell ref="Q73:Q76"/>
    <mergeCell ref="A2:H2"/>
    <mergeCell ref="I2:J2"/>
    <mergeCell ref="L2:M2"/>
    <mergeCell ref="V2:W2"/>
    <mergeCell ref="A72:B72"/>
  </mergeCells>
  <conditionalFormatting sqref="J4:J70 M4:M70">
    <cfRule type="cellIs" dxfId="2" priority="1" operator="lessThan">
      <formula>0</formula>
    </cfRule>
  </conditionalFormatting>
  <pageMargins left="0.25" right="0.25" top="0.25" bottom="0.25" header="0.25" footer="0.25"/>
  <pageSetup paperSize="5" scale="92" fitToHeight="0" pageOrder="overThenDown" orientation="landscape" r:id="rId1"/>
  <headerFooter>
    <oddFooter>&amp;C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DD97-06D0-4B8C-95B8-E4D395915C62}">
  <sheetPr>
    <pageSetUpPr fitToPage="1"/>
  </sheetPr>
  <dimension ref="A1:AP81"/>
  <sheetViews>
    <sheetView zoomScale="110" zoomScaleNormal="110" zoomScalePageLayoutView="55" workbookViewId="0">
      <pane xSplit="2" ySplit="3" topLeftCell="V60" activePane="bottomRight" state="frozen"/>
      <selection pane="topRight" activeCell="C1" sqref="C1"/>
      <selection pane="bottomLeft" activeCell="A3" sqref="A3"/>
      <selection pane="bottomRight" activeCell="AG82" sqref="AG82"/>
    </sheetView>
  </sheetViews>
  <sheetFormatPr defaultColWidth="2.28515625" defaultRowHeight="13.5" x14ac:dyDescent="0.25"/>
  <cols>
    <col min="1" max="1" width="12.28515625" style="18" customWidth="1"/>
    <col min="2" max="2" width="6.28515625" style="18" customWidth="1"/>
    <col min="3" max="3" width="16.28515625" style="18" customWidth="1"/>
    <col min="4" max="4" width="14.42578125" style="18" customWidth="1"/>
    <col min="5" max="5" width="14.5703125" style="18" customWidth="1"/>
    <col min="6" max="6" width="12.7109375" style="18" customWidth="1"/>
    <col min="7" max="7" width="14.28515625" style="18" hidden="1" customWidth="1"/>
    <col min="8" max="8" width="16.28515625" style="2" customWidth="1"/>
    <col min="9" max="9" width="9" style="10" customWidth="1"/>
    <col min="10" max="11" width="13.28515625" style="18" customWidth="1"/>
    <col min="12" max="12" width="14.7109375" style="18" customWidth="1"/>
    <col min="13" max="13" width="13.5703125" style="18" customWidth="1"/>
    <col min="14" max="14" width="15.5703125" style="2" customWidth="1"/>
    <col min="15" max="15" width="17.42578125" style="2" customWidth="1"/>
    <col min="16" max="16" width="8.28515625" style="11" customWidth="1"/>
    <col min="17" max="17" width="16" style="11" hidden="1" customWidth="1"/>
    <col min="18" max="18" width="9.7109375" style="11" hidden="1" customWidth="1"/>
    <col min="19" max="19" width="15.85546875" style="11" hidden="1" customWidth="1"/>
    <col min="20" max="20" width="9.85546875" style="11" hidden="1" customWidth="1"/>
    <col min="21" max="21" width="15.28515625" style="12" customWidth="1"/>
    <col min="22" max="22" width="14.5703125" style="12" customWidth="1"/>
    <col min="23" max="23" width="10.85546875" style="12" customWidth="1"/>
    <col min="24" max="24" width="14.5703125" style="12" customWidth="1"/>
    <col min="25" max="25" width="11.42578125" style="12" customWidth="1"/>
    <col min="26" max="26" width="14.5703125" style="12" customWidth="1"/>
    <col min="27" max="27" width="10.85546875" style="18" customWidth="1"/>
    <col min="28" max="28" width="15.42578125" style="12" customWidth="1"/>
    <col min="29" max="29" width="18.28515625" style="18" customWidth="1"/>
    <col min="30" max="30" width="14.7109375" style="18" customWidth="1"/>
    <col min="31" max="31" width="16.7109375" style="18" customWidth="1"/>
    <col min="32" max="32" width="14.85546875" style="18" customWidth="1"/>
    <col min="33" max="33" width="17.140625" style="18" customWidth="1"/>
    <col min="34" max="34" width="8.7109375" style="18" customWidth="1"/>
    <col min="35" max="16384" width="2.28515625" style="18"/>
  </cols>
  <sheetData>
    <row r="1" spans="1:42" ht="14.25" hidden="1" thickBot="1" x14ac:dyDescent="0.3">
      <c r="A1" s="16" t="s">
        <v>69</v>
      </c>
      <c r="B1" s="16"/>
      <c r="C1" s="16"/>
      <c r="D1" s="16"/>
      <c r="E1" s="16"/>
      <c r="F1" s="209"/>
      <c r="G1" s="16"/>
      <c r="H1" s="21"/>
      <c r="I1" s="22"/>
      <c r="J1" s="16"/>
      <c r="K1" s="16"/>
      <c r="L1" s="16"/>
      <c r="M1" s="16"/>
      <c r="N1" s="21"/>
      <c r="O1" s="21"/>
      <c r="P1" s="23"/>
      <c r="Q1" s="208"/>
      <c r="R1" s="208"/>
      <c r="S1" s="208"/>
      <c r="T1" s="208"/>
      <c r="U1" s="388">
        <v>2121685</v>
      </c>
      <c r="V1" s="25">
        <f>ROUND((AD1*0.4),0)</f>
        <v>5018406</v>
      </c>
      <c r="W1" s="387">
        <f>V1/O72</f>
        <v>1.1665623733938812E-2</v>
      </c>
      <c r="X1" s="207"/>
      <c r="Y1" s="392">
        <f>AC74-O72-U1</f>
        <v>-432309227</v>
      </c>
      <c r="Z1" s="25">
        <f>ROUND((AD1*0.6),0)</f>
        <v>7527610</v>
      </c>
      <c r="AA1" s="387">
        <f>Z1/O72</f>
        <v>1.7498437925475768E-2</v>
      </c>
      <c r="AB1" s="222"/>
      <c r="AC1" s="207">
        <f>AC74-O72</f>
        <v>-430187542</v>
      </c>
      <c r="AD1" s="386">
        <v>12546016</v>
      </c>
    </row>
    <row r="2" spans="1:42" s="86" customFormat="1" ht="30.75" customHeight="1" thickBot="1" x14ac:dyDescent="0.3">
      <c r="A2" s="402"/>
      <c r="B2" s="403"/>
      <c r="C2" s="404"/>
      <c r="D2" s="420" t="s">
        <v>183</v>
      </c>
      <c r="E2" s="421"/>
      <c r="F2" s="421"/>
      <c r="G2" s="421"/>
      <c r="H2" s="421"/>
      <c r="I2" s="422"/>
      <c r="J2" s="423" t="s">
        <v>157</v>
      </c>
      <c r="K2" s="424"/>
      <c r="L2" s="424"/>
      <c r="M2" s="424"/>
      <c r="N2" s="424"/>
      <c r="O2" s="424"/>
      <c r="P2" s="425"/>
      <c r="Q2" s="417" t="s">
        <v>152</v>
      </c>
      <c r="R2" s="418"/>
      <c r="S2" s="418"/>
      <c r="T2" s="419"/>
      <c r="U2" s="420" t="s">
        <v>158</v>
      </c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2"/>
      <c r="AG2" s="414" t="s">
        <v>79</v>
      </c>
      <c r="AH2" s="415"/>
    </row>
    <row r="3" spans="1:42" s="201" customFormat="1" ht="100.5" customHeight="1" thickBot="1" x14ac:dyDescent="0.3">
      <c r="A3" s="68" t="s">
        <v>0</v>
      </c>
      <c r="B3" s="69" t="s">
        <v>120</v>
      </c>
      <c r="C3" s="42" t="s">
        <v>78</v>
      </c>
      <c r="D3" s="6" t="s">
        <v>116</v>
      </c>
      <c r="E3" s="6" t="s">
        <v>115</v>
      </c>
      <c r="F3" s="205" t="s">
        <v>114</v>
      </c>
      <c r="G3" s="336" t="s">
        <v>113</v>
      </c>
      <c r="H3" s="35" t="s">
        <v>151</v>
      </c>
      <c r="I3" s="36" t="s">
        <v>150</v>
      </c>
      <c r="J3" s="4" t="s">
        <v>149</v>
      </c>
      <c r="K3" s="4" t="s">
        <v>167</v>
      </c>
      <c r="L3" s="4" t="s">
        <v>148</v>
      </c>
      <c r="M3" s="4" t="s">
        <v>147</v>
      </c>
      <c r="N3" s="204" t="s">
        <v>146</v>
      </c>
      <c r="O3" s="87" t="s">
        <v>145</v>
      </c>
      <c r="P3" s="39" t="s">
        <v>71</v>
      </c>
      <c r="Q3" s="295" t="s">
        <v>78</v>
      </c>
      <c r="R3" s="294" t="s">
        <v>90</v>
      </c>
      <c r="S3" s="295" t="s">
        <v>93</v>
      </c>
      <c r="T3" s="294" t="s">
        <v>90</v>
      </c>
      <c r="U3" s="109" t="s">
        <v>95</v>
      </c>
      <c r="V3" s="293" t="s">
        <v>89</v>
      </c>
      <c r="W3" s="292" t="s">
        <v>85</v>
      </c>
      <c r="X3" s="385" t="s">
        <v>88</v>
      </c>
      <c r="Y3" s="108" t="s">
        <v>87</v>
      </c>
      <c r="Z3" s="6" t="s">
        <v>86</v>
      </c>
      <c r="AA3" s="107" t="s">
        <v>85</v>
      </c>
      <c r="AB3" s="26" t="s">
        <v>100</v>
      </c>
      <c r="AC3" s="26" t="s">
        <v>180</v>
      </c>
      <c r="AD3" s="26" t="s">
        <v>99</v>
      </c>
      <c r="AE3" s="135" t="s">
        <v>97</v>
      </c>
      <c r="AF3" s="26" t="s">
        <v>184</v>
      </c>
      <c r="AG3" s="391" t="s">
        <v>94</v>
      </c>
      <c r="AH3" s="43" t="s">
        <v>72</v>
      </c>
      <c r="AI3" s="18"/>
      <c r="AJ3" s="18"/>
      <c r="AK3" s="18"/>
      <c r="AL3" s="18"/>
      <c r="AM3" s="18"/>
      <c r="AN3" s="18"/>
      <c r="AO3" s="18"/>
      <c r="AP3" s="18"/>
    </row>
    <row r="4" spans="1:42" s="90" customFormat="1" x14ac:dyDescent="0.25">
      <c r="A4" s="200" t="s">
        <v>1</v>
      </c>
      <c r="B4" s="199">
        <v>1</v>
      </c>
      <c r="C4" s="291">
        <v>423037</v>
      </c>
      <c r="D4" s="194">
        <v>3395</v>
      </c>
      <c r="E4" s="193">
        <v>3267</v>
      </c>
      <c r="F4" s="192"/>
      <c r="G4" s="337"/>
      <c r="H4" s="191">
        <f t="shared" ref="H4:H35" si="0">SUM(C4:F4)</f>
        <v>429699</v>
      </c>
      <c r="I4" s="190">
        <f t="shared" ref="I4:I35" si="1">(H4/C4)-1</f>
        <v>1.5748031496062964E-2</v>
      </c>
      <c r="J4" s="15"/>
      <c r="K4" s="15"/>
      <c r="L4" s="15">
        <v>8229</v>
      </c>
      <c r="M4" s="193"/>
      <c r="N4" s="140">
        <f t="shared" ref="N4:N35" si="2">SUM(J4:M4)</f>
        <v>8229</v>
      </c>
      <c r="O4" s="14">
        <f t="shared" ref="O4:O35" si="3">N4+H4</f>
        <v>437928</v>
      </c>
      <c r="P4" s="290">
        <f t="shared" ref="P4:P35" si="4">O4/H4-1</f>
        <v>1.9150614732638349E-2</v>
      </c>
      <c r="Q4" s="289">
        <v>423037</v>
      </c>
      <c r="R4" s="288">
        <f t="shared" ref="R4:R35" si="5">Q4/$Q$72</f>
        <v>1.0317975609756098E-3</v>
      </c>
      <c r="S4" s="287"/>
      <c r="T4" s="286">
        <f t="shared" ref="T4:T35" si="6">S4/$S$72</f>
        <v>0</v>
      </c>
      <c r="U4" s="285"/>
      <c r="V4" s="130">
        <f t="shared" ref="V4:V35" si="7">ROUND((O4*$W$1),0)</f>
        <v>5109</v>
      </c>
      <c r="W4" s="62">
        <f t="shared" ref="W4:W35" si="8">V4/O4</f>
        <v>1.1666301309804351E-2</v>
      </c>
      <c r="X4" s="379">
        <v>11149.5</v>
      </c>
      <c r="Y4" s="143">
        <f t="shared" ref="Y4:Y35" si="9">X4/$X$72</f>
        <v>7.0370767063767043E-4</v>
      </c>
      <c r="Z4" s="64">
        <f t="shared" ref="Z4:Z35" si="10">ROUND((Y4*$Z$1),0)</f>
        <v>5297</v>
      </c>
      <c r="AA4" s="62">
        <f t="shared" ref="AA4:AA35" si="11">Z4/O4</f>
        <v>1.2095595623024789E-2</v>
      </c>
      <c r="AB4" s="14">
        <f t="shared" ref="AB4:AB35" si="12">V4+Z4+U4</f>
        <v>10406</v>
      </c>
      <c r="AC4" s="284">
        <f t="shared" ref="AC4:AC35" si="13">O4+U4+V4+Z4</f>
        <v>448334</v>
      </c>
      <c r="AD4" s="146">
        <v>8806</v>
      </c>
      <c r="AE4" s="139">
        <v>462177</v>
      </c>
      <c r="AF4" s="394">
        <f t="shared" ref="AF4:AF35" si="14">AE4-AC4</f>
        <v>13843</v>
      </c>
      <c r="AG4" s="140">
        <v>448334</v>
      </c>
      <c r="AH4" s="311">
        <f t="shared" ref="AH4:AH35" si="15">AG4/C4-1</f>
        <v>5.9798551899715724E-2</v>
      </c>
      <c r="AI4" s="18"/>
      <c r="AJ4" s="18"/>
      <c r="AK4" s="18"/>
      <c r="AL4" s="18"/>
      <c r="AM4" s="18"/>
      <c r="AN4" s="18"/>
      <c r="AO4" s="18"/>
      <c r="AP4" s="18"/>
    </row>
    <row r="5" spans="1:42" customFormat="1" ht="15" x14ac:dyDescent="0.25">
      <c r="A5" s="71" t="s">
        <v>2</v>
      </c>
      <c r="B5" s="72">
        <v>1</v>
      </c>
      <c r="C5" s="283">
        <v>292156</v>
      </c>
      <c r="D5" s="185">
        <v>2239</v>
      </c>
      <c r="E5" s="15">
        <v>2896</v>
      </c>
      <c r="F5" s="180"/>
      <c r="G5" s="338"/>
      <c r="H5" s="184">
        <f t="shared" si="0"/>
        <v>297291</v>
      </c>
      <c r="I5" s="183">
        <f t="shared" si="1"/>
        <v>1.7576226399594663E-2</v>
      </c>
      <c r="J5" s="15"/>
      <c r="K5" s="15"/>
      <c r="L5" s="15">
        <v>4607</v>
      </c>
      <c r="M5" s="15"/>
      <c r="N5" s="182">
        <f t="shared" si="2"/>
        <v>4607</v>
      </c>
      <c r="O5" s="182">
        <f t="shared" si="3"/>
        <v>301898</v>
      </c>
      <c r="P5" s="282">
        <f t="shared" si="4"/>
        <v>1.5496600973456953E-2</v>
      </c>
      <c r="Q5" s="281">
        <v>292156</v>
      </c>
      <c r="R5" s="280">
        <f t="shared" si="5"/>
        <v>7.1257560975609752E-4</v>
      </c>
      <c r="S5" s="279"/>
      <c r="T5" s="278">
        <f t="shared" si="6"/>
        <v>0</v>
      </c>
      <c r="U5" s="277"/>
      <c r="V5" s="95">
        <f t="shared" si="7"/>
        <v>3522</v>
      </c>
      <c r="W5" s="49">
        <f t="shared" si="8"/>
        <v>1.1666191892625986E-2</v>
      </c>
      <c r="X5" s="380">
        <v>3725.5</v>
      </c>
      <c r="Y5" s="144">
        <f t="shared" si="9"/>
        <v>2.3513726417872022E-4</v>
      </c>
      <c r="Z5" s="29">
        <f t="shared" si="10"/>
        <v>1770</v>
      </c>
      <c r="AA5" s="49">
        <f t="shared" si="11"/>
        <v>5.862907339565019E-3</v>
      </c>
      <c r="AB5" s="14">
        <f t="shared" si="12"/>
        <v>5292</v>
      </c>
      <c r="AC5" s="276">
        <f t="shared" si="13"/>
        <v>307190</v>
      </c>
      <c r="AD5" s="146">
        <v>5242</v>
      </c>
      <c r="AE5" s="136">
        <v>307140</v>
      </c>
      <c r="AF5" s="146">
        <f t="shared" si="14"/>
        <v>-50</v>
      </c>
      <c r="AG5" s="14">
        <v>307140</v>
      </c>
      <c r="AH5" s="54">
        <f t="shared" si="15"/>
        <v>5.1287668232040451E-2</v>
      </c>
    </row>
    <row r="6" spans="1:42" s="103" customFormat="1" x14ac:dyDescent="0.25">
      <c r="A6" s="71" t="s">
        <v>3</v>
      </c>
      <c r="B6" s="72">
        <v>1</v>
      </c>
      <c r="C6" s="283">
        <v>288357</v>
      </c>
      <c r="D6" s="185">
        <v>3338</v>
      </c>
      <c r="E6" s="15">
        <v>3324</v>
      </c>
      <c r="F6" s="180"/>
      <c r="G6" s="338"/>
      <c r="H6" s="184">
        <f t="shared" si="0"/>
        <v>295019</v>
      </c>
      <c r="I6" s="183">
        <f t="shared" si="1"/>
        <v>2.3103305971417409E-2</v>
      </c>
      <c r="J6" s="15">
        <v>4872</v>
      </c>
      <c r="K6" s="15"/>
      <c r="L6" s="15">
        <v>5866</v>
      </c>
      <c r="M6" s="15"/>
      <c r="N6" s="182">
        <f t="shared" si="2"/>
        <v>10738</v>
      </c>
      <c r="O6" s="182">
        <f t="shared" si="3"/>
        <v>305757</v>
      </c>
      <c r="P6" s="282">
        <f t="shared" si="4"/>
        <v>3.6397655744206281E-2</v>
      </c>
      <c r="Q6" s="281">
        <v>288357</v>
      </c>
      <c r="R6" s="280">
        <f t="shared" si="5"/>
        <v>7.0330975609756102E-4</v>
      </c>
      <c r="S6" s="279"/>
      <c r="T6" s="278">
        <f t="shared" si="6"/>
        <v>0</v>
      </c>
      <c r="U6" s="277"/>
      <c r="V6" s="95">
        <f t="shared" si="7"/>
        <v>3567</v>
      </c>
      <c r="W6" s="49">
        <f t="shared" si="8"/>
        <v>1.1666127022439389E-2</v>
      </c>
      <c r="X6" s="380">
        <v>6333</v>
      </c>
      <c r="Y6" s="144">
        <f t="shared" si="9"/>
        <v>3.9971125863476987E-4</v>
      </c>
      <c r="Z6" s="29">
        <f t="shared" si="10"/>
        <v>3009</v>
      </c>
      <c r="AA6" s="49">
        <f t="shared" si="11"/>
        <v>9.8411483629156481E-3</v>
      </c>
      <c r="AB6" s="14">
        <f t="shared" si="12"/>
        <v>6576</v>
      </c>
      <c r="AC6" s="276">
        <f t="shared" si="13"/>
        <v>312333</v>
      </c>
      <c r="AD6" s="146">
        <v>6862</v>
      </c>
      <c r="AE6" s="136">
        <v>312619</v>
      </c>
      <c r="AF6" s="146">
        <f t="shared" si="14"/>
        <v>286</v>
      </c>
      <c r="AG6" s="14">
        <v>312333</v>
      </c>
      <c r="AH6" s="55">
        <f t="shared" si="15"/>
        <v>8.3146932448319166E-2</v>
      </c>
      <c r="AI6" s="18"/>
      <c r="AJ6" s="18"/>
      <c r="AK6" s="18"/>
      <c r="AL6" s="18"/>
      <c r="AM6" s="18"/>
      <c r="AN6" s="18"/>
      <c r="AO6" s="18"/>
      <c r="AP6" s="18"/>
    </row>
    <row r="7" spans="1:42" s="90" customFormat="1" x14ac:dyDescent="0.25">
      <c r="A7" s="71" t="s">
        <v>4</v>
      </c>
      <c r="B7" s="72">
        <v>1</v>
      </c>
      <c r="C7" s="283">
        <v>457872</v>
      </c>
      <c r="D7" s="185">
        <v>4100</v>
      </c>
      <c r="E7" s="171">
        <v>4384</v>
      </c>
      <c r="F7" s="179"/>
      <c r="G7" s="338"/>
      <c r="H7" s="173">
        <f t="shared" si="0"/>
        <v>466356</v>
      </c>
      <c r="I7" s="172">
        <f t="shared" si="1"/>
        <v>1.8529195932487585E-2</v>
      </c>
      <c r="J7" s="15"/>
      <c r="K7" s="15"/>
      <c r="L7" s="15">
        <v>10604</v>
      </c>
      <c r="M7" s="15"/>
      <c r="N7" s="170">
        <f t="shared" si="2"/>
        <v>10604</v>
      </c>
      <c r="O7" s="170">
        <f t="shared" si="3"/>
        <v>476960</v>
      </c>
      <c r="P7" s="282">
        <f t="shared" si="4"/>
        <v>2.2737994150391572E-2</v>
      </c>
      <c r="Q7" s="281">
        <v>457872</v>
      </c>
      <c r="R7" s="280">
        <f t="shared" si="5"/>
        <v>1.116760975609756E-3</v>
      </c>
      <c r="S7" s="279"/>
      <c r="T7" s="278">
        <f t="shared" si="6"/>
        <v>0</v>
      </c>
      <c r="U7" s="277"/>
      <c r="V7" s="95">
        <f t="shared" si="7"/>
        <v>5564</v>
      </c>
      <c r="W7" s="49">
        <f t="shared" si="8"/>
        <v>1.1665548473666555E-2</v>
      </c>
      <c r="X7" s="380">
        <v>6256.5</v>
      </c>
      <c r="Y7" s="144">
        <f t="shared" si="9"/>
        <v>3.9488291325571415E-4</v>
      </c>
      <c r="Z7" s="29">
        <f t="shared" si="10"/>
        <v>2973</v>
      </c>
      <c r="AA7" s="49">
        <f t="shared" si="11"/>
        <v>6.2332271049983226E-3</v>
      </c>
      <c r="AB7" s="14">
        <f t="shared" si="12"/>
        <v>8537</v>
      </c>
      <c r="AC7" s="276">
        <f t="shared" si="13"/>
        <v>485497</v>
      </c>
      <c r="AD7" s="146">
        <v>11185</v>
      </c>
      <c r="AE7" s="136">
        <v>488145</v>
      </c>
      <c r="AF7" s="146">
        <f t="shared" si="14"/>
        <v>2648</v>
      </c>
      <c r="AG7" s="14">
        <v>485497</v>
      </c>
      <c r="AH7" s="55">
        <f t="shared" si="15"/>
        <v>6.0333455638256872E-2</v>
      </c>
      <c r="AI7" s="18"/>
      <c r="AJ7" s="18"/>
      <c r="AK7" s="18"/>
      <c r="AL7" s="18"/>
      <c r="AM7" s="18"/>
      <c r="AN7" s="18"/>
      <c r="AO7" s="18"/>
      <c r="AP7" s="18"/>
    </row>
    <row r="8" spans="1:42" s="90" customFormat="1" x14ac:dyDescent="0.25">
      <c r="A8" s="71" t="s">
        <v>5</v>
      </c>
      <c r="B8" s="72">
        <v>2</v>
      </c>
      <c r="C8" s="283">
        <v>663029</v>
      </c>
      <c r="D8" s="174">
        <v>7097</v>
      </c>
      <c r="E8" s="171">
        <v>4877</v>
      </c>
      <c r="F8" s="179"/>
      <c r="G8" s="338"/>
      <c r="H8" s="173">
        <f t="shared" si="0"/>
        <v>675003</v>
      </c>
      <c r="I8" s="172">
        <f t="shared" si="1"/>
        <v>1.805954189032466E-2</v>
      </c>
      <c r="J8" s="15"/>
      <c r="K8" s="15"/>
      <c r="L8" s="15">
        <v>14847</v>
      </c>
      <c r="M8" s="15"/>
      <c r="N8" s="170">
        <f t="shared" si="2"/>
        <v>14847</v>
      </c>
      <c r="O8" s="170">
        <f t="shared" si="3"/>
        <v>689850</v>
      </c>
      <c r="P8" s="282">
        <f t="shared" si="4"/>
        <v>2.1995457797965301E-2</v>
      </c>
      <c r="Q8" s="281">
        <v>663029</v>
      </c>
      <c r="R8" s="280">
        <f t="shared" si="5"/>
        <v>1.6171439024390245E-3</v>
      </c>
      <c r="S8" s="279"/>
      <c r="T8" s="278">
        <f t="shared" si="6"/>
        <v>0</v>
      </c>
      <c r="U8" s="277"/>
      <c r="V8" s="95">
        <f t="shared" si="7"/>
        <v>8048</v>
      </c>
      <c r="W8" s="49">
        <f t="shared" si="8"/>
        <v>1.1666304269043994E-2</v>
      </c>
      <c r="X8" s="380">
        <v>19477.5</v>
      </c>
      <c r="Y8" s="144">
        <f t="shared" si="9"/>
        <v>1.2293346028831092E-3</v>
      </c>
      <c r="Z8" s="29">
        <f t="shared" si="10"/>
        <v>9254</v>
      </c>
      <c r="AA8" s="49">
        <f t="shared" si="11"/>
        <v>1.341451040081177E-2</v>
      </c>
      <c r="AB8" s="14">
        <f t="shared" si="12"/>
        <v>17302</v>
      </c>
      <c r="AC8" s="276">
        <f t="shared" si="13"/>
        <v>707152</v>
      </c>
      <c r="AD8" s="146">
        <v>15681</v>
      </c>
      <c r="AE8" s="136">
        <v>752696</v>
      </c>
      <c r="AF8" s="146">
        <f t="shared" si="14"/>
        <v>45544</v>
      </c>
      <c r="AG8" s="14">
        <v>707152</v>
      </c>
      <c r="AH8" s="55">
        <f t="shared" si="15"/>
        <v>6.6547617072556298E-2</v>
      </c>
      <c r="AI8" s="18"/>
      <c r="AJ8" s="18"/>
      <c r="AK8" s="18"/>
      <c r="AL8" s="18"/>
      <c r="AM8" s="18"/>
      <c r="AN8" s="18"/>
      <c r="AO8" s="18"/>
      <c r="AP8" s="18"/>
    </row>
    <row r="9" spans="1:42" s="90" customFormat="1" x14ac:dyDescent="0.25">
      <c r="A9" s="71" t="s">
        <v>6</v>
      </c>
      <c r="B9" s="72">
        <v>2</v>
      </c>
      <c r="C9" s="283">
        <v>460671</v>
      </c>
      <c r="D9" s="174">
        <v>3675</v>
      </c>
      <c r="E9" s="171">
        <v>4427</v>
      </c>
      <c r="F9" s="179"/>
      <c r="G9" s="338"/>
      <c r="H9" s="173">
        <f t="shared" si="0"/>
        <v>468773</v>
      </c>
      <c r="I9" s="172">
        <f t="shared" si="1"/>
        <v>1.7587388830640593E-2</v>
      </c>
      <c r="J9" s="15">
        <v>1214</v>
      </c>
      <c r="K9" s="15">
        <f>6708-E9</f>
        <v>2281</v>
      </c>
      <c r="L9" s="15">
        <v>7822</v>
      </c>
      <c r="M9" s="15"/>
      <c r="N9" s="170">
        <f t="shared" si="2"/>
        <v>11317</v>
      </c>
      <c r="O9" s="170">
        <f t="shared" si="3"/>
        <v>480090</v>
      </c>
      <c r="P9" s="282">
        <f t="shared" si="4"/>
        <v>2.4141748778193195E-2</v>
      </c>
      <c r="Q9" s="281">
        <v>460671</v>
      </c>
      <c r="R9" s="280">
        <f t="shared" si="5"/>
        <v>1.1235878048780489E-3</v>
      </c>
      <c r="S9" s="279"/>
      <c r="T9" s="278">
        <f t="shared" si="6"/>
        <v>0</v>
      </c>
      <c r="U9" s="277"/>
      <c r="V9" s="95">
        <f t="shared" si="7"/>
        <v>5601</v>
      </c>
      <c r="W9" s="49">
        <f t="shared" si="8"/>
        <v>1.1666562519527588E-2</v>
      </c>
      <c r="X9" s="380">
        <v>12984.5</v>
      </c>
      <c r="Y9" s="144">
        <f t="shared" si="9"/>
        <v>8.1952484410913781E-4</v>
      </c>
      <c r="Z9" s="29">
        <f t="shared" si="10"/>
        <v>6169</v>
      </c>
      <c r="AA9" s="49">
        <f t="shared" si="11"/>
        <v>1.2849674019454686E-2</v>
      </c>
      <c r="AB9" s="14">
        <f t="shared" si="12"/>
        <v>11770</v>
      </c>
      <c r="AC9" s="276">
        <f t="shared" si="13"/>
        <v>491860</v>
      </c>
      <c r="AD9" s="146">
        <v>8964</v>
      </c>
      <c r="AE9" s="136">
        <v>489054</v>
      </c>
      <c r="AF9" s="146">
        <f t="shared" si="14"/>
        <v>-2806</v>
      </c>
      <c r="AG9" s="14">
        <v>489054</v>
      </c>
      <c r="AH9" s="55">
        <f t="shared" si="15"/>
        <v>6.1612300318448554E-2</v>
      </c>
      <c r="AI9" s="18"/>
      <c r="AJ9" s="18"/>
      <c r="AK9" s="18"/>
      <c r="AL9" s="18"/>
      <c r="AM9" s="18"/>
      <c r="AN9" s="18"/>
      <c r="AO9" s="18"/>
      <c r="AP9" s="18"/>
    </row>
    <row r="10" spans="1:42" s="90" customFormat="1" x14ac:dyDescent="0.25">
      <c r="A10" s="71" t="s">
        <v>7</v>
      </c>
      <c r="B10" s="72">
        <v>2</v>
      </c>
      <c r="C10" s="283">
        <v>620259</v>
      </c>
      <c r="D10" s="174">
        <v>5446</v>
      </c>
      <c r="E10" s="171">
        <v>4798</v>
      </c>
      <c r="F10" s="179"/>
      <c r="G10" s="338"/>
      <c r="H10" s="173">
        <f t="shared" si="0"/>
        <v>630503</v>
      </c>
      <c r="I10" s="172">
        <f t="shared" si="1"/>
        <v>1.6515681352467171E-2</v>
      </c>
      <c r="J10" s="15"/>
      <c r="K10" s="15"/>
      <c r="L10" s="15">
        <v>14702</v>
      </c>
      <c r="M10" s="15"/>
      <c r="N10" s="170">
        <f t="shared" si="2"/>
        <v>14702</v>
      </c>
      <c r="O10" s="170">
        <f t="shared" si="3"/>
        <v>645205</v>
      </c>
      <c r="P10" s="282">
        <f t="shared" si="4"/>
        <v>2.3317890636523453E-2</v>
      </c>
      <c r="Q10" s="281">
        <v>620259</v>
      </c>
      <c r="R10" s="280">
        <f t="shared" si="5"/>
        <v>1.5128268292682926E-3</v>
      </c>
      <c r="S10" s="279"/>
      <c r="T10" s="278">
        <f t="shared" si="6"/>
        <v>0</v>
      </c>
      <c r="U10" s="277"/>
      <c r="V10" s="95">
        <f t="shared" si="7"/>
        <v>7527</v>
      </c>
      <c r="W10" s="49">
        <f t="shared" si="8"/>
        <v>1.1666059624460443E-2</v>
      </c>
      <c r="X10" s="380">
        <v>11693</v>
      </c>
      <c r="Y10" s="144">
        <f t="shared" si="9"/>
        <v>7.3801101329802057E-4</v>
      </c>
      <c r="Z10" s="29">
        <f t="shared" si="10"/>
        <v>5555</v>
      </c>
      <c r="AA10" s="49">
        <f t="shared" si="11"/>
        <v>8.6096666950814076E-3</v>
      </c>
      <c r="AB10" s="14">
        <f t="shared" si="12"/>
        <v>13082</v>
      </c>
      <c r="AC10" s="276">
        <f t="shared" si="13"/>
        <v>658287</v>
      </c>
      <c r="AD10" s="146">
        <v>15072</v>
      </c>
      <c r="AE10" s="136">
        <v>660277</v>
      </c>
      <c r="AF10" s="146">
        <f t="shared" si="14"/>
        <v>1990</v>
      </c>
      <c r="AG10" s="14">
        <v>658287</v>
      </c>
      <c r="AH10" s="55">
        <f t="shared" si="15"/>
        <v>6.1309872166304791E-2</v>
      </c>
      <c r="AI10" s="18"/>
      <c r="AJ10" s="18"/>
      <c r="AK10" s="18"/>
      <c r="AL10" s="18"/>
      <c r="AM10" s="18"/>
      <c r="AN10" s="18"/>
      <c r="AO10" s="18"/>
      <c r="AP10" s="18"/>
    </row>
    <row r="11" spans="1:42" s="90" customFormat="1" x14ac:dyDescent="0.25">
      <c r="A11" s="71" t="s">
        <v>8</v>
      </c>
      <c r="B11" s="72">
        <v>2</v>
      </c>
      <c r="C11" s="283">
        <v>512702</v>
      </c>
      <c r="D11" s="174">
        <v>3804</v>
      </c>
      <c r="E11" s="171">
        <v>4512</v>
      </c>
      <c r="F11" s="179"/>
      <c r="G11" s="338">
        <v>20964</v>
      </c>
      <c r="H11" s="173">
        <f t="shared" si="0"/>
        <v>521018</v>
      </c>
      <c r="I11" s="172">
        <f t="shared" si="1"/>
        <v>1.6219948430082232E-2</v>
      </c>
      <c r="J11" s="15">
        <v>1483</v>
      </c>
      <c r="K11" s="15"/>
      <c r="L11" s="15">
        <v>11638</v>
      </c>
      <c r="M11" s="15"/>
      <c r="N11" s="170">
        <f t="shared" si="2"/>
        <v>13121</v>
      </c>
      <c r="O11" s="170">
        <f t="shared" si="3"/>
        <v>534139</v>
      </c>
      <c r="P11" s="282">
        <f t="shared" si="4"/>
        <v>2.5183390976895259E-2</v>
      </c>
      <c r="Q11" s="281">
        <v>512702</v>
      </c>
      <c r="R11" s="280">
        <f t="shared" si="5"/>
        <v>1.2504926829268292E-3</v>
      </c>
      <c r="S11" s="279"/>
      <c r="T11" s="278">
        <f t="shared" si="6"/>
        <v>0</v>
      </c>
      <c r="U11" s="277"/>
      <c r="V11" s="95">
        <f t="shared" si="7"/>
        <v>6231</v>
      </c>
      <c r="W11" s="49">
        <f t="shared" si="8"/>
        <v>1.1665502799833003E-2</v>
      </c>
      <c r="X11" s="380">
        <v>12910.5</v>
      </c>
      <c r="Y11" s="144">
        <f t="shared" si="9"/>
        <v>8.1485428779475705E-4</v>
      </c>
      <c r="Z11" s="29">
        <f t="shared" si="10"/>
        <v>6134</v>
      </c>
      <c r="AA11" s="49">
        <f t="shared" si="11"/>
        <v>1.1483902130344349E-2</v>
      </c>
      <c r="AB11" s="14">
        <f t="shared" si="12"/>
        <v>12365</v>
      </c>
      <c r="AC11" s="276">
        <f t="shared" si="13"/>
        <v>546504</v>
      </c>
      <c r="AD11" s="146">
        <v>11318</v>
      </c>
      <c r="AE11" s="136">
        <v>545457</v>
      </c>
      <c r="AF11" s="146">
        <f t="shared" si="14"/>
        <v>-1047</v>
      </c>
      <c r="AG11" s="14">
        <v>545457</v>
      </c>
      <c r="AH11" s="55">
        <f t="shared" si="15"/>
        <v>6.3887014289002231E-2</v>
      </c>
      <c r="AI11" s="18"/>
      <c r="AJ11" s="18"/>
      <c r="AK11" s="18"/>
      <c r="AL11" s="18"/>
      <c r="AM11" s="18"/>
      <c r="AN11" s="18"/>
      <c r="AO11" s="18"/>
      <c r="AP11" s="18"/>
    </row>
    <row r="12" spans="1:42" s="90" customFormat="1" x14ac:dyDescent="0.25">
      <c r="A12" s="71" t="s">
        <v>9</v>
      </c>
      <c r="B12" s="72">
        <v>2</v>
      </c>
      <c r="C12" s="283">
        <v>498452</v>
      </c>
      <c r="D12" s="174">
        <v>3372</v>
      </c>
      <c r="E12" s="171">
        <v>6724</v>
      </c>
      <c r="F12" s="179"/>
      <c r="G12" s="338"/>
      <c r="H12" s="173">
        <f t="shared" si="0"/>
        <v>508548</v>
      </c>
      <c r="I12" s="172">
        <f t="shared" si="1"/>
        <v>2.0254708577756686E-2</v>
      </c>
      <c r="J12" s="15">
        <v>7604</v>
      </c>
      <c r="K12" s="15">
        <v>1845</v>
      </c>
      <c r="L12" s="15">
        <v>9049</v>
      </c>
      <c r="M12" s="15">
        <v>30000</v>
      </c>
      <c r="N12" s="170">
        <f t="shared" si="2"/>
        <v>48498</v>
      </c>
      <c r="O12" s="170">
        <f t="shared" si="3"/>
        <v>557046</v>
      </c>
      <c r="P12" s="282">
        <f t="shared" si="4"/>
        <v>9.5365629203143065E-2</v>
      </c>
      <c r="Q12" s="281">
        <v>498452</v>
      </c>
      <c r="R12" s="280">
        <f t="shared" si="5"/>
        <v>1.2157365853658537E-3</v>
      </c>
      <c r="S12" s="279"/>
      <c r="T12" s="278">
        <f t="shared" si="6"/>
        <v>0</v>
      </c>
      <c r="U12" s="277"/>
      <c r="V12" s="95">
        <f t="shared" si="7"/>
        <v>6498</v>
      </c>
      <c r="W12" s="49">
        <f t="shared" si="8"/>
        <v>1.1665104856690471E-2</v>
      </c>
      <c r="X12" s="380">
        <v>12114</v>
      </c>
      <c r="Y12" s="144">
        <f t="shared" si="9"/>
        <v>7.6458269178929456E-4</v>
      </c>
      <c r="Z12" s="29">
        <f t="shared" si="10"/>
        <v>5755</v>
      </c>
      <c r="AA12" s="49">
        <f t="shared" si="11"/>
        <v>1.0331283233341591E-2</v>
      </c>
      <c r="AB12" s="14">
        <f t="shared" si="12"/>
        <v>12253</v>
      </c>
      <c r="AC12" s="276">
        <f t="shared" si="13"/>
        <v>569299</v>
      </c>
      <c r="AD12" s="146">
        <v>9443</v>
      </c>
      <c r="AE12" s="136">
        <v>566489</v>
      </c>
      <c r="AF12" s="146">
        <f t="shared" si="14"/>
        <v>-2810</v>
      </c>
      <c r="AG12" s="14">
        <v>566489</v>
      </c>
      <c r="AH12" s="55">
        <f t="shared" si="15"/>
        <v>0.13649659345333154</v>
      </c>
      <c r="AI12" s="18"/>
      <c r="AJ12" s="18"/>
      <c r="AK12" s="18"/>
      <c r="AL12" s="18"/>
      <c r="AM12" s="18"/>
      <c r="AN12" s="18"/>
      <c r="AO12" s="18"/>
      <c r="AP12" s="18"/>
    </row>
    <row r="13" spans="1:42" s="90" customFormat="1" x14ac:dyDescent="0.25">
      <c r="A13" s="71" t="s">
        <v>10</v>
      </c>
      <c r="B13" s="72">
        <v>2</v>
      </c>
      <c r="C13" s="283">
        <v>460067</v>
      </c>
      <c r="D13" s="174">
        <v>3918</v>
      </c>
      <c r="E13" s="171">
        <v>3405</v>
      </c>
      <c r="F13" s="179"/>
      <c r="G13" s="338"/>
      <c r="H13" s="173">
        <f t="shared" si="0"/>
        <v>467390</v>
      </c>
      <c r="I13" s="172">
        <f t="shared" si="1"/>
        <v>1.591724683578688E-2</v>
      </c>
      <c r="J13" s="15"/>
      <c r="K13" s="15"/>
      <c r="L13" s="15">
        <v>11802</v>
      </c>
      <c r="M13" s="15"/>
      <c r="N13" s="170">
        <f t="shared" si="2"/>
        <v>11802</v>
      </c>
      <c r="O13" s="170">
        <f t="shared" si="3"/>
        <v>479192</v>
      </c>
      <c r="P13" s="282">
        <f t="shared" si="4"/>
        <v>2.5250861165194038E-2</v>
      </c>
      <c r="Q13" s="281">
        <v>460067</v>
      </c>
      <c r="R13" s="280">
        <f t="shared" si="5"/>
        <v>1.1221146341463416E-3</v>
      </c>
      <c r="S13" s="279"/>
      <c r="T13" s="278">
        <f t="shared" si="6"/>
        <v>0</v>
      </c>
      <c r="U13" s="277"/>
      <c r="V13" s="95">
        <f t="shared" si="7"/>
        <v>5590</v>
      </c>
      <c r="W13" s="49">
        <f t="shared" si="8"/>
        <v>1.1665470208183776E-2</v>
      </c>
      <c r="X13" s="380">
        <v>11742.5</v>
      </c>
      <c r="Y13" s="144">
        <f t="shared" si="9"/>
        <v>7.4113523677858608E-4</v>
      </c>
      <c r="Z13" s="29">
        <f t="shared" si="10"/>
        <v>5579</v>
      </c>
      <c r="AA13" s="49">
        <f t="shared" si="11"/>
        <v>1.1642514900081804E-2</v>
      </c>
      <c r="AB13" s="14">
        <f t="shared" si="12"/>
        <v>11169</v>
      </c>
      <c r="AC13" s="276">
        <f t="shared" si="13"/>
        <v>490361</v>
      </c>
      <c r="AD13" s="146">
        <v>11266</v>
      </c>
      <c r="AE13" s="136">
        <v>490458</v>
      </c>
      <c r="AF13" s="146">
        <f t="shared" si="14"/>
        <v>97</v>
      </c>
      <c r="AG13" s="14">
        <v>490361</v>
      </c>
      <c r="AH13" s="55">
        <f t="shared" si="15"/>
        <v>6.5846930990486108E-2</v>
      </c>
      <c r="AI13" s="18"/>
      <c r="AJ13" s="18"/>
      <c r="AK13" s="18"/>
      <c r="AL13" s="18"/>
      <c r="AM13" s="18"/>
      <c r="AN13" s="18"/>
      <c r="AO13" s="18"/>
      <c r="AP13" s="18"/>
    </row>
    <row r="14" spans="1:42" s="90" customFormat="1" ht="12.75" customHeight="1" x14ac:dyDescent="0.25">
      <c r="A14" s="71" t="s">
        <v>11</v>
      </c>
      <c r="B14" s="72">
        <v>2</v>
      </c>
      <c r="C14" s="283">
        <v>496714</v>
      </c>
      <c r="D14" s="174">
        <v>4455</v>
      </c>
      <c r="E14" s="171">
        <v>7432</v>
      </c>
      <c r="F14" s="179"/>
      <c r="G14" s="338"/>
      <c r="H14" s="173">
        <f t="shared" si="0"/>
        <v>508601</v>
      </c>
      <c r="I14" s="172">
        <f t="shared" si="1"/>
        <v>2.3931276348160058E-2</v>
      </c>
      <c r="J14" s="15"/>
      <c r="K14" s="15"/>
      <c r="L14" s="15">
        <v>11166</v>
      </c>
      <c r="M14" s="15">
        <v>65616</v>
      </c>
      <c r="N14" s="170">
        <f t="shared" si="2"/>
        <v>76782</v>
      </c>
      <c r="O14" s="170">
        <f t="shared" si="3"/>
        <v>585383</v>
      </c>
      <c r="P14" s="282">
        <f t="shared" si="4"/>
        <v>0.15096706455551612</v>
      </c>
      <c r="Q14" s="281">
        <v>496714</v>
      </c>
      <c r="R14" s="280">
        <f t="shared" si="5"/>
        <v>1.2114975609756097E-3</v>
      </c>
      <c r="S14" s="279"/>
      <c r="T14" s="278">
        <f t="shared" si="6"/>
        <v>0</v>
      </c>
      <c r="U14" s="277"/>
      <c r="V14" s="95">
        <f t="shared" si="7"/>
        <v>6829</v>
      </c>
      <c r="W14" s="49">
        <f t="shared" si="8"/>
        <v>1.1665866620656903E-2</v>
      </c>
      <c r="X14" s="380">
        <v>13919.5</v>
      </c>
      <c r="Y14" s="144">
        <f t="shared" si="9"/>
        <v>8.7853795429759666E-4</v>
      </c>
      <c r="Z14" s="29">
        <f t="shared" si="10"/>
        <v>6613</v>
      </c>
      <c r="AA14" s="49">
        <f t="shared" si="11"/>
        <v>1.129687742896531E-2</v>
      </c>
      <c r="AB14" s="14">
        <f t="shared" si="12"/>
        <v>13442</v>
      </c>
      <c r="AC14" s="276">
        <f t="shared" si="13"/>
        <v>598825</v>
      </c>
      <c r="AD14" s="146">
        <v>10920</v>
      </c>
      <c r="AE14" s="136">
        <v>596303</v>
      </c>
      <c r="AF14" s="146">
        <f t="shared" si="14"/>
        <v>-2522</v>
      </c>
      <c r="AG14" s="14">
        <v>596303</v>
      </c>
      <c r="AH14" s="55">
        <f t="shared" si="15"/>
        <v>0.20049565746083253</v>
      </c>
      <c r="AI14" s="18"/>
      <c r="AJ14" s="18"/>
      <c r="AK14" s="18"/>
      <c r="AL14" s="18"/>
      <c r="AM14" s="18"/>
      <c r="AN14" s="18"/>
      <c r="AO14" s="18"/>
      <c r="AP14" s="18"/>
    </row>
    <row r="15" spans="1:42" s="90" customFormat="1" x14ac:dyDescent="0.25">
      <c r="A15" s="71" t="s">
        <v>12</v>
      </c>
      <c r="B15" s="72">
        <v>2</v>
      </c>
      <c r="C15" s="283">
        <v>552802</v>
      </c>
      <c r="D15" s="174">
        <v>4753</v>
      </c>
      <c r="E15" s="171">
        <v>6538</v>
      </c>
      <c r="F15" s="179"/>
      <c r="G15" s="338"/>
      <c r="H15" s="173">
        <f t="shared" si="0"/>
        <v>564093</v>
      </c>
      <c r="I15" s="172">
        <f t="shared" si="1"/>
        <v>2.0425034641698092E-2</v>
      </c>
      <c r="J15" s="15"/>
      <c r="K15" s="15">
        <f>814-614</f>
        <v>200</v>
      </c>
      <c r="L15" s="15">
        <v>10339</v>
      </c>
      <c r="M15" s="15"/>
      <c r="N15" s="170">
        <f t="shared" si="2"/>
        <v>10539</v>
      </c>
      <c r="O15" s="170">
        <f t="shared" si="3"/>
        <v>574632</v>
      </c>
      <c r="P15" s="282">
        <f t="shared" si="4"/>
        <v>1.8683089490562743E-2</v>
      </c>
      <c r="Q15" s="281">
        <v>552802</v>
      </c>
      <c r="R15" s="280">
        <f t="shared" si="5"/>
        <v>1.3482975609756098E-3</v>
      </c>
      <c r="S15" s="279"/>
      <c r="T15" s="278">
        <f t="shared" si="6"/>
        <v>0</v>
      </c>
      <c r="U15" s="277"/>
      <c r="V15" s="95">
        <f t="shared" si="7"/>
        <v>6703</v>
      </c>
      <c r="W15" s="49">
        <f t="shared" si="8"/>
        <v>1.1664856812707959E-2</v>
      </c>
      <c r="X15" s="380">
        <v>16302</v>
      </c>
      <c r="Y15" s="144">
        <f t="shared" si="9"/>
        <v>1.0289109329328942E-3</v>
      </c>
      <c r="Z15" s="29">
        <f t="shared" si="10"/>
        <v>7745</v>
      </c>
      <c r="AA15" s="49">
        <f t="shared" si="11"/>
        <v>1.3478191259797575E-2</v>
      </c>
      <c r="AB15" s="14">
        <f t="shared" si="12"/>
        <v>14448</v>
      </c>
      <c r="AC15" s="276">
        <f t="shared" si="13"/>
        <v>589080</v>
      </c>
      <c r="AD15" s="146">
        <v>10735</v>
      </c>
      <c r="AE15" s="136">
        <v>603132</v>
      </c>
      <c r="AF15" s="146">
        <f t="shared" si="14"/>
        <v>14052</v>
      </c>
      <c r="AG15" s="14">
        <v>589080</v>
      </c>
      <c r="AH15" s="55">
        <f t="shared" si="15"/>
        <v>6.5625667056197434E-2</v>
      </c>
      <c r="AI15" s="18"/>
      <c r="AJ15" s="18"/>
      <c r="AK15" s="18"/>
      <c r="AL15" s="18"/>
      <c r="AM15" s="18"/>
      <c r="AN15" s="18"/>
      <c r="AO15" s="18"/>
      <c r="AP15" s="18"/>
    </row>
    <row r="16" spans="1:42" s="90" customFormat="1" x14ac:dyDescent="0.25">
      <c r="A16" s="71" t="s">
        <v>13</v>
      </c>
      <c r="B16" s="72">
        <v>2</v>
      </c>
      <c r="C16" s="283">
        <v>466416</v>
      </c>
      <c r="D16" s="174">
        <v>4241</v>
      </c>
      <c r="E16" s="171">
        <v>3868</v>
      </c>
      <c r="F16" s="179"/>
      <c r="G16" s="338"/>
      <c r="H16" s="173">
        <f t="shared" si="0"/>
        <v>474525</v>
      </c>
      <c r="I16" s="172">
        <f t="shared" si="1"/>
        <v>1.7385767212102499E-2</v>
      </c>
      <c r="J16" s="15">
        <v>3985</v>
      </c>
      <c r="K16" s="15">
        <v>1568</v>
      </c>
      <c r="L16" s="15">
        <v>11610</v>
      </c>
      <c r="M16" s="15"/>
      <c r="N16" s="170">
        <f t="shared" si="2"/>
        <v>17163</v>
      </c>
      <c r="O16" s="170">
        <f t="shared" si="3"/>
        <v>491688</v>
      </c>
      <c r="P16" s="282">
        <f t="shared" si="4"/>
        <v>3.6168800379326793E-2</v>
      </c>
      <c r="Q16" s="281">
        <v>466416</v>
      </c>
      <c r="R16" s="280">
        <f t="shared" si="5"/>
        <v>1.1375999999999999E-3</v>
      </c>
      <c r="S16" s="279"/>
      <c r="T16" s="278">
        <f t="shared" si="6"/>
        <v>0</v>
      </c>
      <c r="U16" s="277"/>
      <c r="V16" s="95">
        <f t="shared" si="7"/>
        <v>5736</v>
      </c>
      <c r="W16" s="49">
        <f t="shared" si="8"/>
        <v>1.1665934495045639E-2</v>
      </c>
      <c r="X16" s="380">
        <v>9265</v>
      </c>
      <c r="Y16" s="144">
        <f t="shared" si="9"/>
        <v>5.8476627368563765E-4</v>
      </c>
      <c r="Z16" s="29">
        <f t="shared" si="10"/>
        <v>4402</v>
      </c>
      <c r="AA16" s="49">
        <f t="shared" si="11"/>
        <v>8.9528318771253321E-3</v>
      </c>
      <c r="AB16" s="14">
        <f t="shared" si="12"/>
        <v>10138</v>
      </c>
      <c r="AC16" s="276">
        <f t="shared" si="13"/>
        <v>501826</v>
      </c>
      <c r="AD16" s="146">
        <v>11455</v>
      </c>
      <c r="AE16" s="136">
        <v>503143</v>
      </c>
      <c r="AF16" s="146">
        <f t="shared" si="14"/>
        <v>1317</v>
      </c>
      <c r="AG16" s="14">
        <v>501826</v>
      </c>
      <c r="AH16" s="55">
        <f t="shared" si="15"/>
        <v>7.5919350965661492E-2</v>
      </c>
      <c r="AI16" s="18"/>
      <c r="AJ16" s="18"/>
      <c r="AK16" s="18"/>
      <c r="AL16" s="18"/>
      <c r="AM16" s="18"/>
      <c r="AN16" s="18"/>
      <c r="AO16" s="18"/>
      <c r="AP16" s="18"/>
    </row>
    <row r="17" spans="1:42" s="90" customFormat="1" x14ac:dyDescent="0.25">
      <c r="A17" s="71" t="s">
        <v>14</v>
      </c>
      <c r="B17" s="72">
        <v>2</v>
      </c>
      <c r="C17" s="283">
        <v>525751</v>
      </c>
      <c r="D17" s="174">
        <v>3528</v>
      </c>
      <c r="E17" s="171">
        <v>12303</v>
      </c>
      <c r="F17" s="179"/>
      <c r="G17" s="338"/>
      <c r="H17" s="173">
        <f t="shared" si="0"/>
        <v>541582</v>
      </c>
      <c r="I17" s="172">
        <f t="shared" si="1"/>
        <v>3.0111212341964233E-2</v>
      </c>
      <c r="J17" s="15"/>
      <c r="K17" s="15"/>
      <c r="L17" s="15">
        <v>10856</v>
      </c>
      <c r="M17" s="15"/>
      <c r="N17" s="170">
        <f t="shared" si="2"/>
        <v>10856</v>
      </c>
      <c r="O17" s="170">
        <f t="shared" si="3"/>
        <v>552438</v>
      </c>
      <c r="P17" s="282">
        <f t="shared" si="4"/>
        <v>2.0044979338308844E-2</v>
      </c>
      <c r="Q17" s="281">
        <v>525751</v>
      </c>
      <c r="R17" s="280">
        <f t="shared" si="5"/>
        <v>1.2823195121951219E-3</v>
      </c>
      <c r="S17" s="279"/>
      <c r="T17" s="278">
        <f t="shared" si="6"/>
        <v>0</v>
      </c>
      <c r="U17" s="277"/>
      <c r="V17" s="95">
        <f t="shared" si="7"/>
        <v>6445</v>
      </c>
      <c r="W17" s="49">
        <f t="shared" si="8"/>
        <v>1.1666467549299651E-2</v>
      </c>
      <c r="X17" s="380">
        <v>17236</v>
      </c>
      <c r="Y17" s="144">
        <f t="shared" si="9"/>
        <v>1.0878609274954829E-3</v>
      </c>
      <c r="Z17" s="29">
        <f t="shared" si="10"/>
        <v>8189</v>
      </c>
      <c r="AA17" s="49">
        <f t="shared" si="11"/>
        <v>1.4823382895456141E-2</v>
      </c>
      <c r="AB17" s="14">
        <f t="shared" si="12"/>
        <v>14634</v>
      </c>
      <c r="AC17" s="276">
        <f t="shared" si="13"/>
        <v>567072</v>
      </c>
      <c r="AD17" s="146">
        <v>10397</v>
      </c>
      <c r="AE17" s="136">
        <v>562835</v>
      </c>
      <c r="AF17" s="146">
        <f t="shared" si="14"/>
        <v>-4237</v>
      </c>
      <c r="AG17" s="14">
        <v>562835</v>
      </c>
      <c r="AH17" s="55">
        <f t="shared" si="15"/>
        <v>7.0535291421224056E-2</v>
      </c>
      <c r="AI17" s="18"/>
      <c r="AJ17" s="18"/>
      <c r="AK17" s="18"/>
      <c r="AL17" s="18"/>
      <c r="AM17" s="18"/>
      <c r="AN17" s="18"/>
      <c r="AO17" s="18"/>
      <c r="AP17" s="18"/>
    </row>
    <row r="18" spans="1:42" s="90" customFormat="1" x14ac:dyDescent="0.25">
      <c r="A18" s="71" t="s">
        <v>15</v>
      </c>
      <c r="B18" s="72">
        <v>2</v>
      </c>
      <c r="C18" s="283">
        <v>741009</v>
      </c>
      <c r="D18" s="174">
        <v>5944</v>
      </c>
      <c r="E18" s="171">
        <v>7856</v>
      </c>
      <c r="F18" s="179"/>
      <c r="G18" s="338"/>
      <c r="H18" s="173">
        <f t="shared" si="0"/>
        <v>754809</v>
      </c>
      <c r="I18" s="172">
        <f t="shared" si="1"/>
        <v>1.862325558798883E-2</v>
      </c>
      <c r="J18" s="15"/>
      <c r="K18" s="15"/>
      <c r="L18" s="15">
        <v>15962</v>
      </c>
      <c r="M18" s="15"/>
      <c r="N18" s="170">
        <f t="shared" si="2"/>
        <v>15962</v>
      </c>
      <c r="O18" s="170">
        <f t="shared" si="3"/>
        <v>770771</v>
      </c>
      <c r="P18" s="282">
        <f t="shared" si="4"/>
        <v>2.1147071643289994E-2</v>
      </c>
      <c r="Q18" s="281">
        <v>741009</v>
      </c>
      <c r="R18" s="280">
        <f t="shared" si="5"/>
        <v>1.807339024390244E-3</v>
      </c>
      <c r="S18" s="279"/>
      <c r="T18" s="278">
        <f t="shared" si="6"/>
        <v>0</v>
      </c>
      <c r="U18" s="277"/>
      <c r="V18" s="95">
        <f t="shared" si="7"/>
        <v>8992</v>
      </c>
      <c r="W18" s="49">
        <f t="shared" si="8"/>
        <v>1.1666240686273874E-2</v>
      </c>
      <c r="X18" s="380">
        <v>16786.5</v>
      </c>
      <c r="Y18" s="144">
        <f t="shared" si="9"/>
        <v>1.0594904536669137E-3</v>
      </c>
      <c r="Z18" s="29">
        <f t="shared" si="10"/>
        <v>7975</v>
      </c>
      <c r="AA18" s="49">
        <f t="shared" si="11"/>
        <v>1.0346782637125683E-2</v>
      </c>
      <c r="AB18" s="14">
        <f t="shared" si="12"/>
        <v>16967</v>
      </c>
      <c r="AC18" s="276">
        <f t="shared" si="13"/>
        <v>787738</v>
      </c>
      <c r="AD18" s="146">
        <v>16024</v>
      </c>
      <c r="AE18" s="136">
        <v>786795</v>
      </c>
      <c r="AF18" s="146">
        <f t="shared" si="14"/>
        <v>-943</v>
      </c>
      <c r="AG18" s="14">
        <v>786795</v>
      </c>
      <c r="AH18" s="55">
        <f t="shared" si="15"/>
        <v>6.1788723213888064E-2</v>
      </c>
      <c r="AI18" s="18"/>
      <c r="AJ18" s="18"/>
      <c r="AK18" s="18"/>
      <c r="AL18" s="18"/>
      <c r="AM18" s="18"/>
      <c r="AN18" s="18"/>
      <c r="AO18" s="18"/>
      <c r="AP18" s="18"/>
    </row>
    <row r="19" spans="1:42" s="90" customFormat="1" x14ac:dyDescent="0.25">
      <c r="A19" s="71" t="s">
        <v>16</v>
      </c>
      <c r="B19" s="72">
        <v>3</v>
      </c>
      <c r="C19" s="283">
        <v>680789</v>
      </c>
      <c r="D19" s="174">
        <v>7430</v>
      </c>
      <c r="E19" s="171">
        <v>9939</v>
      </c>
      <c r="F19" s="179"/>
      <c r="G19" s="338">
        <v>24680</v>
      </c>
      <c r="H19" s="173">
        <f t="shared" si="0"/>
        <v>698158</v>
      </c>
      <c r="I19" s="172">
        <f t="shared" si="1"/>
        <v>2.55130444234557E-2</v>
      </c>
      <c r="J19" s="15">
        <v>3588</v>
      </c>
      <c r="K19" s="15"/>
      <c r="L19" s="15">
        <v>19320</v>
      </c>
      <c r="M19" s="15">
        <f>114472</f>
        <v>114472</v>
      </c>
      <c r="N19" s="170">
        <f t="shared" si="2"/>
        <v>137380</v>
      </c>
      <c r="O19" s="170">
        <f t="shared" si="3"/>
        <v>835538</v>
      </c>
      <c r="P19" s="282">
        <f t="shared" si="4"/>
        <v>0.19677494206182544</v>
      </c>
      <c r="Q19" s="281">
        <v>680789</v>
      </c>
      <c r="R19" s="280">
        <f t="shared" si="5"/>
        <v>1.6604609756097561E-3</v>
      </c>
      <c r="S19" s="279"/>
      <c r="T19" s="278">
        <f t="shared" si="6"/>
        <v>0</v>
      </c>
      <c r="U19" s="277"/>
      <c r="V19" s="95">
        <f t="shared" si="7"/>
        <v>9747</v>
      </c>
      <c r="W19" s="49">
        <f t="shared" si="8"/>
        <v>1.1665537653583679E-2</v>
      </c>
      <c r="X19" s="380">
        <v>33818.5</v>
      </c>
      <c r="Y19" s="144">
        <f t="shared" si="9"/>
        <v>2.1344757934849148E-3</v>
      </c>
      <c r="Z19" s="29">
        <f t="shared" si="10"/>
        <v>16068</v>
      </c>
      <c r="AA19" s="49">
        <f t="shared" si="11"/>
        <v>1.9230723198705505E-2</v>
      </c>
      <c r="AB19" s="14">
        <f t="shared" si="12"/>
        <v>25815</v>
      </c>
      <c r="AC19" s="276">
        <f t="shared" si="13"/>
        <v>861353</v>
      </c>
      <c r="AD19" s="146">
        <v>18597</v>
      </c>
      <c r="AE19" s="136">
        <v>854135</v>
      </c>
      <c r="AF19" s="146">
        <f t="shared" si="14"/>
        <v>-7218</v>
      </c>
      <c r="AG19" s="14">
        <v>854135</v>
      </c>
      <c r="AH19" s="55">
        <f t="shared" si="15"/>
        <v>0.25462514817366322</v>
      </c>
      <c r="AI19" s="18"/>
      <c r="AJ19" s="18"/>
      <c r="AK19" s="18"/>
      <c r="AL19" s="18"/>
      <c r="AM19" s="18"/>
      <c r="AN19" s="18"/>
      <c r="AO19" s="18"/>
      <c r="AP19" s="18"/>
    </row>
    <row r="20" spans="1:42" s="90" customFormat="1" x14ac:dyDescent="0.25">
      <c r="A20" s="71" t="s">
        <v>17</v>
      </c>
      <c r="B20" s="72">
        <v>3</v>
      </c>
      <c r="C20" s="283">
        <v>762973</v>
      </c>
      <c r="D20" s="174">
        <v>4848</v>
      </c>
      <c r="E20" s="171">
        <v>8049</v>
      </c>
      <c r="F20" s="179"/>
      <c r="G20" s="338"/>
      <c r="H20" s="173">
        <f t="shared" si="0"/>
        <v>775870</v>
      </c>
      <c r="I20" s="172">
        <f t="shared" si="1"/>
        <v>1.6903612578688998E-2</v>
      </c>
      <c r="J20" s="15"/>
      <c r="K20" s="15"/>
      <c r="L20" s="15">
        <v>15306</v>
      </c>
      <c r="M20" s="15"/>
      <c r="N20" s="170">
        <f t="shared" si="2"/>
        <v>15306</v>
      </c>
      <c r="O20" s="170">
        <f t="shared" si="3"/>
        <v>791176</v>
      </c>
      <c r="P20" s="282">
        <f t="shared" si="4"/>
        <v>1.9727531674120558E-2</v>
      </c>
      <c r="Q20" s="281">
        <v>762973</v>
      </c>
      <c r="R20" s="280">
        <f t="shared" si="5"/>
        <v>1.8609097560975611E-3</v>
      </c>
      <c r="S20" s="279"/>
      <c r="T20" s="278">
        <f t="shared" si="6"/>
        <v>0</v>
      </c>
      <c r="U20" s="277"/>
      <c r="V20" s="95">
        <f t="shared" si="7"/>
        <v>9230</v>
      </c>
      <c r="W20" s="49">
        <f t="shared" si="8"/>
        <v>1.1666177942708069E-2</v>
      </c>
      <c r="X20" s="380">
        <v>26916</v>
      </c>
      <c r="Y20" s="144">
        <f t="shared" si="9"/>
        <v>1.6988201859171744E-3</v>
      </c>
      <c r="Z20" s="29">
        <f t="shared" si="10"/>
        <v>12788</v>
      </c>
      <c r="AA20" s="49">
        <f t="shared" si="11"/>
        <v>1.6163280989312113E-2</v>
      </c>
      <c r="AB20" s="14">
        <f t="shared" si="12"/>
        <v>22018</v>
      </c>
      <c r="AC20" s="276">
        <f t="shared" si="13"/>
        <v>813194</v>
      </c>
      <c r="AD20" s="146">
        <v>14788</v>
      </c>
      <c r="AE20" s="136">
        <v>805964</v>
      </c>
      <c r="AF20" s="146">
        <f t="shared" si="14"/>
        <v>-7230</v>
      </c>
      <c r="AG20" s="14">
        <v>805964</v>
      </c>
      <c r="AH20" s="55">
        <f t="shared" si="15"/>
        <v>5.634668592466574E-2</v>
      </c>
      <c r="AI20" s="18"/>
      <c r="AJ20" s="18"/>
      <c r="AK20" s="18"/>
      <c r="AL20" s="18"/>
      <c r="AM20" s="18"/>
      <c r="AN20" s="18"/>
      <c r="AO20" s="18"/>
      <c r="AP20" s="18"/>
    </row>
    <row r="21" spans="1:42" s="90" customFormat="1" x14ac:dyDescent="0.25">
      <c r="A21" s="71" t="s">
        <v>18</v>
      </c>
      <c r="B21" s="72">
        <v>3</v>
      </c>
      <c r="C21" s="283">
        <v>1230451</v>
      </c>
      <c r="D21" s="174">
        <v>10386</v>
      </c>
      <c r="E21" s="171">
        <v>15765</v>
      </c>
      <c r="F21" s="179"/>
      <c r="G21" s="338"/>
      <c r="H21" s="173">
        <f t="shared" si="0"/>
        <v>1256602</v>
      </c>
      <c r="I21" s="172">
        <f t="shared" si="1"/>
        <v>2.1253182776071577E-2</v>
      </c>
      <c r="J21" s="15">
        <v>10930</v>
      </c>
      <c r="K21" s="15">
        <v>6141</v>
      </c>
      <c r="L21" s="15">
        <v>30114</v>
      </c>
      <c r="M21" s="15"/>
      <c r="N21" s="170">
        <f t="shared" si="2"/>
        <v>47185</v>
      </c>
      <c r="O21" s="170">
        <f t="shared" si="3"/>
        <v>1303787</v>
      </c>
      <c r="P21" s="282">
        <f t="shared" si="4"/>
        <v>3.7549677622668032E-2</v>
      </c>
      <c r="Q21" s="281">
        <v>1230451</v>
      </c>
      <c r="R21" s="280">
        <f t="shared" si="5"/>
        <v>3.0011E-3</v>
      </c>
      <c r="S21" s="279"/>
      <c r="T21" s="278">
        <f t="shared" si="6"/>
        <v>0</v>
      </c>
      <c r="U21" s="277"/>
      <c r="V21" s="95">
        <f t="shared" si="7"/>
        <v>15209</v>
      </c>
      <c r="W21" s="49">
        <f t="shared" si="8"/>
        <v>1.1665249001562373E-2</v>
      </c>
      <c r="X21" s="380">
        <v>33323.5</v>
      </c>
      <c r="Y21" s="144">
        <f t="shared" si="9"/>
        <v>2.1032335586792599E-3</v>
      </c>
      <c r="Z21" s="29">
        <f t="shared" si="10"/>
        <v>15832</v>
      </c>
      <c r="AA21" s="49">
        <f t="shared" si="11"/>
        <v>1.2143087789646621E-2</v>
      </c>
      <c r="AB21" s="14">
        <f t="shared" si="12"/>
        <v>31041</v>
      </c>
      <c r="AC21" s="276">
        <f t="shared" si="13"/>
        <v>1334828</v>
      </c>
      <c r="AD21" s="146">
        <v>28743</v>
      </c>
      <c r="AE21" s="136">
        <v>1350232</v>
      </c>
      <c r="AF21" s="146">
        <f t="shared" si="14"/>
        <v>15404</v>
      </c>
      <c r="AG21" s="14">
        <v>1334828</v>
      </c>
      <c r="AH21" s="55">
        <f t="shared" si="15"/>
        <v>8.4828245903331378E-2</v>
      </c>
      <c r="AI21" s="18"/>
      <c r="AJ21" s="18"/>
      <c r="AK21" s="18"/>
      <c r="AL21" s="18"/>
      <c r="AM21" s="18"/>
      <c r="AN21" s="18"/>
      <c r="AO21" s="18"/>
      <c r="AP21" s="18"/>
    </row>
    <row r="22" spans="1:42" s="90" customFormat="1" x14ac:dyDescent="0.25">
      <c r="A22" s="71" t="s">
        <v>19</v>
      </c>
      <c r="B22" s="72">
        <v>3</v>
      </c>
      <c r="C22" s="283">
        <v>852932</v>
      </c>
      <c r="D22" s="174">
        <v>5838</v>
      </c>
      <c r="E22" s="171">
        <v>9760</v>
      </c>
      <c r="F22" s="179"/>
      <c r="G22" s="338"/>
      <c r="H22" s="173">
        <f t="shared" si="0"/>
        <v>868530</v>
      </c>
      <c r="I22" s="172">
        <f t="shared" si="1"/>
        <v>1.8287507093179833E-2</v>
      </c>
      <c r="J22" s="15"/>
      <c r="K22" s="15">
        <f>14786-E22</f>
        <v>5026</v>
      </c>
      <c r="L22" s="15">
        <v>16903</v>
      </c>
      <c r="M22" s="15"/>
      <c r="N22" s="170">
        <f t="shared" si="2"/>
        <v>21929</v>
      </c>
      <c r="O22" s="170">
        <f t="shared" si="3"/>
        <v>890459</v>
      </c>
      <c r="P22" s="282">
        <f t="shared" si="4"/>
        <v>2.5248408229997743E-2</v>
      </c>
      <c r="Q22" s="281">
        <v>852932</v>
      </c>
      <c r="R22" s="280">
        <f t="shared" si="5"/>
        <v>2.080321951219512E-3</v>
      </c>
      <c r="S22" s="279"/>
      <c r="T22" s="278">
        <f t="shared" si="6"/>
        <v>0</v>
      </c>
      <c r="U22" s="277"/>
      <c r="V22" s="95">
        <f t="shared" si="7"/>
        <v>10388</v>
      </c>
      <c r="W22" s="49">
        <f t="shared" si="8"/>
        <v>1.1665893657091454E-2</v>
      </c>
      <c r="X22" s="380">
        <v>21067</v>
      </c>
      <c r="Y22" s="144">
        <f t="shared" si="9"/>
        <v>1.3296568902034893E-3</v>
      </c>
      <c r="Z22" s="29">
        <f t="shared" si="10"/>
        <v>10009</v>
      </c>
      <c r="AA22" s="49">
        <f t="shared" si="11"/>
        <v>1.1240270467253404E-2</v>
      </c>
      <c r="AB22" s="14">
        <f t="shared" si="12"/>
        <v>20397</v>
      </c>
      <c r="AC22" s="276">
        <f t="shared" si="13"/>
        <v>910856</v>
      </c>
      <c r="AD22" s="146">
        <v>15793</v>
      </c>
      <c r="AE22" s="136">
        <v>906252</v>
      </c>
      <c r="AF22" s="146">
        <f t="shared" si="14"/>
        <v>-4604</v>
      </c>
      <c r="AG22" s="14">
        <v>906252</v>
      </c>
      <c r="AH22" s="55">
        <f t="shared" si="15"/>
        <v>6.2513776010279853E-2</v>
      </c>
      <c r="AI22" s="18"/>
      <c r="AJ22" s="18"/>
      <c r="AK22" s="18"/>
      <c r="AL22" s="18"/>
      <c r="AM22" s="18"/>
      <c r="AN22" s="18"/>
      <c r="AO22" s="18"/>
      <c r="AP22" s="18"/>
    </row>
    <row r="23" spans="1:42" s="90" customFormat="1" x14ac:dyDescent="0.25">
      <c r="A23" s="71" t="s">
        <v>20</v>
      </c>
      <c r="B23" s="72">
        <v>3</v>
      </c>
      <c r="C23" s="283">
        <v>1197173</v>
      </c>
      <c r="D23" s="174">
        <v>7193</v>
      </c>
      <c r="E23" s="171">
        <v>16148</v>
      </c>
      <c r="F23" s="179"/>
      <c r="G23" s="338"/>
      <c r="H23" s="173">
        <f t="shared" si="0"/>
        <v>1220514</v>
      </c>
      <c r="I23" s="172">
        <f t="shared" si="1"/>
        <v>1.9496764460942506E-2</v>
      </c>
      <c r="J23" s="15">
        <v>3139</v>
      </c>
      <c r="K23" s="15">
        <v>3853</v>
      </c>
      <c r="L23" s="15">
        <v>23730</v>
      </c>
      <c r="M23" s="15"/>
      <c r="N23" s="170">
        <f t="shared" si="2"/>
        <v>30722</v>
      </c>
      <c r="O23" s="170">
        <f t="shared" si="3"/>
        <v>1251236</v>
      </c>
      <c r="P23" s="282">
        <f t="shared" si="4"/>
        <v>2.5171362229355898E-2</v>
      </c>
      <c r="Q23" s="281">
        <v>1197173</v>
      </c>
      <c r="R23" s="280">
        <f t="shared" si="5"/>
        <v>2.9199341463414636E-3</v>
      </c>
      <c r="S23" s="279"/>
      <c r="T23" s="278">
        <f t="shared" si="6"/>
        <v>0</v>
      </c>
      <c r="U23" s="277"/>
      <c r="V23" s="95">
        <f t="shared" si="7"/>
        <v>14596</v>
      </c>
      <c r="W23" s="49">
        <f t="shared" si="8"/>
        <v>1.1665265385586732E-2</v>
      </c>
      <c r="X23" s="380">
        <v>32074</v>
      </c>
      <c r="Y23" s="144">
        <f t="shared" si="9"/>
        <v>2.0243705841546831E-3</v>
      </c>
      <c r="Z23" s="29">
        <f t="shared" si="10"/>
        <v>15239</v>
      </c>
      <c r="AA23" s="49">
        <f t="shared" si="11"/>
        <v>1.217915724931188E-2</v>
      </c>
      <c r="AB23" s="14">
        <f t="shared" si="12"/>
        <v>29835</v>
      </c>
      <c r="AC23" s="276">
        <f t="shared" si="13"/>
        <v>1281071</v>
      </c>
      <c r="AD23" s="146">
        <v>23090</v>
      </c>
      <c r="AE23" s="136">
        <v>1355626</v>
      </c>
      <c r="AF23" s="146">
        <f t="shared" si="14"/>
        <v>74555</v>
      </c>
      <c r="AG23" s="14">
        <v>1281071</v>
      </c>
      <c r="AH23" s="55">
        <f t="shared" si="15"/>
        <v>7.0080097028583088E-2</v>
      </c>
      <c r="AI23" s="18"/>
      <c r="AJ23" s="18"/>
      <c r="AK23" s="18"/>
      <c r="AL23" s="18"/>
      <c r="AM23" s="18"/>
      <c r="AN23" s="18"/>
      <c r="AO23" s="18"/>
      <c r="AP23" s="18"/>
    </row>
    <row r="24" spans="1:42" s="90" customFormat="1" x14ac:dyDescent="0.25">
      <c r="A24" s="71" t="s">
        <v>21</v>
      </c>
      <c r="B24" s="72">
        <v>3</v>
      </c>
      <c r="C24" s="283">
        <v>1040209</v>
      </c>
      <c r="D24" s="174">
        <v>7643</v>
      </c>
      <c r="E24" s="171">
        <v>9863</v>
      </c>
      <c r="F24" s="179"/>
      <c r="G24" s="338"/>
      <c r="H24" s="173">
        <f t="shared" si="0"/>
        <v>1057715</v>
      </c>
      <c r="I24" s="172">
        <f t="shared" si="1"/>
        <v>1.6829310263610564E-2</v>
      </c>
      <c r="J24" s="15"/>
      <c r="K24" s="15"/>
      <c r="L24" s="15">
        <v>24294</v>
      </c>
      <c r="M24" s="15"/>
      <c r="N24" s="170">
        <f t="shared" si="2"/>
        <v>24294</v>
      </c>
      <c r="O24" s="170">
        <f t="shared" si="3"/>
        <v>1082009</v>
      </c>
      <c r="P24" s="282">
        <f t="shared" si="4"/>
        <v>2.296837995112111E-2</v>
      </c>
      <c r="Q24" s="281">
        <v>1040209</v>
      </c>
      <c r="R24" s="280">
        <f t="shared" si="5"/>
        <v>2.5370951219512196E-3</v>
      </c>
      <c r="S24" s="279"/>
      <c r="T24" s="278">
        <f t="shared" si="6"/>
        <v>0</v>
      </c>
      <c r="U24" s="277"/>
      <c r="V24" s="95">
        <f t="shared" si="7"/>
        <v>12622</v>
      </c>
      <c r="W24" s="49">
        <f t="shared" si="8"/>
        <v>1.1665337349319646E-2</v>
      </c>
      <c r="X24" s="380">
        <v>35638.5</v>
      </c>
      <c r="Y24" s="144">
        <f t="shared" si="9"/>
        <v>2.2493462325683319E-3</v>
      </c>
      <c r="Z24" s="29">
        <f t="shared" si="10"/>
        <v>16932</v>
      </c>
      <c r="AA24" s="49">
        <f t="shared" si="11"/>
        <v>1.5648668356732707E-2</v>
      </c>
      <c r="AB24" s="14">
        <f t="shared" si="12"/>
        <v>29554</v>
      </c>
      <c r="AC24" s="276">
        <f t="shared" si="13"/>
        <v>1111563</v>
      </c>
      <c r="AD24" s="146">
        <v>22339</v>
      </c>
      <c r="AE24" s="136">
        <v>1104348</v>
      </c>
      <c r="AF24" s="146">
        <f t="shared" si="14"/>
        <v>-7215</v>
      </c>
      <c r="AG24" s="14">
        <v>1104348</v>
      </c>
      <c r="AH24" s="55">
        <f t="shared" si="15"/>
        <v>6.1659724151588824E-2</v>
      </c>
      <c r="AI24" s="18"/>
      <c r="AJ24" s="18"/>
      <c r="AK24" s="18"/>
      <c r="AL24" s="18"/>
      <c r="AM24" s="18"/>
      <c r="AN24" s="18"/>
      <c r="AO24" s="18"/>
      <c r="AP24" s="18"/>
    </row>
    <row r="25" spans="1:42" s="90" customFormat="1" x14ac:dyDescent="0.25">
      <c r="A25" s="71" t="s">
        <v>22</v>
      </c>
      <c r="B25" s="72">
        <v>3</v>
      </c>
      <c r="C25" s="283">
        <v>1017692</v>
      </c>
      <c r="D25" s="174">
        <v>7855</v>
      </c>
      <c r="E25" s="171">
        <v>11469</v>
      </c>
      <c r="F25" s="179"/>
      <c r="G25" s="338"/>
      <c r="H25" s="173">
        <f t="shared" si="0"/>
        <v>1037016</v>
      </c>
      <c r="I25" s="172">
        <f t="shared" si="1"/>
        <v>1.8988063186111237E-2</v>
      </c>
      <c r="J25" s="15"/>
      <c r="K25" s="15">
        <v>1242</v>
      </c>
      <c r="L25" s="15">
        <v>22804</v>
      </c>
      <c r="M25" s="15">
        <v>39554</v>
      </c>
      <c r="N25" s="170">
        <f t="shared" si="2"/>
        <v>63600</v>
      </c>
      <c r="O25" s="170">
        <f t="shared" si="3"/>
        <v>1100616</v>
      </c>
      <c r="P25" s="282">
        <f t="shared" si="4"/>
        <v>6.1329815547686906E-2</v>
      </c>
      <c r="Q25" s="281">
        <v>1017692</v>
      </c>
      <c r="R25" s="280">
        <f t="shared" si="5"/>
        <v>2.4821756097560977E-3</v>
      </c>
      <c r="S25" s="279"/>
      <c r="T25" s="278">
        <f t="shared" si="6"/>
        <v>0</v>
      </c>
      <c r="U25" s="277"/>
      <c r="V25" s="95">
        <f t="shared" si="7"/>
        <v>12839</v>
      </c>
      <c r="W25" s="49">
        <f t="shared" si="8"/>
        <v>1.1665285621869935E-2</v>
      </c>
      <c r="X25" s="380">
        <v>34643</v>
      </c>
      <c r="Y25" s="144">
        <f t="shared" si="9"/>
        <v>2.1865146270147375E-3</v>
      </c>
      <c r="Z25" s="29">
        <f t="shared" si="10"/>
        <v>16459</v>
      </c>
      <c r="AA25" s="49">
        <f t="shared" si="11"/>
        <v>1.4954352835139595E-2</v>
      </c>
      <c r="AB25" s="14">
        <f t="shared" si="12"/>
        <v>29298</v>
      </c>
      <c r="AC25" s="276">
        <f t="shared" si="13"/>
        <v>1129914</v>
      </c>
      <c r="AD25" s="146">
        <v>22017</v>
      </c>
      <c r="AE25" s="136">
        <v>1122633</v>
      </c>
      <c r="AF25" s="146">
        <f t="shared" si="14"/>
        <v>-7281</v>
      </c>
      <c r="AG25" s="14">
        <v>1122633</v>
      </c>
      <c r="AH25" s="55">
        <f t="shared" si="15"/>
        <v>0.10311666005038855</v>
      </c>
      <c r="AI25" s="18"/>
      <c r="AJ25" s="18"/>
      <c r="AK25" s="18"/>
      <c r="AL25" s="18"/>
      <c r="AM25" s="18"/>
      <c r="AN25" s="18"/>
      <c r="AO25" s="18"/>
      <c r="AP25" s="18"/>
    </row>
    <row r="26" spans="1:42" s="90" customFormat="1" x14ac:dyDescent="0.25">
      <c r="A26" s="71" t="s">
        <v>23</v>
      </c>
      <c r="B26" s="72">
        <v>3</v>
      </c>
      <c r="C26" s="283">
        <v>524791</v>
      </c>
      <c r="D26" s="174">
        <v>3867</v>
      </c>
      <c r="E26" s="171">
        <v>4828</v>
      </c>
      <c r="F26" s="179"/>
      <c r="G26" s="338"/>
      <c r="H26" s="173">
        <f t="shared" si="0"/>
        <v>533486</v>
      </c>
      <c r="I26" s="172">
        <f t="shared" si="1"/>
        <v>1.6568500603097336E-2</v>
      </c>
      <c r="J26" s="15">
        <v>891</v>
      </c>
      <c r="K26" s="15"/>
      <c r="L26" s="15">
        <v>10644</v>
      </c>
      <c r="M26" s="15"/>
      <c r="N26" s="170">
        <f t="shared" si="2"/>
        <v>11535</v>
      </c>
      <c r="O26" s="170">
        <f t="shared" si="3"/>
        <v>545021</v>
      </c>
      <c r="P26" s="282">
        <f t="shared" si="4"/>
        <v>2.1621935720899987E-2</v>
      </c>
      <c r="Q26" s="281">
        <v>524791</v>
      </c>
      <c r="R26" s="280">
        <f t="shared" si="5"/>
        <v>1.2799780487804879E-3</v>
      </c>
      <c r="S26" s="279"/>
      <c r="T26" s="278">
        <f t="shared" si="6"/>
        <v>0</v>
      </c>
      <c r="U26" s="277"/>
      <c r="V26" s="95">
        <f t="shared" si="7"/>
        <v>6358</v>
      </c>
      <c r="W26" s="49">
        <f t="shared" si="8"/>
        <v>1.1665605545474394E-2</v>
      </c>
      <c r="X26" s="380">
        <v>23563.5</v>
      </c>
      <c r="Y26" s="144">
        <f t="shared" si="9"/>
        <v>1.4872250501879677E-3</v>
      </c>
      <c r="Z26" s="29">
        <f t="shared" si="10"/>
        <v>11195</v>
      </c>
      <c r="AA26" s="49">
        <f t="shared" si="11"/>
        <v>2.0540492935134609E-2</v>
      </c>
      <c r="AB26" s="14">
        <f t="shared" si="12"/>
        <v>17553</v>
      </c>
      <c r="AC26" s="276">
        <f t="shared" si="13"/>
        <v>562574</v>
      </c>
      <c r="AD26" s="146">
        <v>11481</v>
      </c>
      <c r="AE26" s="136">
        <v>556502</v>
      </c>
      <c r="AF26" s="146">
        <f t="shared" si="14"/>
        <v>-6072</v>
      </c>
      <c r="AG26" s="14">
        <v>556502</v>
      </c>
      <c r="AH26" s="55">
        <f t="shared" si="15"/>
        <v>6.0425960048857474E-2</v>
      </c>
      <c r="AI26" s="18"/>
      <c r="AJ26" s="18"/>
      <c r="AK26" s="18"/>
      <c r="AL26" s="18"/>
      <c r="AM26" s="18"/>
      <c r="AN26" s="18"/>
      <c r="AO26" s="18"/>
      <c r="AP26" s="18"/>
    </row>
    <row r="27" spans="1:42" s="90" customFormat="1" x14ac:dyDescent="0.25">
      <c r="A27" s="71" t="s">
        <v>24</v>
      </c>
      <c r="B27" s="72">
        <v>3</v>
      </c>
      <c r="C27" s="283">
        <v>1195690</v>
      </c>
      <c r="D27" s="174">
        <v>6988</v>
      </c>
      <c r="E27" s="171">
        <v>17899</v>
      </c>
      <c r="F27" s="179"/>
      <c r="G27" s="338"/>
      <c r="H27" s="173">
        <f t="shared" si="0"/>
        <v>1220577</v>
      </c>
      <c r="I27" s="172">
        <f t="shared" si="1"/>
        <v>2.0813923341334251E-2</v>
      </c>
      <c r="J27" s="15"/>
      <c r="K27" s="15"/>
      <c r="L27" s="15">
        <v>26306</v>
      </c>
      <c r="M27" s="15"/>
      <c r="N27" s="170">
        <f t="shared" si="2"/>
        <v>26306</v>
      </c>
      <c r="O27" s="170">
        <f t="shared" si="3"/>
        <v>1246883</v>
      </c>
      <c r="P27" s="282">
        <f t="shared" si="4"/>
        <v>2.1552101997661666E-2</v>
      </c>
      <c r="Q27" s="281">
        <v>1195690</v>
      </c>
      <c r="R27" s="280">
        <f t="shared" si="5"/>
        <v>2.9163170731707315E-3</v>
      </c>
      <c r="S27" s="279"/>
      <c r="T27" s="278">
        <f t="shared" si="6"/>
        <v>0</v>
      </c>
      <c r="U27" s="277"/>
      <c r="V27" s="95">
        <f t="shared" si="7"/>
        <v>14546</v>
      </c>
      <c r="W27" s="49">
        <f t="shared" si="8"/>
        <v>1.1665890063462249E-2</v>
      </c>
      <c r="X27" s="380">
        <v>31118</v>
      </c>
      <c r="Y27" s="144">
        <f t="shared" si="9"/>
        <v>1.964032045822954E-3</v>
      </c>
      <c r="Z27" s="29">
        <f t="shared" si="10"/>
        <v>14784</v>
      </c>
      <c r="AA27" s="49">
        <f t="shared" si="11"/>
        <v>1.1856766031776839E-2</v>
      </c>
      <c r="AB27" s="14">
        <f t="shared" si="12"/>
        <v>29330</v>
      </c>
      <c r="AC27" s="276">
        <f t="shared" si="13"/>
        <v>1276213</v>
      </c>
      <c r="AD27" s="146">
        <v>26620</v>
      </c>
      <c r="AE27" s="136">
        <v>1273503</v>
      </c>
      <c r="AF27" s="146">
        <f t="shared" si="14"/>
        <v>-2710</v>
      </c>
      <c r="AG27" s="14">
        <v>1273503</v>
      </c>
      <c r="AH27" s="55">
        <f t="shared" si="15"/>
        <v>6.5077904808102494E-2</v>
      </c>
      <c r="AI27" s="18"/>
      <c r="AJ27" s="18"/>
      <c r="AK27" s="18"/>
      <c r="AL27" s="18"/>
      <c r="AM27" s="18"/>
      <c r="AN27" s="18"/>
      <c r="AO27" s="18"/>
      <c r="AP27" s="18"/>
    </row>
    <row r="28" spans="1:42" s="90" customFormat="1" x14ac:dyDescent="0.25">
      <c r="A28" s="71" t="s">
        <v>25</v>
      </c>
      <c r="B28" s="72">
        <v>3</v>
      </c>
      <c r="C28" s="283">
        <v>1088604</v>
      </c>
      <c r="D28" s="174">
        <v>9549</v>
      </c>
      <c r="E28" s="171">
        <v>11849</v>
      </c>
      <c r="F28" s="179"/>
      <c r="G28" s="338"/>
      <c r="H28" s="173">
        <f t="shared" si="0"/>
        <v>1110002</v>
      </c>
      <c r="I28" s="172">
        <f t="shared" si="1"/>
        <v>1.9656367237305794E-2</v>
      </c>
      <c r="J28" s="15">
        <v>5854</v>
      </c>
      <c r="K28" s="15"/>
      <c r="L28" s="15">
        <v>29959</v>
      </c>
      <c r="M28" s="15"/>
      <c r="N28" s="170">
        <f t="shared" si="2"/>
        <v>35813</v>
      </c>
      <c r="O28" s="170">
        <f t="shared" si="3"/>
        <v>1145815</v>
      </c>
      <c r="P28" s="282">
        <f t="shared" si="4"/>
        <v>3.2263905830800299E-2</v>
      </c>
      <c r="Q28" s="281">
        <v>1088604</v>
      </c>
      <c r="R28" s="280">
        <f t="shared" si="5"/>
        <v>2.6551317073170732E-3</v>
      </c>
      <c r="S28" s="279"/>
      <c r="T28" s="278">
        <f t="shared" si="6"/>
        <v>0</v>
      </c>
      <c r="U28" s="277"/>
      <c r="V28" s="95">
        <f t="shared" si="7"/>
        <v>13367</v>
      </c>
      <c r="W28" s="49">
        <f t="shared" si="8"/>
        <v>1.1665932109459206E-2</v>
      </c>
      <c r="X28" s="380">
        <v>32306.5</v>
      </c>
      <c r="Y28" s="144">
        <f t="shared" si="9"/>
        <v>2.0390449671694607E-3</v>
      </c>
      <c r="Z28" s="29">
        <f t="shared" si="10"/>
        <v>15349</v>
      </c>
      <c r="AA28" s="49">
        <f t="shared" si="11"/>
        <v>1.3395705240374756E-2</v>
      </c>
      <c r="AB28" s="14">
        <f t="shared" si="12"/>
        <v>28716</v>
      </c>
      <c r="AC28" s="276">
        <f t="shared" si="13"/>
        <v>1174531</v>
      </c>
      <c r="AD28" s="146">
        <v>26280</v>
      </c>
      <c r="AE28" s="136">
        <v>1172095</v>
      </c>
      <c r="AF28" s="146">
        <f t="shared" si="14"/>
        <v>-2436</v>
      </c>
      <c r="AG28" s="14">
        <v>1172095</v>
      </c>
      <c r="AH28" s="55">
        <f t="shared" si="15"/>
        <v>7.6695474203658964E-2</v>
      </c>
      <c r="AI28" s="18"/>
      <c r="AJ28" s="18"/>
      <c r="AK28" s="18"/>
      <c r="AL28" s="18"/>
      <c r="AM28" s="18"/>
      <c r="AN28" s="18"/>
      <c r="AO28" s="18"/>
      <c r="AP28" s="18"/>
    </row>
    <row r="29" spans="1:42" s="90" customFormat="1" x14ac:dyDescent="0.25">
      <c r="A29" s="71" t="s">
        <v>26</v>
      </c>
      <c r="B29" s="72">
        <v>3</v>
      </c>
      <c r="C29" s="283">
        <v>644175</v>
      </c>
      <c r="D29" s="174">
        <v>4906</v>
      </c>
      <c r="E29" s="171">
        <v>13081</v>
      </c>
      <c r="F29" s="179"/>
      <c r="G29" s="338"/>
      <c r="H29" s="173">
        <f t="shared" si="0"/>
        <v>662162</v>
      </c>
      <c r="I29" s="172">
        <f t="shared" si="1"/>
        <v>2.7922536577793311E-2</v>
      </c>
      <c r="J29" s="15"/>
      <c r="K29" s="15"/>
      <c r="L29" s="15">
        <v>13377</v>
      </c>
      <c r="M29" s="15"/>
      <c r="N29" s="170">
        <f t="shared" si="2"/>
        <v>13377</v>
      </c>
      <c r="O29" s="170">
        <f t="shared" si="3"/>
        <v>675539</v>
      </c>
      <c r="P29" s="282">
        <f t="shared" si="4"/>
        <v>2.0202004947429852E-2</v>
      </c>
      <c r="Q29" s="281">
        <v>644175</v>
      </c>
      <c r="R29" s="280">
        <f t="shared" si="5"/>
        <v>1.5711585365853658E-3</v>
      </c>
      <c r="S29" s="279"/>
      <c r="T29" s="278">
        <f t="shared" si="6"/>
        <v>0</v>
      </c>
      <c r="U29" s="277"/>
      <c r="V29" s="95">
        <f t="shared" si="7"/>
        <v>7881</v>
      </c>
      <c r="W29" s="49">
        <f t="shared" si="8"/>
        <v>1.1666239846996251E-2</v>
      </c>
      <c r="X29" s="380">
        <v>20822.5</v>
      </c>
      <c r="Y29" s="144">
        <f t="shared" si="9"/>
        <v>1.3142251196782719E-3</v>
      </c>
      <c r="Z29" s="29">
        <f t="shared" si="10"/>
        <v>9893</v>
      </c>
      <c r="AA29" s="49">
        <f t="shared" si="11"/>
        <v>1.4644602310155299E-2</v>
      </c>
      <c r="AB29" s="14">
        <f t="shared" si="12"/>
        <v>17774</v>
      </c>
      <c r="AC29" s="276">
        <f t="shared" si="13"/>
        <v>693313</v>
      </c>
      <c r="AD29" s="146">
        <v>13162</v>
      </c>
      <c r="AE29" s="136">
        <v>688701</v>
      </c>
      <c r="AF29" s="146">
        <f t="shared" si="14"/>
        <v>-4612</v>
      </c>
      <c r="AG29" s="14">
        <v>688701</v>
      </c>
      <c r="AH29" s="55">
        <f t="shared" si="15"/>
        <v>6.912096868087092E-2</v>
      </c>
      <c r="AI29" s="18"/>
      <c r="AJ29" s="18"/>
      <c r="AK29" s="18"/>
      <c r="AL29" s="18"/>
      <c r="AM29" s="18"/>
      <c r="AN29" s="18"/>
      <c r="AO29" s="18"/>
      <c r="AP29" s="18"/>
    </row>
    <row r="30" spans="1:42" s="90" customFormat="1" x14ac:dyDescent="0.25">
      <c r="A30" s="71" t="s">
        <v>27</v>
      </c>
      <c r="B30" s="72">
        <v>4</v>
      </c>
      <c r="C30" s="283">
        <v>2712182</v>
      </c>
      <c r="D30" s="174">
        <v>23995</v>
      </c>
      <c r="E30" s="171">
        <v>26072</v>
      </c>
      <c r="F30" s="179">
        <v>51425</v>
      </c>
      <c r="G30" s="338"/>
      <c r="H30" s="173">
        <f t="shared" si="0"/>
        <v>2813674</v>
      </c>
      <c r="I30" s="172">
        <f t="shared" si="1"/>
        <v>3.7420792557431692E-2</v>
      </c>
      <c r="J30" s="15">
        <v>7052</v>
      </c>
      <c r="K30" s="15"/>
      <c r="L30" s="15">
        <v>84052</v>
      </c>
      <c r="M30" s="15"/>
      <c r="N30" s="170">
        <f t="shared" si="2"/>
        <v>91104</v>
      </c>
      <c r="O30" s="170">
        <f t="shared" si="3"/>
        <v>2904778</v>
      </c>
      <c r="P30" s="282">
        <f t="shared" si="4"/>
        <v>3.237901761184836E-2</v>
      </c>
      <c r="Q30" s="281">
        <v>2712182</v>
      </c>
      <c r="R30" s="280">
        <f t="shared" si="5"/>
        <v>6.6150780487804874E-3</v>
      </c>
      <c r="S30" s="279">
        <v>2712182</v>
      </c>
      <c r="T30" s="278">
        <f t="shared" si="6"/>
        <v>7.0072311064178217E-3</v>
      </c>
      <c r="U30" s="277">
        <f>ROUND(($U$1*T30),0)</f>
        <v>14867</v>
      </c>
      <c r="V30" s="95">
        <f t="shared" si="7"/>
        <v>33886</v>
      </c>
      <c r="W30" s="49">
        <f t="shared" si="8"/>
        <v>1.1665607492207667E-2</v>
      </c>
      <c r="X30" s="380">
        <v>88438</v>
      </c>
      <c r="Y30" s="144">
        <f t="shared" si="9"/>
        <v>5.5818197206918959E-3</v>
      </c>
      <c r="Z30" s="29">
        <f t="shared" si="10"/>
        <v>42018</v>
      </c>
      <c r="AA30" s="49">
        <f t="shared" si="11"/>
        <v>1.4465132963689479E-2</v>
      </c>
      <c r="AB30" s="14">
        <f>V30+Z30+U30</f>
        <v>90771</v>
      </c>
      <c r="AC30" s="276">
        <f t="shared" si="13"/>
        <v>2995549</v>
      </c>
      <c r="AD30" s="146"/>
      <c r="AE30" s="136">
        <v>3299164</v>
      </c>
      <c r="AF30" s="146">
        <f t="shared" si="14"/>
        <v>303615</v>
      </c>
      <c r="AG30" s="14">
        <v>2995549</v>
      </c>
      <c r="AH30" s="55">
        <f t="shared" si="15"/>
        <v>0.10447934541266046</v>
      </c>
      <c r="AI30" s="18"/>
      <c r="AJ30" s="18"/>
      <c r="AK30" s="18"/>
      <c r="AL30" s="18"/>
      <c r="AM30" s="18"/>
      <c r="AN30" s="18"/>
      <c r="AO30" s="18"/>
      <c r="AP30" s="18"/>
    </row>
    <row r="31" spans="1:42" s="90" customFormat="1" x14ac:dyDescent="0.25">
      <c r="A31" s="71" t="s">
        <v>28</v>
      </c>
      <c r="B31" s="72">
        <v>4</v>
      </c>
      <c r="C31" s="283">
        <v>1431276</v>
      </c>
      <c r="D31" s="174">
        <v>9784</v>
      </c>
      <c r="E31" s="171">
        <v>18002</v>
      </c>
      <c r="F31" s="179"/>
      <c r="G31" s="338"/>
      <c r="H31" s="173">
        <f t="shared" si="0"/>
        <v>1459062</v>
      </c>
      <c r="I31" s="172">
        <f t="shared" si="1"/>
        <v>1.9413446463155903E-2</v>
      </c>
      <c r="J31" s="15">
        <v>4246</v>
      </c>
      <c r="K31" s="15">
        <v>232</v>
      </c>
      <c r="L31" s="15">
        <v>31495</v>
      </c>
      <c r="M31" s="15"/>
      <c r="N31" s="170">
        <f t="shared" si="2"/>
        <v>35973</v>
      </c>
      <c r="O31" s="170">
        <f t="shared" si="3"/>
        <v>1495035</v>
      </c>
      <c r="P31" s="282">
        <f t="shared" si="4"/>
        <v>2.465488101259572E-2</v>
      </c>
      <c r="Q31" s="281">
        <v>1431276</v>
      </c>
      <c r="R31" s="280">
        <f t="shared" si="5"/>
        <v>3.4909170731707317E-3</v>
      </c>
      <c r="S31" s="279"/>
      <c r="T31" s="278">
        <f t="shared" si="6"/>
        <v>0</v>
      </c>
      <c r="U31" s="277"/>
      <c r="V31" s="95">
        <f t="shared" si="7"/>
        <v>17441</v>
      </c>
      <c r="W31" s="49">
        <f t="shared" si="8"/>
        <v>1.1665947619955385E-2</v>
      </c>
      <c r="X31" s="380">
        <v>58531</v>
      </c>
      <c r="Y31" s="144">
        <f t="shared" si="9"/>
        <v>3.6942206977975236E-3</v>
      </c>
      <c r="Z31" s="29">
        <f t="shared" si="10"/>
        <v>27809</v>
      </c>
      <c r="AA31" s="49">
        <f t="shared" si="11"/>
        <v>1.8600902320012574E-2</v>
      </c>
      <c r="AB31" s="14">
        <f t="shared" si="12"/>
        <v>45250</v>
      </c>
      <c r="AC31" s="276">
        <f t="shared" si="13"/>
        <v>1540285</v>
      </c>
      <c r="AD31" s="146">
        <v>32105</v>
      </c>
      <c r="AE31" s="136">
        <v>1527140</v>
      </c>
      <c r="AF31" s="146">
        <f t="shared" si="14"/>
        <v>-13145</v>
      </c>
      <c r="AG31" s="14">
        <v>1527140</v>
      </c>
      <c r="AH31" s="55">
        <f t="shared" si="15"/>
        <v>6.6977997255595723E-2</v>
      </c>
      <c r="AI31" s="18"/>
      <c r="AJ31" s="18"/>
      <c r="AK31" s="18"/>
      <c r="AL31" s="18"/>
      <c r="AM31" s="18"/>
      <c r="AN31" s="18"/>
      <c r="AO31" s="18"/>
      <c r="AP31" s="18"/>
    </row>
    <row r="32" spans="1:42" s="90" customFormat="1" x14ac:dyDescent="0.25">
      <c r="A32" s="71" t="s">
        <v>29</v>
      </c>
      <c r="B32" s="72">
        <v>4</v>
      </c>
      <c r="C32" s="283">
        <v>1680006</v>
      </c>
      <c r="D32" s="174">
        <v>11860</v>
      </c>
      <c r="E32" s="171">
        <v>20983</v>
      </c>
      <c r="F32" s="179"/>
      <c r="G32" s="338"/>
      <c r="H32" s="173">
        <f t="shared" si="0"/>
        <v>1712849</v>
      </c>
      <c r="I32" s="172">
        <f t="shared" si="1"/>
        <v>1.9549334942851493E-2</v>
      </c>
      <c r="J32" s="15"/>
      <c r="K32" s="15"/>
      <c r="L32" s="15">
        <v>40407</v>
      </c>
      <c r="M32" s="15"/>
      <c r="N32" s="170">
        <f t="shared" si="2"/>
        <v>40407</v>
      </c>
      <c r="O32" s="170">
        <f t="shared" si="3"/>
        <v>1753256</v>
      </c>
      <c r="P32" s="282">
        <f t="shared" si="4"/>
        <v>2.3590520822325933E-2</v>
      </c>
      <c r="Q32" s="281">
        <v>1680006</v>
      </c>
      <c r="R32" s="280">
        <f t="shared" si="5"/>
        <v>4.0975756097560972E-3</v>
      </c>
      <c r="S32" s="279">
        <v>1680006</v>
      </c>
      <c r="T32" s="278">
        <f t="shared" si="6"/>
        <v>4.3404868486586002E-3</v>
      </c>
      <c r="U32" s="277">
        <f>ROUND(($U$1*T32),0)</f>
        <v>9209</v>
      </c>
      <c r="V32" s="95">
        <f t="shared" si="7"/>
        <v>20453</v>
      </c>
      <c r="W32" s="49">
        <f t="shared" si="8"/>
        <v>1.1665723659294478E-2</v>
      </c>
      <c r="X32" s="380">
        <v>74091.5</v>
      </c>
      <c r="Y32" s="144">
        <f t="shared" si="9"/>
        <v>4.6763313941478053E-3</v>
      </c>
      <c r="Z32" s="29">
        <f t="shared" si="10"/>
        <v>35202</v>
      </c>
      <c r="AA32" s="49">
        <f t="shared" si="11"/>
        <v>2.0078071884539393E-2</v>
      </c>
      <c r="AB32" s="14">
        <f t="shared" si="12"/>
        <v>64864</v>
      </c>
      <c r="AC32" s="276">
        <f t="shared" si="13"/>
        <v>1818120</v>
      </c>
      <c r="AD32" s="146"/>
      <c r="AE32" s="136">
        <v>2083392</v>
      </c>
      <c r="AF32" s="146">
        <f t="shared" si="14"/>
        <v>265272</v>
      </c>
      <c r="AG32" s="14">
        <v>1818120</v>
      </c>
      <c r="AH32" s="55">
        <f t="shared" si="15"/>
        <v>8.2210420677069074E-2</v>
      </c>
      <c r="AI32" s="18"/>
      <c r="AJ32" s="18"/>
      <c r="AK32" s="18"/>
      <c r="AL32" s="18"/>
      <c r="AM32" s="18"/>
      <c r="AN32" s="18"/>
      <c r="AO32" s="18"/>
      <c r="AP32" s="18"/>
    </row>
    <row r="33" spans="1:42" s="90" customFormat="1" x14ac:dyDescent="0.25">
      <c r="A33" s="71" t="s">
        <v>30</v>
      </c>
      <c r="B33" s="72">
        <v>4</v>
      </c>
      <c r="C33" s="283">
        <v>1823314</v>
      </c>
      <c r="D33" s="174">
        <v>15724</v>
      </c>
      <c r="E33" s="171">
        <v>17810</v>
      </c>
      <c r="F33" s="179"/>
      <c r="G33" s="338"/>
      <c r="H33" s="173">
        <f t="shared" si="0"/>
        <v>1856848</v>
      </c>
      <c r="I33" s="172">
        <f t="shared" si="1"/>
        <v>1.839178550704923E-2</v>
      </c>
      <c r="J33" s="15"/>
      <c r="K33" s="15">
        <v>7209</v>
      </c>
      <c r="L33" s="15">
        <v>50906</v>
      </c>
      <c r="M33" s="15"/>
      <c r="N33" s="170">
        <f t="shared" si="2"/>
        <v>58115</v>
      </c>
      <c r="O33" s="170">
        <f t="shared" si="3"/>
        <v>1914963</v>
      </c>
      <c r="P33" s="282">
        <f t="shared" si="4"/>
        <v>3.1297661413319799E-2</v>
      </c>
      <c r="Q33" s="281">
        <v>1823314</v>
      </c>
      <c r="R33" s="280">
        <f t="shared" si="5"/>
        <v>4.4471073170731712E-3</v>
      </c>
      <c r="S33" s="279"/>
      <c r="T33" s="278">
        <f t="shared" si="6"/>
        <v>0</v>
      </c>
      <c r="U33" s="277"/>
      <c r="V33" s="95">
        <f t="shared" si="7"/>
        <v>22339</v>
      </c>
      <c r="W33" s="49">
        <f t="shared" si="8"/>
        <v>1.1665499542288807E-2</v>
      </c>
      <c r="X33" s="380">
        <v>55900</v>
      </c>
      <c r="Y33" s="144">
        <f t="shared" si="9"/>
        <v>3.5281634861335284E-3</v>
      </c>
      <c r="Z33" s="29">
        <f t="shared" si="10"/>
        <v>26559</v>
      </c>
      <c r="AA33" s="49">
        <f t="shared" si="11"/>
        <v>1.3869197472744904E-2</v>
      </c>
      <c r="AB33" s="14">
        <f t="shared" si="12"/>
        <v>48898</v>
      </c>
      <c r="AC33" s="276">
        <f t="shared" si="13"/>
        <v>1963861</v>
      </c>
      <c r="AD33" s="146">
        <v>46195</v>
      </c>
      <c r="AE33" s="136">
        <v>2203952</v>
      </c>
      <c r="AF33" s="146">
        <f t="shared" si="14"/>
        <v>240091</v>
      </c>
      <c r="AG33" s="14">
        <v>1963861</v>
      </c>
      <c r="AH33" s="55">
        <f t="shared" si="15"/>
        <v>7.7083267062063809E-2</v>
      </c>
      <c r="AI33" s="18"/>
      <c r="AJ33" s="18"/>
      <c r="AK33" s="18"/>
      <c r="AL33" s="18"/>
      <c r="AM33" s="18"/>
      <c r="AN33" s="18"/>
      <c r="AO33" s="18"/>
      <c r="AP33" s="18"/>
    </row>
    <row r="34" spans="1:42" s="90" customFormat="1" x14ac:dyDescent="0.25">
      <c r="A34" s="71" t="s">
        <v>31</v>
      </c>
      <c r="B34" s="72">
        <v>4</v>
      </c>
      <c r="C34" s="283">
        <v>2754925</v>
      </c>
      <c r="D34" s="174">
        <v>19566</v>
      </c>
      <c r="E34" s="171">
        <v>31983</v>
      </c>
      <c r="F34" s="179"/>
      <c r="G34" s="338">
        <v>1511</v>
      </c>
      <c r="H34" s="173">
        <f t="shared" si="0"/>
        <v>2806474</v>
      </c>
      <c r="I34" s="172">
        <f t="shared" si="1"/>
        <v>1.8711580170059028E-2</v>
      </c>
      <c r="J34" s="15">
        <v>685</v>
      </c>
      <c r="K34" s="15"/>
      <c r="L34" s="15">
        <v>71283</v>
      </c>
      <c r="M34" s="15"/>
      <c r="N34" s="170">
        <f t="shared" si="2"/>
        <v>71968</v>
      </c>
      <c r="O34" s="170">
        <f t="shared" si="3"/>
        <v>2878442</v>
      </c>
      <c r="P34" s="282">
        <f t="shared" si="4"/>
        <v>2.5643565555925285E-2</v>
      </c>
      <c r="Q34" s="281">
        <v>2754925</v>
      </c>
      <c r="R34" s="280">
        <f t="shared" si="5"/>
        <v>6.7193292682926828E-3</v>
      </c>
      <c r="S34" s="279">
        <v>2754925</v>
      </c>
      <c r="T34" s="278">
        <f t="shared" si="6"/>
        <v>7.1176625152176796E-3</v>
      </c>
      <c r="U34" s="277">
        <f>ROUND(($U$1*T34),0)</f>
        <v>15101</v>
      </c>
      <c r="V34" s="95">
        <f t="shared" si="7"/>
        <v>33579</v>
      </c>
      <c r="W34" s="49">
        <f t="shared" si="8"/>
        <v>1.1665685811977451E-2</v>
      </c>
      <c r="X34" s="380">
        <v>87051.5</v>
      </c>
      <c r="Y34" s="144">
        <f t="shared" si="9"/>
        <v>5.4943099054231281E-3</v>
      </c>
      <c r="Z34" s="29">
        <f t="shared" si="10"/>
        <v>41359</v>
      </c>
      <c r="AA34" s="49">
        <f t="shared" si="11"/>
        <v>1.4368536868208565E-2</v>
      </c>
      <c r="AB34" s="14">
        <f t="shared" si="12"/>
        <v>90039</v>
      </c>
      <c r="AC34" s="276">
        <f t="shared" si="13"/>
        <v>2968481</v>
      </c>
      <c r="AD34" s="146"/>
      <c r="AE34" s="136">
        <v>3211428</v>
      </c>
      <c r="AF34" s="146">
        <f t="shared" si="14"/>
        <v>242947</v>
      </c>
      <c r="AG34" s="14">
        <v>2968481</v>
      </c>
      <c r="AH34" s="55">
        <f t="shared" si="15"/>
        <v>7.7517899761336606E-2</v>
      </c>
      <c r="AI34" s="18"/>
      <c r="AJ34" s="18"/>
      <c r="AK34" s="18"/>
      <c r="AL34" s="18"/>
      <c r="AM34" s="18"/>
      <c r="AN34" s="18"/>
      <c r="AO34" s="18"/>
      <c r="AP34" s="18"/>
    </row>
    <row r="35" spans="1:42" s="90" customFormat="1" x14ac:dyDescent="0.25">
      <c r="A35" s="71" t="s">
        <v>32</v>
      </c>
      <c r="B35" s="72">
        <v>4</v>
      </c>
      <c r="C35" s="283">
        <v>1439667</v>
      </c>
      <c r="D35" s="174">
        <v>10038</v>
      </c>
      <c r="E35" s="171">
        <v>15861</v>
      </c>
      <c r="F35" s="179"/>
      <c r="G35" s="338"/>
      <c r="H35" s="173">
        <f t="shared" si="0"/>
        <v>1465566</v>
      </c>
      <c r="I35" s="172">
        <f t="shared" si="1"/>
        <v>1.7989576756291648E-2</v>
      </c>
      <c r="J35" s="15"/>
      <c r="K35" s="15">
        <f>24030-E35</f>
        <v>8169</v>
      </c>
      <c r="L35" s="15">
        <v>36004</v>
      </c>
      <c r="M35" s="15"/>
      <c r="N35" s="170">
        <f t="shared" si="2"/>
        <v>44173</v>
      </c>
      <c r="O35" s="170">
        <f t="shared" si="3"/>
        <v>1509739</v>
      </c>
      <c r="P35" s="282">
        <f t="shared" si="4"/>
        <v>3.0140573675972337E-2</v>
      </c>
      <c r="Q35" s="281">
        <v>1439667</v>
      </c>
      <c r="R35" s="280">
        <f t="shared" si="5"/>
        <v>3.5113829268292682E-3</v>
      </c>
      <c r="S35" s="279">
        <v>1439667</v>
      </c>
      <c r="T35" s="278">
        <f t="shared" si="6"/>
        <v>3.7195436682653398E-3</v>
      </c>
      <c r="U35" s="277">
        <f>ROUND(($U$1*T35),0)</f>
        <v>7892</v>
      </c>
      <c r="V35" s="95">
        <f t="shared" si="7"/>
        <v>17612</v>
      </c>
      <c r="W35" s="49">
        <f t="shared" si="8"/>
        <v>1.166559252956968E-2</v>
      </c>
      <c r="X35" s="380">
        <v>58933</v>
      </c>
      <c r="Y35" s="144">
        <f t="shared" si="9"/>
        <v>3.7195931793972672E-3</v>
      </c>
      <c r="Z35" s="29">
        <f t="shared" si="10"/>
        <v>28000</v>
      </c>
      <c r="AA35" s="49">
        <f t="shared" si="11"/>
        <v>1.854625203429202E-2</v>
      </c>
      <c r="AB35" s="14">
        <f t="shared" si="12"/>
        <v>53504</v>
      </c>
      <c r="AC35" s="276">
        <f t="shared" si="13"/>
        <v>1563243</v>
      </c>
      <c r="AD35" s="146"/>
      <c r="AE35" s="136">
        <v>1654554</v>
      </c>
      <c r="AF35" s="146">
        <f t="shared" si="14"/>
        <v>91311</v>
      </c>
      <c r="AG35" s="14">
        <v>1563243</v>
      </c>
      <c r="AH35" s="55">
        <f t="shared" si="15"/>
        <v>8.5836516361075255E-2</v>
      </c>
      <c r="AI35" s="18"/>
      <c r="AJ35" s="18"/>
      <c r="AK35" s="18"/>
      <c r="AL35" s="18"/>
      <c r="AM35" s="18"/>
      <c r="AN35" s="18"/>
      <c r="AO35" s="18"/>
      <c r="AP35" s="18"/>
    </row>
    <row r="36" spans="1:42" s="90" customFormat="1" x14ac:dyDescent="0.25">
      <c r="A36" s="71" t="s">
        <v>33</v>
      </c>
      <c r="B36" s="72">
        <v>4</v>
      </c>
      <c r="C36" s="283">
        <v>1995899</v>
      </c>
      <c r="D36" s="174">
        <v>17704</v>
      </c>
      <c r="E36" s="171">
        <v>20912</v>
      </c>
      <c r="F36" s="179"/>
      <c r="G36" s="338"/>
      <c r="H36" s="173">
        <f t="shared" ref="H36:H70" si="16">SUM(C36:F36)</f>
        <v>2034515</v>
      </c>
      <c r="I36" s="172">
        <f t="shared" ref="I36:I67" si="17">(H36/C36)-1</f>
        <v>1.9347672402260763E-2</v>
      </c>
      <c r="J36" s="15">
        <v>2558</v>
      </c>
      <c r="K36" s="15">
        <v>2355</v>
      </c>
      <c r="L36" s="15">
        <v>56456</v>
      </c>
      <c r="M36" s="15"/>
      <c r="N36" s="170">
        <f t="shared" ref="N36:N67" si="18">SUM(J36:M36)</f>
        <v>61369</v>
      </c>
      <c r="O36" s="170">
        <f t="shared" ref="O36:O67" si="19">N36+H36</f>
        <v>2095884</v>
      </c>
      <c r="P36" s="282">
        <f t="shared" ref="P36:P67" si="20">O36/H36-1</f>
        <v>3.0163945706962014E-2</v>
      </c>
      <c r="Q36" s="281">
        <v>1995899</v>
      </c>
      <c r="R36" s="280">
        <f t="shared" ref="R36:R67" si="21">Q36/$Q$72</f>
        <v>4.8680463414634148E-3</v>
      </c>
      <c r="S36" s="279"/>
      <c r="T36" s="278">
        <f t="shared" ref="T36:T67" si="22">S36/$S$72</f>
        <v>0</v>
      </c>
      <c r="U36" s="277"/>
      <c r="V36" s="95">
        <f t="shared" ref="V36:V70" si="23">ROUND((O36*$W$1),0)</f>
        <v>24450</v>
      </c>
      <c r="W36" s="49">
        <f t="shared" ref="W36:W67" si="24">V36/O36</f>
        <v>1.1665721957894616E-2</v>
      </c>
      <c r="X36" s="380">
        <v>57497</v>
      </c>
      <c r="Y36" s="144">
        <f t="shared" ref="Y36:Y67" si="25">X36/$X$72</f>
        <v>3.6289591406479336E-3</v>
      </c>
      <c r="Z36" s="29">
        <f t="shared" ref="Z36:Z67" si="26">ROUND((Y36*$Z$1),0)</f>
        <v>27317</v>
      </c>
      <c r="AA36" s="49">
        <f t="shared" ref="AA36:AA67" si="27">Z36/O36</f>
        <v>1.3033641174797841E-2</v>
      </c>
      <c r="AB36" s="14">
        <f t="shared" ref="AB36:AB70" si="28">V36+Z36+U36</f>
        <v>51767</v>
      </c>
      <c r="AC36" s="276">
        <f t="shared" ref="AC36:AC70" si="29">O36+U36+V36+Z36</f>
        <v>2147651</v>
      </c>
      <c r="AD36" s="146">
        <v>51665</v>
      </c>
      <c r="AE36" s="136">
        <v>2147549</v>
      </c>
      <c r="AF36" s="146">
        <f t="shared" ref="AF36:AF67" si="30">AE36-AC36</f>
        <v>-102</v>
      </c>
      <c r="AG36" s="14">
        <v>2147549</v>
      </c>
      <c r="AH36" s="55">
        <f t="shared" ref="AH36:AH67" si="31">AG36/C36-1</f>
        <v>7.5980798627585777E-2</v>
      </c>
      <c r="AI36" s="18"/>
      <c r="AJ36" s="18"/>
      <c r="AK36" s="18"/>
      <c r="AL36" s="18"/>
      <c r="AM36" s="18"/>
      <c r="AN36" s="18"/>
      <c r="AO36" s="18"/>
      <c r="AP36" s="18"/>
    </row>
    <row r="37" spans="1:42" s="90" customFormat="1" x14ac:dyDescent="0.25">
      <c r="A37" s="71" t="s">
        <v>34</v>
      </c>
      <c r="B37" s="72">
        <v>4</v>
      </c>
      <c r="C37" s="283">
        <v>1725333</v>
      </c>
      <c r="D37" s="174">
        <v>15172</v>
      </c>
      <c r="E37" s="171">
        <v>22077</v>
      </c>
      <c r="F37" s="179"/>
      <c r="G37" s="338"/>
      <c r="H37" s="173">
        <f t="shared" si="16"/>
        <v>1762582</v>
      </c>
      <c r="I37" s="172">
        <f t="shared" si="17"/>
        <v>2.1589455484825271E-2</v>
      </c>
      <c r="J37" s="15">
        <v>6661</v>
      </c>
      <c r="K37" s="15">
        <v>9448</v>
      </c>
      <c r="L37" s="15">
        <v>55931</v>
      </c>
      <c r="M37" s="15"/>
      <c r="N37" s="170">
        <f t="shared" si="18"/>
        <v>72040</v>
      </c>
      <c r="O37" s="170">
        <f t="shared" si="19"/>
        <v>1834622</v>
      </c>
      <c r="P37" s="282">
        <f t="shared" si="20"/>
        <v>4.0871857309333626E-2</v>
      </c>
      <c r="Q37" s="281">
        <v>1725333</v>
      </c>
      <c r="R37" s="280">
        <f t="shared" si="21"/>
        <v>4.2081292682926829E-3</v>
      </c>
      <c r="S37" s="279">
        <v>1725333</v>
      </c>
      <c r="T37" s="278">
        <f t="shared" si="22"/>
        <v>4.4575943157683295E-3</v>
      </c>
      <c r="U37" s="277">
        <f t="shared" ref="U37:U70" si="32">ROUND(($U$1*T37),0)</f>
        <v>9458</v>
      </c>
      <c r="V37" s="95">
        <f t="shared" si="23"/>
        <v>21402</v>
      </c>
      <c r="W37" s="49">
        <f t="shared" si="24"/>
        <v>1.166561831265514E-2</v>
      </c>
      <c r="X37" s="380">
        <v>66515.5</v>
      </c>
      <c r="Y37" s="144">
        <f t="shared" si="25"/>
        <v>4.1981674125566139E-3</v>
      </c>
      <c r="Z37" s="29">
        <f t="shared" si="26"/>
        <v>31602</v>
      </c>
      <c r="AA37" s="49">
        <f t="shared" si="27"/>
        <v>1.7225346692670208E-2</v>
      </c>
      <c r="AB37" s="14">
        <f t="shared" si="28"/>
        <v>62462</v>
      </c>
      <c r="AC37" s="276">
        <f t="shared" si="29"/>
        <v>1897084</v>
      </c>
      <c r="AD37" s="146"/>
      <c r="AE37" s="136">
        <v>2011556</v>
      </c>
      <c r="AF37" s="146">
        <f t="shared" si="30"/>
        <v>114472</v>
      </c>
      <c r="AG37" s="14">
        <v>1897084</v>
      </c>
      <c r="AH37" s="55">
        <f t="shared" si="31"/>
        <v>9.9546580283342401E-2</v>
      </c>
      <c r="AI37" s="18"/>
      <c r="AJ37" s="18"/>
      <c r="AK37" s="18"/>
      <c r="AL37" s="18"/>
      <c r="AM37" s="18"/>
      <c r="AN37" s="18"/>
      <c r="AO37" s="18"/>
      <c r="AP37" s="18"/>
    </row>
    <row r="38" spans="1:42" s="90" customFormat="1" x14ac:dyDescent="0.25">
      <c r="A38" s="71" t="s">
        <v>35</v>
      </c>
      <c r="B38" s="72">
        <v>4</v>
      </c>
      <c r="C38" s="283">
        <v>1497855</v>
      </c>
      <c r="D38" s="174">
        <v>12369</v>
      </c>
      <c r="E38" s="171">
        <v>17314</v>
      </c>
      <c r="F38" s="179"/>
      <c r="G38" s="338"/>
      <c r="H38" s="173">
        <f t="shared" si="16"/>
        <v>1527538</v>
      </c>
      <c r="I38" s="172">
        <f t="shared" si="17"/>
        <v>1.9817004983793574E-2</v>
      </c>
      <c r="J38" s="15">
        <v>3440</v>
      </c>
      <c r="K38" s="15">
        <f>4430-339</f>
        <v>4091</v>
      </c>
      <c r="L38" s="15">
        <v>38254</v>
      </c>
      <c r="M38" s="15">
        <f>25000</f>
        <v>25000</v>
      </c>
      <c r="N38" s="170">
        <f t="shared" si="18"/>
        <v>70785</v>
      </c>
      <c r="O38" s="170">
        <f t="shared" si="19"/>
        <v>1598323</v>
      </c>
      <c r="P38" s="282">
        <f t="shared" si="20"/>
        <v>4.6339272738223247E-2</v>
      </c>
      <c r="Q38" s="281">
        <v>1497855</v>
      </c>
      <c r="R38" s="280">
        <f t="shared" si="21"/>
        <v>3.6533048780487804E-3</v>
      </c>
      <c r="S38" s="279">
        <v>1497855</v>
      </c>
      <c r="T38" s="278">
        <f t="shared" si="22"/>
        <v>3.869878993704503E-3</v>
      </c>
      <c r="U38" s="277">
        <f t="shared" si="32"/>
        <v>8211</v>
      </c>
      <c r="V38" s="95">
        <f t="shared" si="23"/>
        <v>18645</v>
      </c>
      <c r="W38" s="49">
        <f t="shared" si="24"/>
        <v>1.1665351746799614E-2</v>
      </c>
      <c r="X38" s="380">
        <v>51784</v>
      </c>
      <c r="Y38" s="144">
        <f t="shared" si="25"/>
        <v>3.2683795700525695E-3</v>
      </c>
      <c r="Z38" s="29">
        <f t="shared" si="26"/>
        <v>24603</v>
      </c>
      <c r="AA38" s="49">
        <f t="shared" si="27"/>
        <v>1.5393008797345719E-2</v>
      </c>
      <c r="AB38" s="14">
        <f t="shared" si="28"/>
        <v>51459</v>
      </c>
      <c r="AC38" s="276">
        <f t="shared" si="29"/>
        <v>1649782</v>
      </c>
      <c r="AD38" s="146"/>
      <c r="AE38" s="136">
        <v>1868322</v>
      </c>
      <c r="AF38" s="146">
        <f t="shared" si="30"/>
        <v>218540</v>
      </c>
      <c r="AG38" s="14">
        <v>1649782</v>
      </c>
      <c r="AH38" s="55">
        <f t="shared" si="31"/>
        <v>0.10142971115361643</v>
      </c>
      <c r="AI38" s="18"/>
      <c r="AJ38" s="18"/>
      <c r="AK38" s="18"/>
      <c r="AL38" s="18"/>
      <c r="AM38" s="18"/>
      <c r="AN38" s="18"/>
      <c r="AO38" s="18"/>
      <c r="AP38" s="18"/>
    </row>
    <row r="39" spans="1:42" s="90" customFormat="1" x14ac:dyDescent="0.25">
      <c r="A39" s="71" t="s">
        <v>36</v>
      </c>
      <c r="B39" s="72">
        <v>5</v>
      </c>
      <c r="C39" s="283">
        <v>5388520</v>
      </c>
      <c r="D39" s="174">
        <v>37869</v>
      </c>
      <c r="E39" s="171">
        <v>65931</v>
      </c>
      <c r="F39" s="179"/>
      <c r="G39" s="338">
        <v>153721</v>
      </c>
      <c r="H39" s="173">
        <f t="shared" si="16"/>
        <v>5492320</v>
      </c>
      <c r="I39" s="172">
        <f t="shared" si="17"/>
        <v>1.9263174303890462E-2</v>
      </c>
      <c r="J39" s="15">
        <v>9890</v>
      </c>
      <c r="K39" s="15"/>
      <c r="L39" s="15">
        <v>130697</v>
      </c>
      <c r="M39" s="15"/>
      <c r="N39" s="170">
        <f t="shared" si="18"/>
        <v>140587</v>
      </c>
      <c r="O39" s="170">
        <f t="shared" si="19"/>
        <v>5632907</v>
      </c>
      <c r="P39" s="282">
        <f t="shared" si="20"/>
        <v>2.5597015468872941E-2</v>
      </c>
      <c r="Q39" s="281">
        <v>5388520</v>
      </c>
      <c r="R39" s="280">
        <f t="shared" si="21"/>
        <v>1.3142731707317072E-2</v>
      </c>
      <c r="S39" s="279">
        <v>5388520</v>
      </c>
      <c r="T39" s="278">
        <f t="shared" si="22"/>
        <v>1.3921855156311251E-2</v>
      </c>
      <c r="U39" s="277">
        <f t="shared" si="32"/>
        <v>29538</v>
      </c>
      <c r="V39" s="95">
        <f t="shared" si="23"/>
        <v>65711</v>
      </c>
      <c r="W39" s="49">
        <f t="shared" si="24"/>
        <v>1.1665557411120049E-2</v>
      </c>
      <c r="X39" s="380">
        <v>177145</v>
      </c>
      <c r="Y39" s="144">
        <f t="shared" si="25"/>
        <v>1.1180617544742826E-2</v>
      </c>
      <c r="Z39" s="29">
        <f t="shared" si="26"/>
        <v>84163</v>
      </c>
      <c r="AA39" s="49">
        <f t="shared" si="27"/>
        <v>1.4941308280076344E-2</v>
      </c>
      <c r="AB39" s="14">
        <f t="shared" si="28"/>
        <v>179412</v>
      </c>
      <c r="AC39" s="276">
        <f t="shared" si="29"/>
        <v>5812319</v>
      </c>
      <c r="AD39" s="14"/>
      <c r="AE39" s="136">
        <v>6562280</v>
      </c>
      <c r="AF39" s="146">
        <f t="shared" si="30"/>
        <v>749961</v>
      </c>
      <c r="AG39" s="14">
        <v>5812319</v>
      </c>
      <c r="AH39" s="55">
        <f t="shared" si="31"/>
        <v>7.8648497175476839E-2</v>
      </c>
      <c r="AI39" s="18"/>
      <c r="AJ39" s="18"/>
      <c r="AK39" s="18"/>
      <c r="AL39" s="18"/>
      <c r="AM39" s="18"/>
      <c r="AN39" s="18"/>
      <c r="AO39" s="18"/>
      <c r="AP39" s="18"/>
    </row>
    <row r="40" spans="1:42" s="90" customFormat="1" x14ac:dyDescent="0.25">
      <c r="A40" s="71" t="s">
        <v>37</v>
      </c>
      <c r="B40" s="72">
        <v>5</v>
      </c>
      <c r="C40" s="283">
        <v>3263255</v>
      </c>
      <c r="D40" s="174">
        <v>21781</v>
      </c>
      <c r="E40" s="171">
        <v>59548</v>
      </c>
      <c r="F40" s="179"/>
      <c r="G40" s="338"/>
      <c r="H40" s="173">
        <f t="shared" si="16"/>
        <v>3344584</v>
      </c>
      <c r="I40" s="172">
        <f t="shared" si="17"/>
        <v>2.4922661575635274E-2</v>
      </c>
      <c r="J40" s="15">
        <v>4385</v>
      </c>
      <c r="K40" s="15"/>
      <c r="L40" s="15">
        <v>73281</v>
      </c>
      <c r="M40" s="15"/>
      <c r="N40" s="170">
        <f t="shared" si="18"/>
        <v>77666</v>
      </c>
      <c r="O40" s="170">
        <f t="shared" si="19"/>
        <v>3422250</v>
      </c>
      <c r="P40" s="282">
        <f t="shared" si="20"/>
        <v>2.3221423052911749E-2</v>
      </c>
      <c r="Q40" s="281">
        <v>3263255</v>
      </c>
      <c r="R40" s="280">
        <f t="shared" si="21"/>
        <v>7.9591585365853656E-3</v>
      </c>
      <c r="S40" s="279">
        <v>3263255</v>
      </c>
      <c r="T40" s="278">
        <f t="shared" si="22"/>
        <v>8.4309909674842934E-3</v>
      </c>
      <c r="U40" s="277">
        <f t="shared" si="32"/>
        <v>17888</v>
      </c>
      <c r="V40" s="95">
        <f t="shared" si="23"/>
        <v>39923</v>
      </c>
      <c r="W40" s="49">
        <f t="shared" si="24"/>
        <v>1.1665716999050332E-2</v>
      </c>
      <c r="X40" s="380">
        <v>120696.5</v>
      </c>
      <c r="Y40" s="144">
        <f t="shared" si="25"/>
        <v>7.6178351378195959E-3</v>
      </c>
      <c r="Z40" s="29">
        <f t="shared" si="26"/>
        <v>57344</v>
      </c>
      <c r="AA40" s="49">
        <f t="shared" si="27"/>
        <v>1.6756227628022501E-2</v>
      </c>
      <c r="AB40" s="14">
        <f t="shared" si="28"/>
        <v>115155</v>
      </c>
      <c r="AC40" s="276">
        <f t="shared" si="29"/>
        <v>3537405</v>
      </c>
      <c r="AD40" s="14"/>
      <c r="AE40" s="136">
        <v>3745747</v>
      </c>
      <c r="AF40" s="146">
        <f t="shared" si="30"/>
        <v>208342</v>
      </c>
      <c r="AG40" s="14">
        <v>3537405</v>
      </c>
      <c r="AH40" s="55">
        <f t="shared" si="31"/>
        <v>8.401120966642206E-2</v>
      </c>
      <c r="AI40" s="18"/>
      <c r="AJ40" s="18"/>
      <c r="AK40" s="18"/>
      <c r="AL40" s="18"/>
      <c r="AM40" s="18"/>
      <c r="AN40" s="18"/>
      <c r="AO40" s="18"/>
      <c r="AP40" s="18"/>
    </row>
    <row r="41" spans="1:42" s="90" customFormat="1" x14ac:dyDescent="0.25">
      <c r="A41" s="71" t="s">
        <v>38</v>
      </c>
      <c r="B41" s="72">
        <v>5</v>
      </c>
      <c r="C41" s="283">
        <v>3368613</v>
      </c>
      <c r="D41" s="174">
        <v>28213</v>
      </c>
      <c r="E41" s="171">
        <v>39655</v>
      </c>
      <c r="F41" s="179"/>
      <c r="G41" s="338"/>
      <c r="H41" s="173">
        <f t="shared" si="16"/>
        <v>3436481</v>
      </c>
      <c r="I41" s="172">
        <f t="shared" si="17"/>
        <v>2.0147164426427056E-2</v>
      </c>
      <c r="J41" s="15">
        <v>1735</v>
      </c>
      <c r="K41" s="15"/>
      <c r="L41" s="15">
        <v>89392</v>
      </c>
      <c r="M41" s="15"/>
      <c r="N41" s="170">
        <f t="shared" si="18"/>
        <v>91127</v>
      </c>
      <c r="O41" s="170">
        <f t="shared" si="19"/>
        <v>3527608</v>
      </c>
      <c r="P41" s="282">
        <f t="shared" si="20"/>
        <v>2.6517533488472633E-2</v>
      </c>
      <c r="Q41" s="281">
        <v>3368613</v>
      </c>
      <c r="R41" s="280">
        <f t="shared" si="21"/>
        <v>8.2161292682926823E-3</v>
      </c>
      <c r="S41" s="279">
        <v>3368613</v>
      </c>
      <c r="T41" s="278">
        <f t="shared" si="22"/>
        <v>8.7031953604453753E-3</v>
      </c>
      <c r="U41" s="277">
        <f t="shared" si="32"/>
        <v>18465</v>
      </c>
      <c r="V41" s="95">
        <f t="shared" si="23"/>
        <v>41152</v>
      </c>
      <c r="W41" s="49">
        <f t="shared" si="24"/>
        <v>1.1665695281335115E-2</v>
      </c>
      <c r="X41" s="380">
        <v>144940</v>
      </c>
      <c r="Y41" s="144">
        <f t="shared" si="25"/>
        <v>9.14797881359917E-3</v>
      </c>
      <c r="Z41" s="29">
        <f t="shared" si="26"/>
        <v>68862</v>
      </c>
      <c r="AA41" s="49">
        <f t="shared" si="27"/>
        <v>1.9520876469267562E-2</v>
      </c>
      <c r="AB41" s="14">
        <f t="shared" si="28"/>
        <v>128479</v>
      </c>
      <c r="AC41" s="276">
        <f t="shared" si="29"/>
        <v>3656087</v>
      </c>
      <c r="AD41" s="14"/>
      <c r="AE41" s="136">
        <v>3935839</v>
      </c>
      <c r="AF41" s="146">
        <f t="shared" si="30"/>
        <v>279752</v>
      </c>
      <c r="AG41" s="14">
        <v>3656087</v>
      </c>
      <c r="AH41" s="55">
        <f t="shared" si="31"/>
        <v>8.5338980761518135E-2</v>
      </c>
      <c r="AI41" s="18"/>
      <c r="AJ41" s="18"/>
      <c r="AK41" s="18"/>
      <c r="AL41" s="18"/>
      <c r="AM41" s="18"/>
      <c r="AN41" s="18"/>
      <c r="AO41" s="18"/>
      <c r="AP41" s="18"/>
    </row>
    <row r="42" spans="1:42" s="90" customFormat="1" x14ac:dyDescent="0.25">
      <c r="A42" s="71" t="s">
        <v>39</v>
      </c>
      <c r="B42" s="72">
        <v>5</v>
      </c>
      <c r="C42" s="283">
        <v>3138208</v>
      </c>
      <c r="D42" s="174">
        <v>19738</v>
      </c>
      <c r="E42" s="171">
        <v>59054</v>
      </c>
      <c r="F42" s="179"/>
      <c r="G42" s="338">
        <v>203628</v>
      </c>
      <c r="H42" s="173">
        <f t="shared" si="16"/>
        <v>3217000</v>
      </c>
      <c r="I42" s="172">
        <f t="shared" si="17"/>
        <v>2.5107322395456322E-2</v>
      </c>
      <c r="J42" s="15">
        <v>8786</v>
      </c>
      <c r="K42" s="15"/>
      <c r="L42" s="15">
        <v>74216</v>
      </c>
      <c r="M42" s="15"/>
      <c r="N42" s="170">
        <f t="shared" si="18"/>
        <v>83002</v>
      </c>
      <c r="O42" s="170">
        <f t="shared" si="19"/>
        <v>3300002</v>
      </c>
      <c r="P42" s="282">
        <f t="shared" si="20"/>
        <v>2.580105688529688E-2</v>
      </c>
      <c r="Q42" s="281">
        <v>3138208</v>
      </c>
      <c r="R42" s="280">
        <f t="shared" si="21"/>
        <v>7.6541658536585363E-3</v>
      </c>
      <c r="S42" s="279">
        <v>3138208</v>
      </c>
      <c r="T42" s="278">
        <f t="shared" si="22"/>
        <v>8.1079178005050018E-3</v>
      </c>
      <c r="U42" s="277">
        <f t="shared" si="32"/>
        <v>17202</v>
      </c>
      <c r="V42" s="95">
        <f t="shared" si="23"/>
        <v>38497</v>
      </c>
      <c r="W42" s="49">
        <f t="shared" si="24"/>
        <v>1.1665750505605754E-2</v>
      </c>
      <c r="X42" s="380">
        <v>129443</v>
      </c>
      <c r="Y42" s="144">
        <f t="shared" si="25"/>
        <v>8.1698759594916338E-3</v>
      </c>
      <c r="Z42" s="29">
        <f t="shared" si="26"/>
        <v>61500</v>
      </c>
      <c r="AA42" s="49">
        <f t="shared" si="27"/>
        <v>1.8636352341604642E-2</v>
      </c>
      <c r="AB42" s="14">
        <f t="shared" si="28"/>
        <v>117199</v>
      </c>
      <c r="AC42" s="276">
        <f t="shared" si="29"/>
        <v>3417201</v>
      </c>
      <c r="AD42" s="14"/>
      <c r="AE42" s="136">
        <v>3602456</v>
      </c>
      <c r="AF42" s="146">
        <f t="shared" si="30"/>
        <v>185255</v>
      </c>
      <c r="AG42" s="14">
        <v>3417201</v>
      </c>
      <c r="AH42" s="55">
        <f t="shared" si="31"/>
        <v>8.8902010319265035E-2</v>
      </c>
      <c r="AI42" s="18"/>
      <c r="AJ42" s="18"/>
      <c r="AK42" s="18"/>
      <c r="AL42" s="18"/>
      <c r="AM42" s="18"/>
      <c r="AN42" s="18"/>
      <c r="AO42" s="18"/>
      <c r="AP42" s="18"/>
    </row>
    <row r="43" spans="1:42" s="90" customFormat="1" x14ac:dyDescent="0.25">
      <c r="A43" s="71" t="s">
        <v>40</v>
      </c>
      <c r="B43" s="72">
        <v>5</v>
      </c>
      <c r="C43" s="283">
        <v>3270896</v>
      </c>
      <c r="D43" s="174">
        <v>19337</v>
      </c>
      <c r="E43" s="171">
        <v>34482</v>
      </c>
      <c r="F43" s="179"/>
      <c r="G43" s="338"/>
      <c r="H43" s="173">
        <f t="shared" si="16"/>
        <v>3324715</v>
      </c>
      <c r="I43" s="172">
        <f t="shared" si="17"/>
        <v>1.6453901316336506E-2</v>
      </c>
      <c r="J43" s="15">
        <v>1388</v>
      </c>
      <c r="K43" s="15">
        <v>1884</v>
      </c>
      <c r="L43" s="15">
        <v>70050</v>
      </c>
      <c r="M43" s="15"/>
      <c r="N43" s="170">
        <f t="shared" si="18"/>
        <v>73322</v>
      </c>
      <c r="O43" s="170">
        <f t="shared" si="19"/>
        <v>3398037</v>
      </c>
      <c r="P43" s="282">
        <f t="shared" si="20"/>
        <v>2.205361963356256E-2</v>
      </c>
      <c r="Q43" s="281">
        <v>3270896</v>
      </c>
      <c r="R43" s="280">
        <f t="shared" si="21"/>
        <v>7.9777951219512193E-3</v>
      </c>
      <c r="S43" s="279">
        <v>3270896</v>
      </c>
      <c r="T43" s="278">
        <f t="shared" si="22"/>
        <v>8.45073236127134E-3</v>
      </c>
      <c r="U43" s="277">
        <f t="shared" si="32"/>
        <v>17930</v>
      </c>
      <c r="V43" s="95">
        <f t="shared" si="23"/>
        <v>39640</v>
      </c>
      <c r="W43" s="49">
        <f t="shared" si="24"/>
        <v>1.1665558674022679E-2</v>
      </c>
      <c r="X43" s="380">
        <v>103754.5</v>
      </c>
      <c r="Y43" s="144">
        <f t="shared" si="25"/>
        <v>6.5485302043298962E-3</v>
      </c>
      <c r="Z43" s="29">
        <f t="shared" si="26"/>
        <v>49295</v>
      </c>
      <c r="AA43" s="49">
        <f t="shared" si="27"/>
        <v>1.4506905016043086E-2</v>
      </c>
      <c r="AB43" s="14">
        <f t="shared" si="28"/>
        <v>106865</v>
      </c>
      <c r="AC43" s="276">
        <f t="shared" si="29"/>
        <v>3504902</v>
      </c>
      <c r="AD43" s="14"/>
      <c r="AE43" s="136">
        <v>3836036</v>
      </c>
      <c r="AF43" s="146">
        <f t="shared" si="30"/>
        <v>331134</v>
      </c>
      <c r="AG43" s="14">
        <v>3504902</v>
      </c>
      <c r="AH43" s="55">
        <f t="shared" si="31"/>
        <v>7.154186498133841E-2</v>
      </c>
      <c r="AI43" s="18"/>
      <c r="AJ43" s="18"/>
      <c r="AK43" s="18"/>
      <c r="AL43" s="18"/>
      <c r="AM43" s="18"/>
      <c r="AN43" s="18"/>
      <c r="AO43" s="18"/>
      <c r="AP43" s="18"/>
    </row>
    <row r="44" spans="1:42" s="90" customFormat="1" x14ac:dyDescent="0.25">
      <c r="A44" s="71" t="s">
        <v>41</v>
      </c>
      <c r="B44" s="72">
        <v>5</v>
      </c>
      <c r="C44" s="283">
        <v>3209897</v>
      </c>
      <c r="D44" s="174">
        <v>23417</v>
      </c>
      <c r="E44" s="171">
        <v>45377</v>
      </c>
      <c r="F44" s="179"/>
      <c r="G44" s="338"/>
      <c r="H44" s="173">
        <f t="shared" si="16"/>
        <v>3278691</v>
      </c>
      <c r="I44" s="172">
        <f t="shared" si="17"/>
        <v>2.1431840336309849E-2</v>
      </c>
      <c r="J44" s="15">
        <v>19020</v>
      </c>
      <c r="K44" s="15">
        <f>68752-E44</f>
        <v>23375</v>
      </c>
      <c r="L44" s="15">
        <v>85211</v>
      </c>
      <c r="M44" s="15"/>
      <c r="N44" s="170">
        <f t="shared" si="18"/>
        <v>127606</v>
      </c>
      <c r="O44" s="170">
        <f t="shared" si="19"/>
        <v>3406297</v>
      </c>
      <c r="P44" s="282">
        <f t="shared" si="20"/>
        <v>3.8919800615550448E-2</v>
      </c>
      <c r="Q44" s="281">
        <v>3209897</v>
      </c>
      <c r="R44" s="280">
        <f t="shared" si="21"/>
        <v>7.8290170731707322E-3</v>
      </c>
      <c r="S44" s="279">
        <v>3209897</v>
      </c>
      <c r="T44" s="278">
        <f t="shared" si="22"/>
        <v>8.2931344971676844E-3</v>
      </c>
      <c r="U44" s="277">
        <f t="shared" si="32"/>
        <v>17595</v>
      </c>
      <c r="V44" s="95">
        <f t="shared" si="23"/>
        <v>39737</v>
      </c>
      <c r="W44" s="49">
        <f t="shared" si="24"/>
        <v>1.1665747290973159E-2</v>
      </c>
      <c r="X44" s="380">
        <v>94511</v>
      </c>
      <c r="Y44" s="144">
        <f t="shared" si="25"/>
        <v>5.9651209166004639E-3</v>
      </c>
      <c r="Z44" s="29">
        <f t="shared" si="26"/>
        <v>44903</v>
      </c>
      <c r="AA44" s="49">
        <f t="shared" si="27"/>
        <v>1.3182350217846535E-2</v>
      </c>
      <c r="AB44" s="14">
        <f t="shared" si="28"/>
        <v>102235</v>
      </c>
      <c r="AC44" s="276">
        <f t="shared" si="29"/>
        <v>3508532</v>
      </c>
      <c r="AD44" s="14"/>
      <c r="AE44" s="136">
        <v>3763377</v>
      </c>
      <c r="AF44" s="146">
        <f t="shared" si="30"/>
        <v>254845</v>
      </c>
      <c r="AG44" s="14">
        <v>3508532</v>
      </c>
      <c r="AH44" s="55">
        <f t="shared" si="31"/>
        <v>9.3035695537894147E-2</v>
      </c>
      <c r="AI44" s="18"/>
      <c r="AJ44" s="18"/>
      <c r="AK44" s="18"/>
      <c r="AL44" s="18"/>
      <c r="AM44" s="18"/>
      <c r="AN44" s="18"/>
      <c r="AO44" s="18"/>
      <c r="AP44" s="18"/>
    </row>
    <row r="45" spans="1:42" s="90" customFormat="1" x14ac:dyDescent="0.25">
      <c r="A45" s="71" t="s">
        <v>42</v>
      </c>
      <c r="B45" s="72">
        <v>5</v>
      </c>
      <c r="C45" s="283">
        <v>3358182</v>
      </c>
      <c r="D45" s="174">
        <v>24177</v>
      </c>
      <c r="E45" s="171">
        <v>37557</v>
      </c>
      <c r="F45" s="180"/>
      <c r="G45" s="338"/>
      <c r="H45" s="173">
        <f t="shared" si="16"/>
        <v>3419916</v>
      </c>
      <c r="I45" s="172">
        <f t="shared" si="17"/>
        <v>1.8383160888838068E-2</v>
      </c>
      <c r="J45" s="15"/>
      <c r="K45" s="15"/>
      <c r="L45" s="15">
        <v>84433</v>
      </c>
      <c r="M45" s="15"/>
      <c r="N45" s="170">
        <f t="shared" si="18"/>
        <v>84433</v>
      </c>
      <c r="O45" s="170">
        <f t="shared" si="19"/>
        <v>3504349</v>
      </c>
      <c r="P45" s="282">
        <f t="shared" si="20"/>
        <v>2.4688618083017255E-2</v>
      </c>
      <c r="Q45" s="281">
        <v>3358182</v>
      </c>
      <c r="R45" s="280">
        <f t="shared" si="21"/>
        <v>8.1906878048780482E-3</v>
      </c>
      <c r="S45" s="279">
        <v>3358182</v>
      </c>
      <c r="T45" s="278">
        <f t="shared" si="22"/>
        <v>8.6762456838856729E-3</v>
      </c>
      <c r="U45" s="277">
        <f t="shared" si="32"/>
        <v>18408</v>
      </c>
      <c r="V45" s="95">
        <f t="shared" si="23"/>
        <v>40880</v>
      </c>
      <c r="W45" s="49">
        <f t="shared" si="24"/>
        <v>1.1665504777064156E-2</v>
      </c>
      <c r="X45" s="380">
        <v>159432</v>
      </c>
      <c r="Y45" s="144">
        <f t="shared" si="25"/>
        <v>1.0062650463707348E-2</v>
      </c>
      <c r="Z45" s="29">
        <f t="shared" si="26"/>
        <v>75748</v>
      </c>
      <c r="AA45" s="49">
        <f t="shared" si="27"/>
        <v>2.1615427002276314E-2</v>
      </c>
      <c r="AB45" s="14">
        <f t="shared" si="28"/>
        <v>135036</v>
      </c>
      <c r="AC45" s="276">
        <f t="shared" si="29"/>
        <v>3639385</v>
      </c>
      <c r="AD45" s="14"/>
      <c r="AE45" s="136">
        <v>3821909</v>
      </c>
      <c r="AF45" s="146">
        <f t="shared" si="30"/>
        <v>182524</v>
      </c>
      <c r="AG45" s="14">
        <v>3639385</v>
      </c>
      <c r="AH45" s="55">
        <f t="shared" si="31"/>
        <v>8.3736676570834945E-2</v>
      </c>
      <c r="AI45" s="18"/>
      <c r="AJ45" s="18"/>
      <c r="AK45" s="18"/>
      <c r="AL45" s="18"/>
      <c r="AM45" s="18"/>
      <c r="AN45" s="18"/>
      <c r="AO45" s="18"/>
      <c r="AP45" s="18"/>
    </row>
    <row r="46" spans="1:42" s="90" customFormat="1" x14ac:dyDescent="0.25">
      <c r="A46" s="71" t="s">
        <v>43</v>
      </c>
      <c r="B46" s="72">
        <v>5</v>
      </c>
      <c r="C46" s="283">
        <v>3256170</v>
      </c>
      <c r="D46" s="174">
        <v>24581</v>
      </c>
      <c r="E46" s="171">
        <v>43080</v>
      </c>
      <c r="F46" s="179">
        <v>61260</v>
      </c>
      <c r="G46" s="338"/>
      <c r="H46" s="173">
        <f t="shared" si="16"/>
        <v>3385091</v>
      </c>
      <c r="I46" s="172">
        <f t="shared" si="17"/>
        <v>3.9592834526452902E-2</v>
      </c>
      <c r="J46" s="15"/>
      <c r="K46" s="15"/>
      <c r="L46" s="15">
        <v>78119</v>
      </c>
      <c r="M46" s="15"/>
      <c r="N46" s="170">
        <f t="shared" si="18"/>
        <v>78119</v>
      </c>
      <c r="O46" s="170">
        <f t="shared" si="19"/>
        <v>3463210</v>
      </c>
      <c r="P46" s="282">
        <f t="shared" si="20"/>
        <v>2.3077370741288794E-2</v>
      </c>
      <c r="Q46" s="281">
        <v>3256170</v>
      </c>
      <c r="R46" s="280">
        <f t="shared" si="21"/>
        <v>7.9418780487804878E-3</v>
      </c>
      <c r="S46" s="279">
        <v>3256170</v>
      </c>
      <c r="T46" s="278">
        <f t="shared" si="22"/>
        <v>8.4126860630239844E-3</v>
      </c>
      <c r="U46" s="277">
        <f t="shared" si="32"/>
        <v>17849</v>
      </c>
      <c r="V46" s="95">
        <f t="shared" si="23"/>
        <v>40401</v>
      </c>
      <c r="W46" s="49">
        <f t="shared" si="24"/>
        <v>1.1665766730865295E-2</v>
      </c>
      <c r="X46" s="380">
        <v>128052.5</v>
      </c>
      <c r="Y46" s="144">
        <f t="shared" si="25"/>
        <v>8.0821136817193859E-3</v>
      </c>
      <c r="Z46" s="29">
        <f t="shared" si="26"/>
        <v>60839</v>
      </c>
      <c r="AA46" s="49">
        <f t="shared" si="27"/>
        <v>1.7567228091856978E-2</v>
      </c>
      <c r="AB46" s="14">
        <f t="shared" si="28"/>
        <v>119089</v>
      </c>
      <c r="AC46" s="276">
        <f t="shared" si="29"/>
        <v>3582299</v>
      </c>
      <c r="AD46" s="14"/>
      <c r="AE46" s="136">
        <v>3795664</v>
      </c>
      <c r="AF46" s="146">
        <f t="shared" si="30"/>
        <v>213365</v>
      </c>
      <c r="AG46" s="14">
        <v>3582299</v>
      </c>
      <c r="AH46" s="55">
        <f t="shared" si="31"/>
        <v>0.10015723994754566</v>
      </c>
      <c r="AI46" s="18"/>
      <c r="AJ46" s="18"/>
      <c r="AK46" s="18"/>
      <c r="AL46" s="18"/>
      <c r="AM46" s="18"/>
      <c r="AN46" s="18"/>
      <c r="AO46" s="18"/>
      <c r="AP46" s="18"/>
    </row>
    <row r="47" spans="1:42" s="90" customFormat="1" x14ac:dyDescent="0.25">
      <c r="A47" s="71" t="s">
        <v>44</v>
      </c>
      <c r="B47" s="72">
        <v>5</v>
      </c>
      <c r="C47" s="283">
        <v>2904913</v>
      </c>
      <c r="D47" s="174">
        <v>19977</v>
      </c>
      <c r="E47" s="171">
        <v>53686</v>
      </c>
      <c r="F47" s="179"/>
      <c r="G47" s="338"/>
      <c r="H47" s="173">
        <f t="shared" si="16"/>
        <v>2978576</v>
      </c>
      <c r="I47" s="172">
        <f t="shared" si="17"/>
        <v>2.5358074407047626E-2</v>
      </c>
      <c r="J47" s="15">
        <v>7570</v>
      </c>
      <c r="K47" s="15">
        <v>14380</v>
      </c>
      <c r="L47" s="15">
        <v>74201</v>
      </c>
      <c r="M47" s="15"/>
      <c r="N47" s="170">
        <f t="shared" si="18"/>
        <v>96151</v>
      </c>
      <c r="O47" s="170">
        <f t="shared" si="19"/>
        <v>3074727</v>
      </c>
      <c r="P47" s="282">
        <f t="shared" si="20"/>
        <v>3.228086172721456E-2</v>
      </c>
      <c r="Q47" s="281">
        <v>2904913</v>
      </c>
      <c r="R47" s="280">
        <f t="shared" si="21"/>
        <v>7.0851536585365858E-3</v>
      </c>
      <c r="S47" s="279">
        <v>2904913</v>
      </c>
      <c r="T47" s="278">
        <f t="shared" si="22"/>
        <v>7.5051735964022743E-3</v>
      </c>
      <c r="U47" s="277">
        <f t="shared" si="32"/>
        <v>15924</v>
      </c>
      <c r="V47" s="95">
        <f t="shared" si="23"/>
        <v>35869</v>
      </c>
      <c r="W47" s="49">
        <f t="shared" si="24"/>
        <v>1.1665751138231133E-2</v>
      </c>
      <c r="X47" s="380">
        <v>108560</v>
      </c>
      <c r="Y47" s="144">
        <f t="shared" si="25"/>
        <v>6.8518323444482264E-3</v>
      </c>
      <c r="Z47" s="29">
        <f t="shared" si="26"/>
        <v>51578</v>
      </c>
      <c r="AA47" s="49">
        <f t="shared" si="27"/>
        <v>1.6774822610267512E-2</v>
      </c>
      <c r="AB47" s="14">
        <f t="shared" si="28"/>
        <v>103371</v>
      </c>
      <c r="AC47" s="276">
        <f t="shared" si="29"/>
        <v>3178098</v>
      </c>
      <c r="AD47" s="14"/>
      <c r="AE47" s="136">
        <v>3369252</v>
      </c>
      <c r="AF47" s="146">
        <f t="shared" si="30"/>
        <v>191154</v>
      </c>
      <c r="AG47" s="14">
        <v>3178098</v>
      </c>
      <c r="AH47" s="55">
        <f t="shared" si="31"/>
        <v>9.4042403335315106E-2</v>
      </c>
      <c r="AI47" s="18"/>
      <c r="AJ47" s="18"/>
      <c r="AK47" s="18"/>
      <c r="AL47" s="18"/>
      <c r="AM47" s="18"/>
      <c r="AN47" s="18"/>
      <c r="AO47" s="18"/>
      <c r="AP47" s="18"/>
    </row>
    <row r="48" spans="1:42" s="90" customFormat="1" x14ac:dyDescent="0.25">
      <c r="A48" s="71" t="s">
        <v>45</v>
      </c>
      <c r="B48" s="72">
        <v>6</v>
      </c>
      <c r="C48" s="283">
        <v>3437112</v>
      </c>
      <c r="D48" s="174">
        <v>23212</v>
      </c>
      <c r="E48" s="171">
        <v>38926</v>
      </c>
      <c r="F48" s="179">
        <f>59555*2</f>
        <v>119110</v>
      </c>
      <c r="G48" s="338"/>
      <c r="H48" s="173">
        <f t="shared" si="16"/>
        <v>3618360</v>
      </c>
      <c r="I48" s="172">
        <f t="shared" si="17"/>
        <v>5.2732642986321077E-2</v>
      </c>
      <c r="J48" s="15"/>
      <c r="K48" s="15"/>
      <c r="L48" s="15">
        <v>81478</v>
      </c>
      <c r="M48" s="15"/>
      <c r="N48" s="170">
        <f t="shared" si="18"/>
        <v>81478</v>
      </c>
      <c r="O48" s="170">
        <f t="shared" si="19"/>
        <v>3699838</v>
      </c>
      <c r="P48" s="282">
        <f t="shared" si="20"/>
        <v>2.2517936302634434E-2</v>
      </c>
      <c r="Q48" s="281">
        <v>3437112</v>
      </c>
      <c r="R48" s="280">
        <f t="shared" si="21"/>
        <v>8.3832000000000004E-3</v>
      </c>
      <c r="S48" s="279">
        <v>3437112</v>
      </c>
      <c r="T48" s="278">
        <f t="shared" si="22"/>
        <v>8.8801703287765977E-3</v>
      </c>
      <c r="U48" s="277">
        <f t="shared" si="32"/>
        <v>18841</v>
      </c>
      <c r="V48" s="95">
        <f t="shared" si="23"/>
        <v>43161</v>
      </c>
      <c r="W48" s="49">
        <f t="shared" si="24"/>
        <v>1.1665645901252974E-2</v>
      </c>
      <c r="X48" s="380">
        <v>219287</v>
      </c>
      <c r="Y48" s="144">
        <f t="shared" si="25"/>
        <v>1.3840436250156763E-2</v>
      </c>
      <c r="Z48" s="29">
        <f t="shared" si="26"/>
        <v>104185</v>
      </c>
      <c r="AA48" s="49">
        <f t="shared" si="27"/>
        <v>2.8159341030607285E-2</v>
      </c>
      <c r="AB48" s="14">
        <f t="shared" si="28"/>
        <v>166187</v>
      </c>
      <c r="AC48" s="276">
        <f t="shared" si="29"/>
        <v>3866025</v>
      </c>
      <c r="AD48" s="14"/>
      <c r="AE48" s="136">
        <v>3959762</v>
      </c>
      <c r="AF48" s="146">
        <f t="shared" si="30"/>
        <v>93737</v>
      </c>
      <c r="AG48" s="14">
        <v>3866025</v>
      </c>
      <c r="AH48" s="55">
        <f t="shared" si="31"/>
        <v>0.12478877615858885</v>
      </c>
      <c r="AI48" s="18"/>
      <c r="AJ48" s="18"/>
      <c r="AK48" s="18"/>
      <c r="AL48" s="18"/>
      <c r="AM48" s="18"/>
      <c r="AN48" s="18"/>
      <c r="AO48" s="18"/>
      <c r="AP48" s="18"/>
    </row>
    <row r="49" spans="1:42" s="90" customFormat="1" x14ac:dyDescent="0.25">
      <c r="A49" s="71" t="s">
        <v>46</v>
      </c>
      <c r="B49" s="72">
        <v>6</v>
      </c>
      <c r="C49" s="283">
        <v>10485055</v>
      </c>
      <c r="D49" s="174">
        <v>67913</v>
      </c>
      <c r="E49" s="171">
        <v>138153</v>
      </c>
      <c r="F49" s="179"/>
      <c r="G49" s="338"/>
      <c r="H49" s="173">
        <f t="shared" si="16"/>
        <v>10691121</v>
      </c>
      <c r="I49" s="172">
        <f t="shared" si="17"/>
        <v>1.9653306539641369E-2</v>
      </c>
      <c r="J49" s="15"/>
      <c r="K49" s="15"/>
      <c r="L49" s="15">
        <v>250147</v>
      </c>
      <c r="M49" s="15"/>
      <c r="N49" s="170">
        <f t="shared" si="18"/>
        <v>250147</v>
      </c>
      <c r="O49" s="170">
        <f t="shared" si="19"/>
        <v>10941268</v>
      </c>
      <c r="P49" s="282">
        <f t="shared" si="20"/>
        <v>2.3397639966847184E-2</v>
      </c>
      <c r="Q49" s="281">
        <v>10485055</v>
      </c>
      <c r="R49" s="280">
        <f t="shared" si="21"/>
        <v>2.5573304878048781E-2</v>
      </c>
      <c r="S49" s="279">
        <v>10485055</v>
      </c>
      <c r="T49" s="278">
        <f t="shared" si="22"/>
        <v>2.7089333808904312E-2</v>
      </c>
      <c r="U49" s="277">
        <f t="shared" si="32"/>
        <v>57475</v>
      </c>
      <c r="V49" s="95">
        <f t="shared" si="23"/>
        <v>127637</v>
      </c>
      <c r="W49" s="49">
        <f t="shared" si="24"/>
        <v>1.1665649721768994E-2</v>
      </c>
      <c r="X49" s="380">
        <v>387079.5</v>
      </c>
      <c r="Y49" s="144">
        <f t="shared" si="25"/>
        <v>2.4430764903950325E-2</v>
      </c>
      <c r="Z49" s="29">
        <f t="shared" si="26"/>
        <v>183905</v>
      </c>
      <c r="AA49" s="49">
        <f t="shared" si="27"/>
        <v>1.6808380893329731E-2</v>
      </c>
      <c r="AB49" s="14">
        <f t="shared" si="28"/>
        <v>369017</v>
      </c>
      <c r="AC49" s="276">
        <f t="shared" si="29"/>
        <v>11310285</v>
      </c>
      <c r="AD49" s="14"/>
      <c r="AE49" s="136">
        <v>12031820</v>
      </c>
      <c r="AF49" s="146">
        <f t="shared" si="30"/>
        <v>721535</v>
      </c>
      <c r="AG49" s="14">
        <v>11310285</v>
      </c>
      <c r="AH49" s="55">
        <f t="shared" si="31"/>
        <v>7.8705357291878775E-2</v>
      </c>
      <c r="AI49" s="18"/>
      <c r="AJ49" s="18"/>
      <c r="AK49" s="18"/>
      <c r="AL49" s="18"/>
      <c r="AM49" s="18"/>
      <c r="AN49" s="18"/>
      <c r="AO49" s="18"/>
      <c r="AP49" s="18"/>
    </row>
    <row r="50" spans="1:42" s="90" customFormat="1" x14ac:dyDescent="0.25">
      <c r="A50" s="71" t="s">
        <v>47</v>
      </c>
      <c r="B50" s="72">
        <v>6</v>
      </c>
      <c r="C50" s="283">
        <v>5958891</v>
      </c>
      <c r="D50" s="174">
        <v>36443</v>
      </c>
      <c r="E50" s="171">
        <v>89526</v>
      </c>
      <c r="F50" s="179"/>
      <c r="G50" s="338"/>
      <c r="H50" s="173">
        <f t="shared" si="16"/>
        <v>6084860</v>
      </c>
      <c r="I50" s="172">
        <f t="shared" si="17"/>
        <v>2.1139671794634163E-2</v>
      </c>
      <c r="J50" s="15"/>
      <c r="K50" s="15"/>
      <c r="L50" s="15">
        <v>139900</v>
      </c>
      <c r="M50" s="15"/>
      <c r="N50" s="170">
        <f t="shared" si="18"/>
        <v>139900</v>
      </c>
      <c r="O50" s="170">
        <f t="shared" si="19"/>
        <v>6224760</v>
      </c>
      <c r="P50" s="282">
        <f t="shared" si="20"/>
        <v>2.2991490354749233E-2</v>
      </c>
      <c r="Q50" s="281">
        <v>5958891</v>
      </c>
      <c r="R50" s="280">
        <f t="shared" si="21"/>
        <v>1.4533880487804879E-2</v>
      </c>
      <c r="S50" s="279">
        <v>5958891</v>
      </c>
      <c r="T50" s="278">
        <f t="shared" si="22"/>
        <v>1.5395473598362203E-2</v>
      </c>
      <c r="U50" s="277">
        <f t="shared" si="32"/>
        <v>32664</v>
      </c>
      <c r="V50" s="95">
        <f t="shared" si="23"/>
        <v>72616</v>
      </c>
      <c r="W50" s="49">
        <f t="shared" si="24"/>
        <v>1.1665670644330063E-2</v>
      </c>
      <c r="X50" s="380">
        <v>207586</v>
      </c>
      <c r="Y50" s="144">
        <f t="shared" si="25"/>
        <v>1.3101920311851784E-2</v>
      </c>
      <c r="Z50" s="29">
        <f t="shared" si="26"/>
        <v>98626</v>
      </c>
      <c r="AA50" s="49">
        <f t="shared" si="27"/>
        <v>1.5844144995148406E-2</v>
      </c>
      <c r="AB50" s="14">
        <f t="shared" si="28"/>
        <v>203906</v>
      </c>
      <c r="AC50" s="276">
        <f t="shared" si="29"/>
        <v>6428666</v>
      </c>
      <c r="AD50" s="14"/>
      <c r="AE50" s="136">
        <v>7265883</v>
      </c>
      <c r="AF50" s="146">
        <f t="shared" si="30"/>
        <v>837217</v>
      </c>
      <c r="AG50" s="14">
        <v>6428666</v>
      </c>
      <c r="AH50" s="55">
        <f t="shared" si="31"/>
        <v>7.8835978036852827E-2</v>
      </c>
      <c r="AI50" s="18"/>
      <c r="AJ50" s="18"/>
      <c r="AK50" s="18"/>
      <c r="AL50" s="18"/>
      <c r="AM50" s="18"/>
      <c r="AN50" s="18"/>
      <c r="AO50" s="18"/>
      <c r="AP50" s="18"/>
    </row>
    <row r="51" spans="1:42" s="90" customFormat="1" x14ac:dyDescent="0.25">
      <c r="A51" s="71" t="s">
        <v>48</v>
      </c>
      <c r="B51" s="72">
        <v>6</v>
      </c>
      <c r="C51" s="283">
        <v>6399841</v>
      </c>
      <c r="D51" s="174">
        <v>37933</v>
      </c>
      <c r="E51" s="171">
        <v>73665</v>
      </c>
      <c r="F51" s="180">
        <f>52600</f>
        <v>52600</v>
      </c>
      <c r="G51" s="338"/>
      <c r="H51" s="173">
        <f t="shared" si="16"/>
        <v>6564039</v>
      </c>
      <c r="I51" s="172">
        <f t="shared" si="17"/>
        <v>2.5656574905532858E-2</v>
      </c>
      <c r="J51" s="15"/>
      <c r="K51" s="15">
        <f>111612-E51</f>
        <v>37947</v>
      </c>
      <c r="L51" s="15">
        <v>151601</v>
      </c>
      <c r="M51" s="15"/>
      <c r="N51" s="170">
        <f t="shared" si="18"/>
        <v>189548</v>
      </c>
      <c r="O51" s="170">
        <f t="shared" si="19"/>
        <v>6753587</v>
      </c>
      <c r="P51" s="282">
        <f t="shared" si="20"/>
        <v>2.8876732755548806E-2</v>
      </c>
      <c r="Q51" s="281">
        <v>6399841</v>
      </c>
      <c r="R51" s="280">
        <f t="shared" si="21"/>
        <v>1.5609368292682927E-2</v>
      </c>
      <c r="S51" s="279">
        <v>6399841</v>
      </c>
      <c r="T51" s="278">
        <f t="shared" si="22"/>
        <v>1.6534718146248347E-2</v>
      </c>
      <c r="U51" s="277">
        <f t="shared" si="32"/>
        <v>35081</v>
      </c>
      <c r="V51" s="95">
        <f t="shared" si="23"/>
        <v>78785</v>
      </c>
      <c r="W51" s="49">
        <f t="shared" si="24"/>
        <v>1.1665652637627975E-2</v>
      </c>
      <c r="X51" s="380">
        <v>232430</v>
      </c>
      <c r="Y51" s="144">
        <f t="shared" si="25"/>
        <v>1.4669964920966297E-2</v>
      </c>
      <c r="Z51" s="29">
        <f t="shared" si="26"/>
        <v>110430</v>
      </c>
      <c r="AA51" s="49">
        <f t="shared" si="27"/>
        <v>1.6351310792324138E-2</v>
      </c>
      <c r="AB51" s="14">
        <f t="shared" si="28"/>
        <v>224296</v>
      </c>
      <c r="AC51" s="276">
        <f t="shared" si="29"/>
        <v>6977883</v>
      </c>
      <c r="AD51" s="14"/>
      <c r="AE51" s="136">
        <v>7431609</v>
      </c>
      <c r="AF51" s="146">
        <f t="shared" si="30"/>
        <v>453726</v>
      </c>
      <c r="AG51" s="14">
        <v>6977883</v>
      </c>
      <c r="AH51" s="55">
        <f t="shared" si="31"/>
        <v>9.0321306419956393E-2</v>
      </c>
      <c r="AI51" s="18"/>
      <c r="AJ51" s="18"/>
      <c r="AK51" s="18"/>
      <c r="AL51" s="18"/>
      <c r="AM51" s="18"/>
      <c r="AN51" s="18"/>
      <c r="AO51" s="18"/>
      <c r="AP51" s="18"/>
    </row>
    <row r="52" spans="1:42" s="90" customFormat="1" x14ac:dyDescent="0.25">
      <c r="A52" s="71" t="s">
        <v>49</v>
      </c>
      <c r="B52" s="72">
        <v>6</v>
      </c>
      <c r="C52" s="283">
        <v>5662266</v>
      </c>
      <c r="D52" s="174">
        <v>40859</v>
      </c>
      <c r="E52" s="171">
        <v>67861</v>
      </c>
      <c r="F52" s="180"/>
      <c r="G52" s="338">
        <v>302137</v>
      </c>
      <c r="H52" s="173">
        <f t="shared" si="16"/>
        <v>5770986</v>
      </c>
      <c r="I52" s="172">
        <f t="shared" si="17"/>
        <v>1.9200793463252985E-2</v>
      </c>
      <c r="J52" s="15">
        <v>23422</v>
      </c>
      <c r="K52" s="15">
        <v>4511</v>
      </c>
      <c r="L52" s="15">
        <v>140622</v>
      </c>
      <c r="M52" s="15"/>
      <c r="N52" s="170">
        <f t="shared" si="18"/>
        <v>168555</v>
      </c>
      <c r="O52" s="170">
        <f t="shared" si="19"/>
        <v>5939541</v>
      </c>
      <c r="P52" s="282">
        <f t="shared" si="20"/>
        <v>2.9207313966798765E-2</v>
      </c>
      <c r="Q52" s="281">
        <v>5662266</v>
      </c>
      <c r="R52" s="280">
        <f t="shared" si="21"/>
        <v>1.3810404878048781E-2</v>
      </c>
      <c r="S52" s="279">
        <v>5662266</v>
      </c>
      <c r="T52" s="278">
        <f t="shared" si="22"/>
        <v>1.4629109126161891E-2</v>
      </c>
      <c r="U52" s="277">
        <f t="shared" si="32"/>
        <v>31038</v>
      </c>
      <c r="V52" s="95">
        <f t="shared" si="23"/>
        <v>69288</v>
      </c>
      <c r="W52" s="49">
        <f t="shared" si="24"/>
        <v>1.1665547893347315E-2</v>
      </c>
      <c r="X52" s="380">
        <v>204162</v>
      </c>
      <c r="Y52" s="144">
        <f t="shared" si="25"/>
        <v>1.2885812408872871E-2</v>
      </c>
      <c r="Z52" s="29">
        <f t="shared" si="26"/>
        <v>96999</v>
      </c>
      <c r="AA52" s="49">
        <f t="shared" si="27"/>
        <v>1.6331059925337666E-2</v>
      </c>
      <c r="AB52" s="14">
        <f t="shared" si="28"/>
        <v>197325</v>
      </c>
      <c r="AC52" s="276">
        <f t="shared" si="29"/>
        <v>6136866</v>
      </c>
      <c r="AD52" s="14"/>
      <c r="AE52" s="136">
        <v>6747773</v>
      </c>
      <c r="AF52" s="146">
        <f t="shared" si="30"/>
        <v>610907</v>
      </c>
      <c r="AG52" s="14">
        <v>6136866</v>
      </c>
      <c r="AH52" s="55">
        <f t="shared" si="31"/>
        <v>8.3818033275017356E-2</v>
      </c>
      <c r="AI52" s="18"/>
      <c r="AJ52" s="18"/>
      <c r="AK52" s="18"/>
      <c r="AL52" s="18"/>
      <c r="AM52" s="18"/>
      <c r="AN52" s="18"/>
      <c r="AO52" s="18"/>
      <c r="AP52" s="18"/>
    </row>
    <row r="53" spans="1:42" s="90" customFormat="1" x14ac:dyDescent="0.25">
      <c r="A53" s="71" t="s">
        <v>50</v>
      </c>
      <c r="B53" s="72">
        <v>6</v>
      </c>
      <c r="C53" s="283">
        <v>5464578</v>
      </c>
      <c r="D53" s="174">
        <v>66205</v>
      </c>
      <c r="E53" s="171">
        <v>71952</v>
      </c>
      <c r="F53" s="180"/>
      <c r="G53" s="338"/>
      <c r="H53" s="173">
        <f t="shared" si="16"/>
        <v>5602735</v>
      </c>
      <c r="I53" s="172">
        <f t="shared" si="17"/>
        <v>2.5282281632726278E-2</v>
      </c>
      <c r="J53" s="15"/>
      <c r="K53" s="15"/>
      <c r="L53" s="15">
        <v>124265</v>
      </c>
      <c r="M53" s="15"/>
      <c r="N53" s="170">
        <f t="shared" si="18"/>
        <v>124265</v>
      </c>
      <c r="O53" s="170">
        <f t="shared" si="19"/>
        <v>5727000</v>
      </c>
      <c r="P53" s="282">
        <f t="shared" si="20"/>
        <v>2.2179346337101391E-2</v>
      </c>
      <c r="Q53" s="281">
        <v>5464578</v>
      </c>
      <c r="R53" s="280">
        <f t="shared" si="21"/>
        <v>1.3328239024390244E-2</v>
      </c>
      <c r="S53" s="279">
        <v>5464578</v>
      </c>
      <c r="T53" s="278">
        <f t="shared" si="22"/>
        <v>1.4118359662089965E-2</v>
      </c>
      <c r="U53" s="277">
        <f t="shared" si="32"/>
        <v>29955</v>
      </c>
      <c r="V53" s="95">
        <f t="shared" si="23"/>
        <v>66809</v>
      </c>
      <c r="W53" s="49">
        <f t="shared" si="24"/>
        <v>1.166561899773005E-2</v>
      </c>
      <c r="X53" s="380">
        <v>172250</v>
      </c>
      <c r="Y53" s="144">
        <f t="shared" si="25"/>
        <v>1.087166655610913E-2</v>
      </c>
      <c r="Z53" s="29">
        <f t="shared" si="26"/>
        <v>81838</v>
      </c>
      <c r="AA53" s="49">
        <f t="shared" si="27"/>
        <v>1.4289855072463768E-2</v>
      </c>
      <c r="AB53" s="14">
        <f t="shared" si="28"/>
        <v>178602</v>
      </c>
      <c r="AC53" s="276">
        <f t="shared" si="29"/>
        <v>5905602</v>
      </c>
      <c r="AD53" s="14"/>
      <c r="AE53" s="136">
        <v>6947051</v>
      </c>
      <c r="AF53" s="146">
        <f t="shared" si="30"/>
        <v>1041449</v>
      </c>
      <c r="AG53" s="14">
        <v>5905602</v>
      </c>
      <c r="AH53" s="55">
        <f t="shared" si="31"/>
        <v>8.0705957532310801E-2</v>
      </c>
      <c r="AI53" s="18"/>
      <c r="AJ53" s="18"/>
      <c r="AK53" s="18"/>
      <c r="AL53" s="18"/>
      <c r="AM53" s="18"/>
      <c r="AN53" s="18"/>
      <c r="AO53" s="18"/>
      <c r="AP53" s="18"/>
    </row>
    <row r="54" spans="1:42" s="90" customFormat="1" x14ac:dyDescent="0.25">
      <c r="A54" s="71" t="s">
        <v>51</v>
      </c>
      <c r="B54" s="72">
        <v>6</v>
      </c>
      <c r="C54" s="283">
        <v>5474546</v>
      </c>
      <c r="D54" s="174">
        <v>33931</v>
      </c>
      <c r="E54" s="171">
        <v>74588</v>
      </c>
      <c r="F54" s="180"/>
      <c r="G54" s="338"/>
      <c r="H54" s="173">
        <f t="shared" si="16"/>
        <v>5583065</v>
      </c>
      <c r="I54" s="172">
        <f t="shared" si="17"/>
        <v>1.9822465643726472E-2</v>
      </c>
      <c r="J54" s="15">
        <v>13852</v>
      </c>
      <c r="K54" s="15">
        <v>15260</v>
      </c>
      <c r="L54" s="15">
        <v>123569</v>
      </c>
      <c r="M54" s="15"/>
      <c r="N54" s="170">
        <f t="shared" si="18"/>
        <v>152681</v>
      </c>
      <c r="O54" s="170">
        <f t="shared" si="19"/>
        <v>5735746</v>
      </c>
      <c r="P54" s="282">
        <f t="shared" si="20"/>
        <v>2.7347165042857391E-2</v>
      </c>
      <c r="Q54" s="281">
        <v>5474546</v>
      </c>
      <c r="R54" s="280">
        <f t="shared" si="21"/>
        <v>1.3352551219512196E-2</v>
      </c>
      <c r="S54" s="279">
        <v>5474546</v>
      </c>
      <c r="T54" s="278">
        <f t="shared" si="22"/>
        <v>1.4144113125415352E-2</v>
      </c>
      <c r="U54" s="277">
        <f t="shared" si="32"/>
        <v>30009</v>
      </c>
      <c r="V54" s="95">
        <f t="shared" si="23"/>
        <v>66911</v>
      </c>
      <c r="W54" s="49">
        <f t="shared" si="24"/>
        <v>1.1665614202581494E-2</v>
      </c>
      <c r="X54" s="380">
        <v>223721</v>
      </c>
      <c r="Y54" s="144">
        <f t="shared" si="25"/>
        <v>1.4120290935264386E-2</v>
      </c>
      <c r="Z54" s="29">
        <f t="shared" si="26"/>
        <v>106292</v>
      </c>
      <c r="AA54" s="49">
        <f t="shared" si="27"/>
        <v>1.8531504010114812E-2</v>
      </c>
      <c r="AB54" s="14">
        <f t="shared" si="28"/>
        <v>203212</v>
      </c>
      <c r="AC54" s="276">
        <f t="shared" si="29"/>
        <v>5938958</v>
      </c>
      <c r="AD54" s="14"/>
      <c r="AE54" s="136">
        <v>6290243</v>
      </c>
      <c r="AF54" s="146">
        <f t="shared" si="30"/>
        <v>351285</v>
      </c>
      <c r="AG54" s="14">
        <v>5938958</v>
      </c>
      <c r="AH54" s="55">
        <f t="shared" si="31"/>
        <v>8.4831143988926216E-2</v>
      </c>
      <c r="AI54" s="18"/>
      <c r="AJ54" s="18"/>
      <c r="AK54" s="18"/>
      <c r="AL54" s="18"/>
      <c r="AM54" s="18"/>
      <c r="AN54" s="18"/>
      <c r="AO54" s="18"/>
      <c r="AP54" s="18"/>
    </row>
    <row r="55" spans="1:42" s="90" customFormat="1" x14ac:dyDescent="0.25">
      <c r="A55" s="71" t="s">
        <v>52</v>
      </c>
      <c r="B55" s="72">
        <v>6</v>
      </c>
      <c r="C55" s="283">
        <v>6068963</v>
      </c>
      <c r="D55" s="174">
        <v>37311</v>
      </c>
      <c r="E55" s="171">
        <v>81467</v>
      </c>
      <c r="F55" s="180"/>
      <c r="G55" s="338"/>
      <c r="H55" s="173">
        <f t="shared" si="16"/>
        <v>6187741</v>
      </c>
      <c r="I55" s="172">
        <f t="shared" si="17"/>
        <v>1.9571383117676033E-2</v>
      </c>
      <c r="J55" s="15"/>
      <c r="K55" s="15">
        <v>4116</v>
      </c>
      <c r="L55" s="15">
        <v>146312</v>
      </c>
      <c r="M55" s="15"/>
      <c r="N55" s="170">
        <f t="shared" si="18"/>
        <v>150428</v>
      </c>
      <c r="O55" s="170">
        <f t="shared" si="19"/>
        <v>6338169</v>
      </c>
      <c r="P55" s="282">
        <f t="shared" si="20"/>
        <v>2.4310649072092794E-2</v>
      </c>
      <c r="Q55" s="281">
        <v>6068963</v>
      </c>
      <c r="R55" s="280">
        <f t="shared" si="21"/>
        <v>1.4802348780487804E-2</v>
      </c>
      <c r="S55" s="279">
        <v>6068963</v>
      </c>
      <c r="T55" s="278">
        <f t="shared" si="22"/>
        <v>1.5679857147233786E-2</v>
      </c>
      <c r="U55" s="277">
        <f t="shared" si="32"/>
        <v>33268</v>
      </c>
      <c r="V55" s="95">
        <f t="shared" si="23"/>
        <v>73939</v>
      </c>
      <c r="W55" s="49">
        <f t="shared" si="24"/>
        <v>1.1665671899881496E-2</v>
      </c>
      <c r="X55" s="380">
        <v>237481</v>
      </c>
      <c r="Y55" s="144">
        <f t="shared" si="25"/>
        <v>1.4988761947235715E-2</v>
      </c>
      <c r="Z55" s="29">
        <f t="shared" si="26"/>
        <v>112830</v>
      </c>
      <c r="AA55" s="49">
        <f t="shared" si="27"/>
        <v>1.7801671113534524E-2</v>
      </c>
      <c r="AB55" s="14">
        <f t="shared" si="28"/>
        <v>220037</v>
      </c>
      <c r="AC55" s="276">
        <f t="shared" si="29"/>
        <v>6558206</v>
      </c>
      <c r="AD55" s="14"/>
      <c r="AE55" s="136">
        <v>7031670</v>
      </c>
      <c r="AF55" s="146">
        <f t="shared" si="30"/>
        <v>473464</v>
      </c>
      <c r="AG55" s="14">
        <v>6558206</v>
      </c>
      <c r="AH55" s="55">
        <f t="shared" si="31"/>
        <v>8.0613936845553402E-2</v>
      </c>
      <c r="AI55" s="18"/>
      <c r="AJ55" s="18"/>
      <c r="AK55" s="18"/>
      <c r="AL55" s="18"/>
      <c r="AM55" s="18"/>
      <c r="AN55" s="18"/>
      <c r="AO55" s="18"/>
      <c r="AP55" s="18"/>
    </row>
    <row r="56" spans="1:42" s="90" customFormat="1" x14ac:dyDescent="0.25">
      <c r="A56" s="71" t="s">
        <v>53</v>
      </c>
      <c r="B56" s="72">
        <v>6</v>
      </c>
      <c r="C56" s="283">
        <v>6760921</v>
      </c>
      <c r="D56" s="174">
        <v>47217</v>
      </c>
      <c r="E56" s="171">
        <v>91418</v>
      </c>
      <c r="F56" s="180">
        <f>60169</f>
        <v>60169</v>
      </c>
      <c r="G56" s="338"/>
      <c r="H56" s="173">
        <f t="shared" si="16"/>
        <v>6959725</v>
      </c>
      <c r="I56" s="172">
        <f t="shared" si="17"/>
        <v>2.9404869543661283E-2</v>
      </c>
      <c r="J56" s="15">
        <v>5922</v>
      </c>
      <c r="K56" s="15">
        <f>138512-E56</f>
        <v>47094</v>
      </c>
      <c r="L56" s="15">
        <v>163309</v>
      </c>
      <c r="M56" s="15">
        <v>318230</v>
      </c>
      <c r="N56" s="170">
        <f t="shared" si="18"/>
        <v>534555</v>
      </c>
      <c r="O56" s="170">
        <f t="shared" si="19"/>
        <v>7494280</v>
      </c>
      <c r="P56" s="282">
        <f t="shared" si="20"/>
        <v>7.680691406628859E-2</v>
      </c>
      <c r="Q56" s="281">
        <v>6760921</v>
      </c>
      <c r="R56" s="280">
        <f t="shared" si="21"/>
        <v>1.6490051219512195E-2</v>
      </c>
      <c r="S56" s="279">
        <v>6760921</v>
      </c>
      <c r="T56" s="278">
        <f t="shared" si="22"/>
        <v>1.7467609452180378E-2</v>
      </c>
      <c r="U56" s="277">
        <f t="shared" si="32"/>
        <v>37061</v>
      </c>
      <c r="V56" s="95">
        <f t="shared" si="23"/>
        <v>87425</v>
      </c>
      <c r="W56" s="49">
        <f t="shared" si="24"/>
        <v>1.1665563603174688E-2</v>
      </c>
      <c r="X56" s="380">
        <v>273545.5</v>
      </c>
      <c r="Y56" s="144">
        <f t="shared" si="25"/>
        <v>1.7264995436424672E-2</v>
      </c>
      <c r="Z56" s="29">
        <f t="shared" si="26"/>
        <v>129964</v>
      </c>
      <c r="AA56" s="49">
        <f t="shared" si="27"/>
        <v>1.7341759315104319E-2</v>
      </c>
      <c r="AB56" s="14">
        <f t="shared" si="28"/>
        <v>254450</v>
      </c>
      <c r="AC56" s="276">
        <f t="shared" si="29"/>
        <v>7748730</v>
      </c>
      <c r="AD56" s="14"/>
      <c r="AE56" s="136">
        <v>8516178</v>
      </c>
      <c r="AF56" s="146">
        <f t="shared" si="30"/>
        <v>767448</v>
      </c>
      <c r="AG56" s="14">
        <v>7748730</v>
      </c>
      <c r="AH56" s="55">
        <f t="shared" si="31"/>
        <v>0.14610568589693629</v>
      </c>
      <c r="AI56" s="18"/>
      <c r="AJ56" s="18"/>
      <c r="AK56" s="18"/>
      <c r="AL56" s="18"/>
      <c r="AM56" s="18"/>
      <c r="AN56" s="18"/>
      <c r="AO56" s="18"/>
      <c r="AP56" s="18"/>
    </row>
    <row r="57" spans="1:42" s="90" customFormat="1" x14ac:dyDescent="0.25">
      <c r="A57" s="71" t="s">
        <v>54</v>
      </c>
      <c r="B57" s="72">
        <v>6</v>
      </c>
      <c r="C57" s="283">
        <v>10766297</v>
      </c>
      <c r="D57" s="174">
        <v>80800</v>
      </c>
      <c r="E57" s="171">
        <v>132303</v>
      </c>
      <c r="F57" s="180"/>
      <c r="G57" s="338"/>
      <c r="H57" s="173">
        <f t="shared" si="16"/>
        <v>10979400</v>
      </c>
      <c r="I57" s="172">
        <f t="shared" si="17"/>
        <v>1.979352789543154E-2</v>
      </c>
      <c r="J57" s="15"/>
      <c r="K57" s="15"/>
      <c r="L57" s="15">
        <v>279357</v>
      </c>
      <c r="M57" s="15"/>
      <c r="N57" s="170">
        <f t="shared" si="18"/>
        <v>279357</v>
      </c>
      <c r="O57" s="170">
        <f t="shared" si="19"/>
        <v>11258757</v>
      </c>
      <c r="P57" s="282">
        <f t="shared" si="20"/>
        <v>2.5443740095087097E-2</v>
      </c>
      <c r="Q57" s="281">
        <v>10766297</v>
      </c>
      <c r="R57" s="280">
        <f t="shared" si="21"/>
        <v>2.6259260975609756E-2</v>
      </c>
      <c r="S57" s="279">
        <v>10766297</v>
      </c>
      <c r="T57" s="278">
        <f t="shared" si="22"/>
        <v>2.7815954548526933E-2</v>
      </c>
      <c r="U57" s="277">
        <f t="shared" si="32"/>
        <v>59017</v>
      </c>
      <c r="V57" s="95">
        <f t="shared" si="23"/>
        <v>131340</v>
      </c>
      <c r="W57" s="49">
        <f t="shared" si="24"/>
        <v>1.1665586174388523E-2</v>
      </c>
      <c r="X57" s="380">
        <v>326077</v>
      </c>
      <c r="Y57" s="144">
        <f t="shared" si="25"/>
        <v>2.0580553936815075E-2</v>
      </c>
      <c r="Z57" s="29">
        <f t="shared" si="26"/>
        <v>154922</v>
      </c>
      <c r="AA57" s="49">
        <f t="shared" si="27"/>
        <v>1.3760133556484077E-2</v>
      </c>
      <c r="AB57" s="14">
        <f t="shared" si="28"/>
        <v>345279</v>
      </c>
      <c r="AC57" s="276">
        <f t="shared" si="29"/>
        <v>11604036</v>
      </c>
      <c r="AD57" s="14"/>
      <c r="AE57" s="136">
        <v>12431629</v>
      </c>
      <c r="AF57" s="146">
        <f t="shared" si="30"/>
        <v>827593</v>
      </c>
      <c r="AG57" s="14">
        <v>11604036</v>
      </c>
      <c r="AH57" s="55">
        <f t="shared" si="31"/>
        <v>7.7811247451189613E-2</v>
      </c>
      <c r="AI57" s="18"/>
      <c r="AJ57" s="18"/>
      <c r="AK57" s="18"/>
      <c r="AL57" s="18"/>
      <c r="AM57" s="18"/>
      <c r="AN57" s="18"/>
      <c r="AO57" s="18"/>
      <c r="AP57" s="18"/>
    </row>
    <row r="58" spans="1:42" s="90" customFormat="1" x14ac:dyDescent="0.25">
      <c r="A58" s="71" t="s">
        <v>55</v>
      </c>
      <c r="B58" s="72">
        <v>6</v>
      </c>
      <c r="C58" s="283">
        <v>6162040</v>
      </c>
      <c r="D58" s="174">
        <v>31456</v>
      </c>
      <c r="E58" s="171">
        <v>104439</v>
      </c>
      <c r="F58" s="180"/>
      <c r="G58" s="338"/>
      <c r="H58" s="173">
        <f t="shared" si="16"/>
        <v>6297935</v>
      </c>
      <c r="I58" s="172">
        <f t="shared" si="17"/>
        <v>2.20535731673277E-2</v>
      </c>
      <c r="J58" s="15"/>
      <c r="K58" s="15">
        <v>52219</v>
      </c>
      <c r="L58" s="15">
        <v>122760</v>
      </c>
      <c r="M58" s="15"/>
      <c r="N58" s="170">
        <f t="shared" si="18"/>
        <v>174979</v>
      </c>
      <c r="O58" s="170">
        <f t="shared" si="19"/>
        <v>6472914</v>
      </c>
      <c r="P58" s="282">
        <f t="shared" si="20"/>
        <v>2.7783551275140095E-2</v>
      </c>
      <c r="Q58" s="281">
        <v>6162040</v>
      </c>
      <c r="R58" s="280">
        <f t="shared" si="21"/>
        <v>1.5029365853658537E-2</v>
      </c>
      <c r="S58" s="279">
        <v>6162040</v>
      </c>
      <c r="T58" s="278">
        <f t="shared" si="22"/>
        <v>1.5920332177925697E-2</v>
      </c>
      <c r="U58" s="277">
        <f t="shared" si="32"/>
        <v>33778</v>
      </c>
      <c r="V58" s="95">
        <f t="shared" si="23"/>
        <v>75511</v>
      </c>
      <c r="W58" s="49">
        <f t="shared" si="24"/>
        <v>1.1665688745439844E-2</v>
      </c>
      <c r="X58" s="380">
        <v>215125.5</v>
      </c>
      <c r="Y58" s="144">
        <f t="shared" si="25"/>
        <v>1.3577780573098719E-2</v>
      </c>
      <c r="Z58" s="29">
        <f t="shared" si="26"/>
        <v>102208</v>
      </c>
      <c r="AA58" s="49">
        <f t="shared" si="27"/>
        <v>1.5790106279799175E-2</v>
      </c>
      <c r="AB58" s="14">
        <f t="shared" si="28"/>
        <v>211497</v>
      </c>
      <c r="AC58" s="276">
        <f t="shared" si="29"/>
        <v>6684411</v>
      </c>
      <c r="AD58" s="14"/>
      <c r="AE58" s="136">
        <v>7194169</v>
      </c>
      <c r="AF58" s="146">
        <f t="shared" si="30"/>
        <v>509758</v>
      </c>
      <c r="AG58" s="14">
        <v>6684411</v>
      </c>
      <c r="AH58" s="55">
        <f t="shared" si="31"/>
        <v>8.4772413032047744E-2</v>
      </c>
      <c r="AI58" s="18"/>
      <c r="AJ58" s="18"/>
      <c r="AK58" s="18"/>
      <c r="AL58" s="18"/>
      <c r="AM58" s="18"/>
      <c r="AN58" s="18"/>
      <c r="AO58" s="18"/>
      <c r="AP58" s="18"/>
    </row>
    <row r="59" spans="1:42" s="90" customFormat="1" x14ac:dyDescent="0.25">
      <c r="A59" s="71" t="s">
        <v>56</v>
      </c>
      <c r="B59" s="72">
        <v>6</v>
      </c>
      <c r="C59" s="283">
        <v>7549352</v>
      </c>
      <c r="D59" s="174">
        <v>48018</v>
      </c>
      <c r="E59" s="171">
        <v>78609</v>
      </c>
      <c r="F59" s="180"/>
      <c r="G59" s="338"/>
      <c r="H59" s="173">
        <f t="shared" si="16"/>
        <v>7675979</v>
      </c>
      <c r="I59" s="172">
        <f t="shared" si="17"/>
        <v>1.6773227688946069E-2</v>
      </c>
      <c r="J59" s="15">
        <v>2115</v>
      </c>
      <c r="K59" s="15"/>
      <c r="L59" s="15">
        <v>187040</v>
      </c>
      <c r="M59" s="15"/>
      <c r="N59" s="170">
        <f t="shared" si="18"/>
        <v>189155</v>
      </c>
      <c r="O59" s="170">
        <f t="shared" si="19"/>
        <v>7865134</v>
      </c>
      <c r="P59" s="282">
        <f t="shared" si="20"/>
        <v>2.4642459287603558E-2</v>
      </c>
      <c r="Q59" s="281">
        <v>7549352</v>
      </c>
      <c r="R59" s="280">
        <f t="shared" si="21"/>
        <v>1.8413053658536585E-2</v>
      </c>
      <c r="S59" s="279">
        <v>7549352</v>
      </c>
      <c r="T59" s="278">
        <f t="shared" si="22"/>
        <v>1.9504610740613128E-2</v>
      </c>
      <c r="U59" s="277">
        <f t="shared" si="32"/>
        <v>41383</v>
      </c>
      <c r="V59" s="95">
        <f t="shared" si="23"/>
        <v>91752</v>
      </c>
      <c r="W59" s="49">
        <f t="shared" si="24"/>
        <v>1.1665662657495727E-2</v>
      </c>
      <c r="X59" s="380">
        <v>261891.5</v>
      </c>
      <c r="Y59" s="144">
        <f t="shared" si="25"/>
        <v>1.652944593253558E-2</v>
      </c>
      <c r="Z59" s="29">
        <f t="shared" si="26"/>
        <v>124427</v>
      </c>
      <c r="AA59" s="49">
        <f t="shared" si="27"/>
        <v>1.5820073758438191E-2</v>
      </c>
      <c r="AB59" s="14">
        <f t="shared" si="28"/>
        <v>257562</v>
      </c>
      <c r="AC59" s="276">
        <f t="shared" si="29"/>
        <v>8122696</v>
      </c>
      <c r="AD59" s="14"/>
      <c r="AE59" s="136">
        <v>8638033</v>
      </c>
      <c r="AF59" s="146">
        <f t="shared" si="30"/>
        <v>515337</v>
      </c>
      <c r="AG59" s="14">
        <v>8122696</v>
      </c>
      <c r="AH59" s="55">
        <f t="shared" si="31"/>
        <v>7.5946120938591877E-2</v>
      </c>
      <c r="AI59" s="18"/>
      <c r="AJ59" s="18"/>
      <c r="AK59" s="18"/>
      <c r="AL59" s="18"/>
      <c r="AM59" s="18"/>
      <c r="AN59" s="18"/>
      <c r="AO59" s="18"/>
      <c r="AP59" s="18"/>
    </row>
    <row r="60" spans="1:42" s="90" customFormat="1" x14ac:dyDescent="0.25">
      <c r="A60" s="71" t="s">
        <v>57</v>
      </c>
      <c r="B60" s="72">
        <v>6</v>
      </c>
      <c r="C60" s="283">
        <v>8135019</v>
      </c>
      <c r="D60" s="174">
        <v>51188</v>
      </c>
      <c r="E60" s="171">
        <v>143914</v>
      </c>
      <c r="F60" s="180"/>
      <c r="G60" s="338"/>
      <c r="H60" s="173">
        <f t="shared" si="16"/>
        <v>8330121</v>
      </c>
      <c r="I60" s="172">
        <f t="shared" si="17"/>
        <v>2.3982980248724584E-2</v>
      </c>
      <c r="J60" s="15"/>
      <c r="K60" s="15">
        <f>218052-E60</f>
        <v>74138</v>
      </c>
      <c r="L60" s="15">
        <v>183596</v>
      </c>
      <c r="M60" s="15"/>
      <c r="N60" s="170">
        <f t="shared" si="18"/>
        <v>257734</v>
      </c>
      <c r="O60" s="170">
        <f t="shared" si="19"/>
        <v>8587855</v>
      </c>
      <c r="P60" s="282">
        <f t="shared" si="20"/>
        <v>3.0940006753803484E-2</v>
      </c>
      <c r="Q60" s="281">
        <v>8135019</v>
      </c>
      <c r="R60" s="280">
        <f t="shared" si="21"/>
        <v>1.984150975609756E-2</v>
      </c>
      <c r="S60" s="279">
        <v>8135019</v>
      </c>
      <c r="T60" s="278">
        <f t="shared" si="22"/>
        <v>2.101774814083273E-2</v>
      </c>
      <c r="U60" s="277">
        <f t="shared" si="32"/>
        <v>44593</v>
      </c>
      <c r="V60" s="95">
        <f t="shared" si="23"/>
        <v>100183</v>
      </c>
      <c r="W60" s="49">
        <f t="shared" si="24"/>
        <v>1.1665660400647194E-2</v>
      </c>
      <c r="X60" s="380">
        <v>270628.5</v>
      </c>
      <c r="Y60" s="144">
        <f t="shared" si="25"/>
        <v>1.7080887155761854E-2</v>
      </c>
      <c r="Z60" s="29">
        <f t="shared" si="26"/>
        <v>128578</v>
      </c>
      <c r="AA60" s="49">
        <f t="shared" si="27"/>
        <v>1.497207393464375E-2</v>
      </c>
      <c r="AB60" s="14">
        <f t="shared" si="28"/>
        <v>273354</v>
      </c>
      <c r="AC60" s="276">
        <f t="shared" si="29"/>
        <v>8861209</v>
      </c>
      <c r="AD60" s="14"/>
      <c r="AE60" s="136">
        <v>9428927</v>
      </c>
      <c r="AF60" s="146">
        <f t="shared" si="30"/>
        <v>567718</v>
      </c>
      <c r="AG60" s="14">
        <v>8861209</v>
      </c>
      <c r="AH60" s="55">
        <f t="shared" si="31"/>
        <v>8.9267154754033129E-2</v>
      </c>
      <c r="AI60" s="18"/>
      <c r="AJ60" s="18"/>
      <c r="AK60" s="18"/>
      <c r="AL60" s="18"/>
      <c r="AM60" s="18"/>
      <c r="AN60" s="18"/>
      <c r="AO60" s="18"/>
      <c r="AP60" s="18"/>
    </row>
    <row r="61" spans="1:42" s="90" customFormat="1" x14ac:dyDescent="0.25">
      <c r="A61" s="71" t="s">
        <v>58</v>
      </c>
      <c r="B61" s="72">
        <v>7</v>
      </c>
      <c r="C61" s="283">
        <v>17962793</v>
      </c>
      <c r="D61" s="174">
        <v>252116</v>
      </c>
      <c r="E61" s="171">
        <v>133975</v>
      </c>
      <c r="F61" s="180"/>
      <c r="G61" s="338"/>
      <c r="H61" s="173">
        <f t="shared" si="16"/>
        <v>18348884</v>
      </c>
      <c r="I61" s="172">
        <f t="shared" si="17"/>
        <v>2.1493929145651292E-2</v>
      </c>
      <c r="J61" s="15">
        <v>94527</v>
      </c>
      <c r="K61" s="15"/>
      <c r="L61" s="15">
        <v>401217</v>
      </c>
      <c r="M61" s="15"/>
      <c r="N61" s="170">
        <f t="shared" si="18"/>
        <v>495744</v>
      </c>
      <c r="O61" s="170">
        <f t="shared" si="19"/>
        <v>18844628</v>
      </c>
      <c r="P61" s="282">
        <f t="shared" si="20"/>
        <v>2.7017664943546515E-2</v>
      </c>
      <c r="Q61" s="281">
        <v>17962793</v>
      </c>
      <c r="R61" s="280">
        <f t="shared" si="21"/>
        <v>4.381169024390244E-2</v>
      </c>
      <c r="S61" s="279">
        <v>17962793</v>
      </c>
      <c r="T61" s="278">
        <f t="shared" si="22"/>
        <v>4.640892162389703E-2</v>
      </c>
      <c r="U61" s="277">
        <f t="shared" si="32"/>
        <v>98465</v>
      </c>
      <c r="V61" s="95">
        <f t="shared" si="23"/>
        <v>219834</v>
      </c>
      <c r="W61" s="49">
        <f t="shared" si="24"/>
        <v>1.1665605710019853E-2</v>
      </c>
      <c r="X61" s="380">
        <v>881667</v>
      </c>
      <c r="Y61" s="144">
        <f t="shared" si="25"/>
        <v>5.5646964513933625E-2</v>
      </c>
      <c r="Z61" s="29">
        <f t="shared" si="26"/>
        <v>418889</v>
      </c>
      <c r="AA61" s="49">
        <f t="shared" si="27"/>
        <v>2.2228562962346616E-2</v>
      </c>
      <c r="AB61" s="14">
        <f t="shared" si="28"/>
        <v>737188</v>
      </c>
      <c r="AC61" s="276">
        <f t="shared" si="29"/>
        <v>19581816</v>
      </c>
      <c r="AD61" s="14"/>
      <c r="AE61" s="136">
        <v>20463187</v>
      </c>
      <c r="AF61" s="146">
        <f t="shared" si="30"/>
        <v>881371</v>
      </c>
      <c r="AG61" s="14">
        <v>19581816</v>
      </c>
      <c r="AH61" s="55">
        <f t="shared" si="31"/>
        <v>9.0132030135847918E-2</v>
      </c>
      <c r="AI61" s="18"/>
      <c r="AJ61" s="18"/>
      <c r="AK61" s="18"/>
      <c r="AL61" s="18"/>
      <c r="AM61" s="18"/>
      <c r="AN61" s="18"/>
      <c r="AO61" s="18"/>
      <c r="AP61" s="18"/>
    </row>
    <row r="62" spans="1:42" s="90" customFormat="1" x14ac:dyDescent="0.25">
      <c r="A62" s="71" t="s">
        <v>59</v>
      </c>
      <c r="B62" s="72">
        <v>7</v>
      </c>
      <c r="C62" s="283">
        <v>10708892</v>
      </c>
      <c r="D62" s="174">
        <v>63105</v>
      </c>
      <c r="E62" s="171">
        <v>181949</v>
      </c>
      <c r="F62" s="180">
        <v>65670</v>
      </c>
      <c r="G62" s="338"/>
      <c r="H62" s="173">
        <f t="shared" si="16"/>
        <v>11019616</v>
      </c>
      <c r="I62" s="172">
        <f t="shared" si="17"/>
        <v>2.901551346301745E-2</v>
      </c>
      <c r="J62" s="15"/>
      <c r="K62" s="15"/>
      <c r="L62" s="15">
        <v>251266</v>
      </c>
      <c r="M62" s="15"/>
      <c r="N62" s="170">
        <f t="shared" si="18"/>
        <v>251266</v>
      </c>
      <c r="O62" s="170">
        <f t="shared" si="19"/>
        <v>11270882</v>
      </c>
      <c r="P62" s="282">
        <f t="shared" si="20"/>
        <v>2.2801701983081735E-2</v>
      </c>
      <c r="Q62" s="281">
        <v>10708892</v>
      </c>
      <c r="R62" s="280">
        <f t="shared" si="21"/>
        <v>2.6119248780487804E-2</v>
      </c>
      <c r="S62" s="279">
        <v>10708892</v>
      </c>
      <c r="T62" s="278">
        <f t="shared" si="22"/>
        <v>2.7667642192769126E-2</v>
      </c>
      <c r="U62" s="277">
        <f t="shared" si="32"/>
        <v>58702</v>
      </c>
      <c r="V62" s="95">
        <f t="shared" si="23"/>
        <v>131482</v>
      </c>
      <c r="W62" s="49">
        <f t="shared" si="24"/>
        <v>1.1665635395703726E-2</v>
      </c>
      <c r="X62" s="380">
        <v>481609.5</v>
      </c>
      <c r="Y62" s="144">
        <f t="shared" si="25"/>
        <v>3.0397085017442319E-2</v>
      </c>
      <c r="Z62" s="29">
        <f t="shared" si="26"/>
        <v>228817</v>
      </c>
      <c r="AA62" s="49">
        <f t="shared" si="27"/>
        <v>2.0301605499906752E-2</v>
      </c>
      <c r="AB62" s="14">
        <f t="shared" si="28"/>
        <v>419001</v>
      </c>
      <c r="AC62" s="276">
        <f t="shared" si="29"/>
        <v>11689883</v>
      </c>
      <c r="AD62" s="14"/>
      <c r="AE62" s="136">
        <v>12262996</v>
      </c>
      <c r="AF62" s="146">
        <f t="shared" si="30"/>
        <v>573113</v>
      </c>
      <c r="AG62" s="14">
        <v>11689883</v>
      </c>
      <c r="AH62" s="55">
        <f t="shared" si="31"/>
        <v>9.1605275316998247E-2</v>
      </c>
      <c r="AI62" s="18"/>
      <c r="AJ62" s="18"/>
      <c r="AK62" s="18"/>
      <c r="AL62" s="18"/>
      <c r="AM62" s="18"/>
      <c r="AN62" s="18"/>
      <c r="AO62" s="18"/>
      <c r="AP62" s="18"/>
    </row>
    <row r="63" spans="1:42" s="90" customFormat="1" x14ac:dyDescent="0.25">
      <c r="A63" s="71" t="s">
        <v>60</v>
      </c>
      <c r="B63" s="72">
        <v>7</v>
      </c>
      <c r="C63" s="283">
        <v>21039506</v>
      </c>
      <c r="D63" s="174">
        <v>122154</v>
      </c>
      <c r="E63" s="171">
        <v>319077</v>
      </c>
      <c r="F63" s="180"/>
      <c r="G63" s="338"/>
      <c r="H63" s="173">
        <f t="shared" si="16"/>
        <v>21480737</v>
      </c>
      <c r="I63" s="172">
        <f t="shared" si="17"/>
        <v>2.0971547525878265E-2</v>
      </c>
      <c r="J63" s="15"/>
      <c r="K63" s="15"/>
      <c r="L63" s="15">
        <v>473554</v>
      </c>
      <c r="M63" s="15"/>
      <c r="N63" s="170">
        <f t="shared" si="18"/>
        <v>473554</v>
      </c>
      <c r="O63" s="170">
        <f t="shared" si="19"/>
        <v>21954291</v>
      </c>
      <c r="P63" s="282">
        <f t="shared" si="20"/>
        <v>2.2045519201692176E-2</v>
      </c>
      <c r="Q63" s="281">
        <v>21039506</v>
      </c>
      <c r="R63" s="280">
        <f t="shared" si="21"/>
        <v>5.1315868292682927E-2</v>
      </c>
      <c r="S63" s="279">
        <v>21039506</v>
      </c>
      <c r="T63" s="278">
        <f t="shared" si="22"/>
        <v>5.4357960087805461E-2</v>
      </c>
      <c r="U63" s="277">
        <f t="shared" si="32"/>
        <v>115330</v>
      </c>
      <c r="V63" s="95">
        <f t="shared" si="23"/>
        <v>256110</v>
      </c>
      <c r="W63" s="49">
        <f t="shared" si="24"/>
        <v>1.1665601043549982E-2</v>
      </c>
      <c r="X63" s="380">
        <v>675514.5</v>
      </c>
      <c r="Y63" s="144">
        <f t="shared" si="25"/>
        <v>4.2635520451766502E-2</v>
      </c>
      <c r="Z63" s="29">
        <f t="shared" si="26"/>
        <v>320944</v>
      </c>
      <c r="AA63" s="49">
        <f t="shared" si="27"/>
        <v>1.4618736719851259E-2</v>
      </c>
      <c r="AB63" s="14">
        <f t="shared" si="28"/>
        <v>692384</v>
      </c>
      <c r="AC63" s="276">
        <f t="shared" si="29"/>
        <v>22646675</v>
      </c>
      <c r="AD63" s="14"/>
      <c r="AE63" s="136">
        <v>26426328</v>
      </c>
      <c r="AF63" s="146">
        <f t="shared" si="30"/>
        <v>3779653</v>
      </c>
      <c r="AG63" s="14">
        <v>22646675</v>
      </c>
      <c r="AH63" s="55">
        <f t="shared" si="31"/>
        <v>7.6388152839710122E-2</v>
      </c>
      <c r="AI63" s="18"/>
      <c r="AJ63" s="18"/>
      <c r="AK63" s="18"/>
      <c r="AL63" s="18"/>
      <c r="AM63" s="18"/>
      <c r="AN63" s="18"/>
      <c r="AO63" s="18"/>
      <c r="AP63" s="18"/>
    </row>
    <row r="64" spans="1:42" s="90" customFormat="1" x14ac:dyDescent="0.25">
      <c r="A64" s="71" t="s">
        <v>61</v>
      </c>
      <c r="B64" s="72">
        <v>7</v>
      </c>
      <c r="C64" s="283">
        <v>11472659</v>
      </c>
      <c r="D64" s="174">
        <v>66972</v>
      </c>
      <c r="E64" s="171">
        <v>151449</v>
      </c>
      <c r="F64" s="180"/>
      <c r="G64" s="338">
        <v>370500</v>
      </c>
      <c r="H64" s="173">
        <f t="shared" si="16"/>
        <v>11691080</v>
      </c>
      <c r="I64" s="172">
        <f t="shared" si="17"/>
        <v>1.9038393802169207E-2</v>
      </c>
      <c r="J64" s="15"/>
      <c r="K64" s="15"/>
      <c r="L64" s="15">
        <v>260401</v>
      </c>
      <c r="M64" s="15"/>
      <c r="N64" s="170">
        <f t="shared" si="18"/>
        <v>260401</v>
      </c>
      <c r="O64" s="170">
        <f t="shared" si="19"/>
        <v>11951481</v>
      </c>
      <c r="P64" s="282">
        <f t="shared" si="20"/>
        <v>2.2273476872966436E-2</v>
      </c>
      <c r="Q64" s="281">
        <v>11472659</v>
      </c>
      <c r="R64" s="280">
        <f t="shared" si="21"/>
        <v>2.7982095121951218E-2</v>
      </c>
      <c r="S64" s="279">
        <v>11472659</v>
      </c>
      <c r="T64" s="278">
        <f t="shared" si="22"/>
        <v>2.9640921228046044E-2</v>
      </c>
      <c r="U64" s="277">
        <f t="shared" si="32"/>
        <v>62889</v>
      </c>
      <c r="V64" s="95">
        <f t="shared" si="23"/>
        <v>139421</v>
      </c>
      <c r="W64" s="49">
        <f t="shared" si="24"/>
        <v>1.166558353730387E-2</v>
      </c>
      <c r="X64" s="380">
        <v>513840</v>
      </c>
      <c r="Y64" s="144">
        <f t="shared" si="25"/>
        <v>3.2431333197045657E-2</v>
      </c>
      <c r="Z64" s="29">
        <f t="shared" si="26"/>
        <v>244130</v>
      </c>
      <c r="AA64" s="49">
        <f t="shared" si="27"/>
        <v>2.0426757152523609E-2</v>
      </c>
      <c r="AB64" s="14">
        <f>V64+Z64+U64</f>
        <v>446440</v>
      </c>
      <c r="AC64" s="276">
        <f t="shared" si="29"/>
        <v>12397921</v>
      </c>
      <c r="AD64" s="14"/>
      <c r="AE64" s="136">
        <v>13371087</v>
      </c>
      <c r="AF64" s="146">
        <f t="shared" si="30"/>
        <v>973166</v>
      </c>
      <c r="AG64" s="14">
        <v>12397921</v>
      </c>
      <c r="AH64" s="55">
        <f t="shared" si="31"/>
        <v>8.0649307191994479E-2</v>
      </c>
      <c r="AI64" s="18"/>
      <c r="AJ64" s="18"/>
      <c r="AK64" s="18"/>
      <c r="AL64" s="18"/>
      <c r="AM64" s="18"/>
      <c r="AN64" s="18"/>
      <c r="AO64" s="18"/>
      <c r="AP64" s="18"/>
    </row>
    <row r="65" spans="1:42" s="90" customFormat="1" x14ac:dyDescent="0.25">
      <c r="A65" s="71" t="s">
        <v>62</v>
      </c>
      <c r="B65" s="72">
        <v>7</v>
      </c>
      <c r="C65" s="283">
        <v>10757055</v>
      </c>
      <c r="D65" s="174">
        <v>64313</v>
      </c>
      <c r="E65" s="171">
        <v>112961</v>
      </c>
      <c r="F65" s="180"/>
      <c r="G65" s="338"/>
      <c r="H65" s="173">
        <f t="shared" si="16"/>
        <v>10934329</v>
      </c>
      <c r="I65" s="172">
        <f t="shared" si="17"/>
        <v>1.6479789310364312E-2</v>
      </c>
      <c r="J65" s="15">
        <v>30009</v>
      </c>
      <c r="K65" s="15"/>
      <c r="L65" s="15">
        <v>238523</v>
      </c>
      <c r="M65" s="15"/>
      <c r="N65" s="170">
        <f t="shared" si="18"/>
        <v>268532</v>
      </c>
      <c r="O65" s="170">
        <f t="shared" si="19"/>
        <v>11202861</v>
      </c>
      <c r="P65" s="282">
        <f t="shared" si="20"/>
        <v>2.4558617177149245E-2</v>
      </c>
      <c r="Q65" s="281">
        <v>10757055</v>
      </c>
      <c r="R65" s="280">
        <f t="shared" si="21"/>
        <v>2.6236719512195122E-2</v>
      </c>
      <c r="S65" s="279">
        <v>10757055</v>
      </c>
      <c r="T65" s="278">
        <f t="shared" si="22"/>
        <v>2.7792076788890775E-2</v>
      </c>
      <c r="U65" s="277">
        <f t="shared" si="32"/>
        <v>58966</v>
      </c>
      <c r="V65" s="95">
        <f t="shared" si="23"/>
        <v>130688</v>
      </c>
      <c r="W65" s="49">
        <f t="shared" si="24"/>
        <v>1.1665591494886886E-2</v>
      </c>
      <c r="X65" s="380">
        <v>491586.5</v>
      </c>
      <c r="Y65" s="144">
        <f t="shared" si="25"/>
        <v>3.1026789616747402E-2</v>
      </c>
      <c r="Z65" s="29">
        <f t="shared" si="26"/>
        <v>233558</v>
      </c>
      <c r="AA65" s="49">
        <f t="shared" si="27"/>
        <v>2.0848067292810291E-2</v>
      </c>
      <c r="AB65" s="14">
        <f t="shared" si="28"/>
        <v>423212</v>
      </c>
      <c r="AC65" s="276">
        <f t="shared" si="29"/>
        <v>11626073</v>
      </c>
      <c r="AD65" s="14"/>
      <c r="AE65" s="136">
        <v>12207852</v>
      </c>
      <c r="AF65" s="146">
        <f t="shared" si="30"/>
        <v>581779</v>
      </c>
      <c r="AG65" s="14">
        <v>11626073</v>
      </c>
      <c r="AH65" s="55">
        <f t="shared" si="31"/>
        <v>8.0785865648172361E-2</v>
      </c>
      <c r="AI65" s="18"/>
      <c r="AJ65" s="18"/>
      <c r="AK65" s="18"/>
      <c r="AL65" s="18"/>
      <c r="AM65" s="18"/>
      <c r="AN65" s="18"/>
      <c r="AO65" s="18"/>
      <c r="AP65" s="18"/>
    </row>
    <row r="66" spans="1:42" s="90" customFormat="1" x14ac:dyDescent="0.25">
      <c r="A66" s="71" t="s">
        <v>63</v>
      </c>
      <c r="B66" s="72">
        <v>8</v>
      </c>
      <c r="C66" s="283">
        <v>35887933</v>
      </c>
      <c r="D66" s="174">
        <v>219727</v>
      </c>
      <c r="E66" s="171">
        <v>350620</v>
      </c>
      <c r="F66" s="180"/>
      <c r="G66" s="338"/>
      <c r="H66" s="173">
        <f t="shared" si="16"/>
        <v>36458280</v>
      </c>
      <c r="I66" s="172">
        <f t="shared" si="17"/>
        <v>1.5892444961931984E-2</v>
      </c>
      <c r="J66" s="15">
        <v>99028</v>
      </c>
      <c r="K66" s="15">
        <v>180622</v>
      </c>
      <c r="L66" s="15">
        <v>847571</v>
      </c>
      <c r="M66" s="15"/>
      <c r="N66" s="170">
        <f t="shared" si="18"/>
        <v>1127221</v>
      </c>
      <c r="O66" s="170">
        <f t="shared" si="19"/>
        <v>37585501</v>
      </c>
      <c r="P66" s="282">
        <f t="shared" si="20"/>
        <v>3.0918106943059298E-2</v>
      </c>
      <c r="Q66" s="281">
        <v>35887933</v>
      </c>
      <c r="R66" s="280">
        <f t="shared" si="21"/>
        <v>8.753154390243903E-2</v>
      </c>
      <c r="S66" s="279">
        <v>35887933</v>
      </c>
      <c r="T66" s="278">
        <f t="shared" si="22"/>
        <v>9.2720562433729975E-2</v>
      </c>
      <c r="U66" s="277">
        <f t="shared" si="32"/>
        <v>196724</v>
      </c>
      <c r="V66" s="95">
        <f t="shared" si="23"/>
        <v>438458</v>
      </c>
      <c r="W66" s="49">
        <f t="shared" si="24"/>
        <v>1.166561541909472E-2</v>
      </c>
      <c r="X66" s="380">
        <v>1489769.5</v>
      </c>
      <c r="Y66" s="144">
        <f t="shared" si="25"/>
        <v>9.4027734394551046E-2</v>
      </c>
      <c r="Z66" s="29">
        <f t="shared" si="26"/>
        <v>707804</v>
      </c>
      <c r="AA66" s="49">
        <f t="shared" si="27"/>
        <v>1.8831836244513542E-2</v>
      </c>
      <c r="AB66" s="14">
        <f t="shared" si="28"/>
        <v>1342986</v>
      </c>
      <c r="AC66" s="276">
        <f t="shared" si="29"/>
        <v>38928487</v>
      </c>
      <c r="AD66" s="14"/>
      <c r="AE66" s="136">
        <v>41595717</v>
      </c>
      <c r="AF66" s="146">
        <f t="shared" si="30"/>
        <v>2667230</v>
      </c>
      <c r="AG66" s="14">
        <v>38928487</v>
      </c>
      <c r="AH66" s="55">
        <f t="shared" si="31"/>
        <v>8.4723575470339929E-2</v>
      </c>
      <c r="AI66" s="18"/>
      <c r="AJ66" s="18"/>
      <c r="AK66" s="18"/>
      <c r="AL66" s="18"/>
      <c r="AM66" s="18"/>
      <c r="AN66" s="18"/>
      <c r="AO66" s="18"/>
      <c r="AP66" s="18"/>
    </row>
    <row r="67" spans="1:42" s="90" customFormat="1" x14ac:dyDescent="0.25">
      <c r="A67" s="71" t="s">
        <v>64</v>
      </c>
      <c r="B67" s="72">
        <v>8</v>
      </c>
      <c r="C67" s="283">
        <v>27528201</v>
      </c>
      <c r="D67" s="174">
        <v>157239</v>
      </c>
      <c r="E67" s="171">
        <v>304984</v>
      </c>
      <c r="F67" s="180">
        <f>6*64860</f>
        <v>389160</v>
      </c>
      <c r="G67" s="338"/>
      <c r="H67" s="173">
        <f t="shared" si="16"/>
        <v>28379584</v>
      </c>
      <c r="I67" s="172">
        <f t="shared" si="17"/>
        <v>3.0927665778087032E-2</v>
      </c>
      <c r="J67" s="15">
        <v>61032</v>
      </c>
      <c r="K67" s="15">
        <f>462097-E67</f>
        <v>157113</v>
      </c>
      <c r="L67" s="15">
        <v>626922</v>
      </c>
      <c r="M67" s="15"/>
      <c r="N67" s="170">
        <f t="shared" si="18"/>
        <v>845067</v>
      </c>
      <c r="O67" s="170">
        <f t="shared" si="19"/>
        <v>29224651</v>
      </c>
      <c r="P67" s="282">
        <f t="shared" si="20"/>
        <v>2.9777286376008849E-2</v>
      </c>
      <c r="Q67" s="281">
        <v>27528201</v>
      </c>
      <c r="R67" s="280">
        <f t="shared" si="21"/>
        <v>6.7141953658536591E-2</v>
      </c>
      <c r="S67" s="279">
        <v>27528201</v>
      </c>
      <c r="T67" s="278">
        <f t="shared" si="22"/>
        <v>7.1122242663258659E-2</v>
      </c>
      <c r="U67" s="277">
        <f t="shared" si="32"/>
        <v>150899</v>
      </c>
      <c r="V67" s="95">
        <f t="shared" si="23"/>
        <v>340924</v>
      </c>
      <c r="W67" s="49">
        <f t="shared" si="24"/>
        <v>1.1665631182387773E-2</v>
      </c>
      <c r="X67" s="380">
        <v>1204098.5</v>
      </c>
      <c r="Y67" s="144">
        <f t="shared" si="25"/>
        <v>7.5997430436639576E-2</v>
      </c>
      <c r="Z67" s="29">
        <f t="shared" si="26"/>
        <v>572079</v>
      </c>
      <c r="AA67" s="49">
        <f t="shared" si="27"/>
        <v>1.9575220932492914E-2</v>
      </c>
      <c r="AB67" s="14">
        <f t="shared" si="28"/>
        <v>1063902</v>
      </c>
      <c r="AC67" s="276">
        <f t="shared" si="29"/>
        <v>30288553</v>
      </c>
      <c r="AD67" s="14"/>
      <c r="AE67" s="136">
        <v>31866057</v>
      </c>
      <c r="AF67" s="146">
        <f t="shared" si="30"/>
        <v>1577504</v>
      </c>
      <c r="AG67" s="14">
        <v>30288553</v>
      </c>
      <c r="AH67" s="55">
        <f t="shared" si="31"/>
        <v>0.10027360669155239</v>
      </c>
      <c r="AI67" s="18"/>
      <c r="AJ67" s="18"/>
      <c r="AK67" s="18"/>
      <c r="AL67" s="18"/>
      <c r="AM67" s="18"/>
      <c r="AN67" s="18"/>
      <c r="AO67" s="18"/>
      <c r="AP67" s="18"/>
    </row>
    <row r="68" spans="1:42" s="90" customFormat="1" x14ac:dyDescent="0.25">
      <c r="A68" s="71" t="s">
        <v>65</v>
      </c>
      <c r="B68" s="72">
        <v>8</v>
      </c>
      <c r="C68" s="283">
        <v>65681042</v>
      </c>
      <c r="D68" s="174">
        <v>390983</v>
      </c>
      <c r="E68" s="171">
        <v>870395</v>
      </c>
      <c r="F68" s="180"/>
      <c r="G68" s="338"/>
      <c r="H68" s="173">
        <f t="shared" si="16"/>
        <v>66942420</v>
      </c>
      <c r="I68" s="172">
        <f t="shared" ref="I68:I70" si="33">(H68/C68)-1</f>
        <v>1.9204597880770446E-2</v>
      </c>
      <c r="J68" s="15"/>
      <c r="K68" s="15"/>
      <c r="L68" s="15">
        <v>1518122</v>
      </c>
      <c r="M68" s="15"/>
      <c r="N68" s="170">
        <f t="shared" ref="N68:N70" si="34">SUM(J68:M68)</f>
        <v>1518122</v>
      </c>
      <c r="O68" s="170">
        <f t="shared" ref="O68:O70" si="35">N68+H68</f>
        <v>68460542</v>
      </c>
      <c r="P68" s="282">
        <f t="shared" ref="P68:P70" si="36">O68/H68-1</f>
        <v>2.2678026877426927E-2</v>
      </c>
      <c r="Q68" s="281">
        <v>65681042</v>
      </c>
      <c r="R68" s="280">
        <f t="shared" ref="R68:R70" si="37">Q68/$Q$72</f>
        <v>0.16019766341463415</v>
      </c>
      <c r="S68" s="279">
        <v>65681042</v>
      </c>
      <c r="T68" s="278">
        <f t="shared" ref="T68:T70" si="38">S68/$S$72</f>
        <v>0.16969445288123564</v>
      </c>
      <c r="U68" s="277">
        <f t="shared" si="32"/>
        <v>360038</v>
      </c>
      <c r="V68" s="95">
        <f t="shared" si="23"/>
        <v>798635</v>
      </c>
      <c r="W68" s="49">
        <f t="shared" ref="W68:W70" si="39">V68/O68</f>
        <v>1.1665624850004839E-2</v>
      </c>
      <c r="X68" s="380">
        <v>2357985</v>
      </c>
      <c r="Y68" s="144">
        <f t="shared" ref="Y68:Y70" si="40">X68/$X$72</f>
        <v>0.14882569906709425</v>
      </c>
      <c r="Z68" s="29">
        <f t="shared" ref="Z68:Z70" si="41">ROUND((Y68*$Z$1),0)</f>
        <v>1120302</v>
      </c>
      <c r="AA68" s="49">
        <f t="shared" ref="AA68:AA70" si="42">Z68/O68</f>
        <v>1.636419997960285E-2</v>
      </c>
      <c r="AB68" s="14">
        <f t="shared" si="28"/>
        <v>2278975</v>
      </c>
      <c r="AC68" s="276">
        <f t="shared" si="29"/>
        <v>70739517</v>
      </c>
      <c r="AD68" s="14"/>
      <c r="AE68" s="136">
        <v>74950331</v>
      </c>
      <c r="AF68" s="146">
        <f t="shared" ref="AF68:AF70" si="43">AE68-AC68</f>
        <v>4210814</v>
      </c>
      <c r="AG68" s="14">
        <v>70739517</v>
      </c>
      <c r="AH68" s="55">
        <f t="shared" ref="AH68:AH70" si="44">AG68/C68-1</f>
        <v>7.7015754409011983E-2</v>
      </c>
      <c r="AI68" s="18"/>
      <c r="AJ68" s="18"/>
      <c r="AK68" s="18"/>
      <c r="AL68" s="18"/>
      <c r="AM68" s="18"/>
      <c r="AN68" s="18"/>
      <c r="AO68" s="18"/>
      <c r="AP68" s="18"/>
    </row>
    <row r="69" spans="1:42" x14ac:dyDescent="0.25">
      <c r="A69" s="71" t="s">
        <v>66</v>
      </c>
      <c r="B69" s="72">
        <v>8</v>
      </c>
      <c r="C69" s="283">
        <v>26657769</v>
      </c>
      <c r="D69" s="174">
        <v>167861</v>
      </c>
      <c r="E69" s="171">
        <v>260825</v>
      </c>
      <c r="F69" s="180">
        <v>122500</v>
      </c>
      <c r="G69" s="338"/>
      <c r="H69" s="173">
        <f t="shared" si="16"/>
        <v>27208955</v>
      </c>
      <c r="I69" s="172">
        <f t="shared" si="33"/>
        <v>2.0676373930616609E-2</v>
      </c>
      <c r="J69" s="15">
        <v>52140</v>
      </c>
      <c r="K69" s="15">
        <v>25176</v>
      </c>
      <c r="L69" s="15">
        <v>627613</v>
      </c>
      <c r="M69" s="15"/>
      <c r="N69" s="170">
        <f t="shared" si="34"/>
        <v>704929</v>
      </c>
      <c r="O69" s="170">
        <f t="shared" si="35"/>
        <v>27913884</v>
      </c>
      <c r="P69" s="282">
        <f t="shared" si="36"/>
        <v>2.5907977722775533E-2</v>
      </c>
      <c r="Q69" s="281">
        <v>26657769</v>
      </c>
      <c r="R69" s="280">
        <f t="shared" si="37"/>
        <v>6.5018948780487806E-2</v>
      </c>
      <c r="S69" s="279">
        <v>26657769</v>
      </c>
      <c r="T69" s="278">
        <f t="shared" si="38"/>
        <v>6.8873382451657264E-2</v>
      </c>
      <c r="U69" s="277">
        <f t="shared" si="32"/>
        <v>146128</v>
      </c>
      <c r="V69" s="95">
        <f t="shared" si="23"/>
        <v>325633</v>
      </c>
      <c r="W69" s="49">
        <f t="shared" si="39"/>
        <v>1.1665628473629825E-2</v>
      </c>
      <c r="X69" s="380">
        <v>1260504.5</v>
      </c>
      <c r="Y69" s="144">
        <f t="shared" si="40"/>
        <v>7.9557530429463327E-2</v>
      </c>
      <c r="Z69" s="29">
        <f t="shared" si="41"/>
        <v>598878</v>
      </c>
      <c r="AA69" s="49">
        <f t="shared" si="42"/>
        <v>2.1454484800467036E-2</v>
      </c>
      <c r="AB69" s="14">
        <f t="shared" si="28"/>
        <v>1070639</v>
      </c>
      <c r="AC69" s="276">
        <f t="shared" si="29"/>
        <v>28984523</v>
      </c>
      <c r="AD69" s="14"/>
      <c r="AE69" s="136">
        <v>30469235</v>
      </c>
      <c r="AF69" s="146">
        <f t="shared" si="43"/>
        <v>1484712</v>
      </c>
      <c r="AG69" s="14">
        <v>28984523</v>
      </c>
      <c r="AH69" s="55">
        <f t="shared" si="44"/>
        <v>8.728239786307701E-2</v>
      </c>
    </row>
    <row r="70" spans="1:42" ht="14.25" thickBot="1" x14ac:dyDescent="0.3">
      <c r="A70" s="74" t="s">
        <v>67</v>
      </c>
      <c r="B70" s="75">
        <v>8</v>
      </c>
      <c r="C70" s="275">
        <v>28065385</v>
      </c>
      <c r="D70" s="165">
        <v>166032</v>
      </c>
      <c r="E70" s="164">
        <v>417133</v>
      </c>
      <c r="F70" s="163"/>
      <c r="G70" s="339"/>
      <c r="H70" s="162">
        <f t="shared" si="16"/>
        <v>28648550</v>
      </c>
      <c r="I70" s="161">
        <f t="shared" si="33"/>
        <v>2.0778799221888411E-2</v>
      </c>
      <c r="J70" s="77"/>
      <c r="K70" s="343"/>
      <c r="L70" s="77">
        <v>625937</v>
      </c>
      <c r="M70" s="77"/>
      <c r="N70" s="160">
        <f t="shared" si="34"/>
        <v>625937</v>
      </c>
      <c r="O70" s="160">
        <f t="shared" si="35"/>
        <v>29274487</v>
      </c>
      <c r="P70" s="274">
        <f t="shared" si="36"/>
        <v>2.184881957376561E-2</v>
      </c>
      <c r="Q70" s="273">
        <v>28065385</v>
      </c>
      <c r="R70" s="272">
        <f t="shared" si="37"/>
        <v>6.8452158536585372E-2</v>
      </c>
      <c r="S70" s="271">
        <v>28065385</v>
      </c>
      <c r="T70" s="270">
        <f t="shared" si="38"/>
        <v>7.2510118710909566E-2</v>
      </c>
      <c r="U70" s="269">
        <f t="shared" si="32"/>
        <v>153844</v>
      </c>
      <c r="V70" s="133">
        <f t="shared" si="23"/>
        <v>341505</v>
      </c>
      <c r="W70" s="50">
        <f t="shared" si="39"/>
        <v>1.1665618598201226E-2</v>
      </c>
      <c r="X70" s="381">
        <v>983635</v>
      </c>
      <c r="Y70" s="145">
        <f t="shared" si="40"/>
        <v>6.2082738652646748E-2</v>
      </c>
      <c r="Z70" s="65">
        <f t="shared" si="41"/>
        <v>467335</v>
      </c>
      <c r="AA70" s="50">
        <f t="shared" si="42"/>
        <v>1.5963900580051156E-2</v>
      </c>
      <c r="AB70" s="34">
        <f t="shared" si="28"/>
        <v>962684</v>
      </c>
      <c r="AC70" s="268">
        <f t="shared" si="29"/>
        <v>30237171</v>
      </c>
      <c r="AD70" s="34"/>
      <c r="AE70" s="137">
        <v>32082898</v>
      </c>
      <c r="AF70" s="395">
        <f t="shared" si="43"/>
        <v>1845727</v>
      </c>
      <c r="AG70" s="34">
        <v>30237171</v>
      </c>
      <c r="AH70" s="56">
        <f t="shared" si="44"/>
        <v>7.7383082398477798E-2</v>
      </c>
    </row>
    <row r="71" spans="1:42" ht="14.25" thickBot="1" x14ac:dyDescent="0.3">
      <c r="A71" s="78"/>
      <c r="B71" s="79"/>
      <c r="C71" s="3"/>
      <c r="D71" s="7"/>
      <c r="E71" s="7"/>
      <c r="F71" s="80"/>
      <c r="G71" s="340"/>
      <c r="H71" s="1"/>
      <c r="I71" s="9"/>
      <c r="J71" s="7"/>
      <c r="K71" s="7"/>
      <c r="L71" s="7"/>
      <c r="M71" s="7"/>
      <c r="N71" s="1"/>
      <c r="O71" s="1"/>
      <c r="P71" s="27"/>
      <c r="Q71" s="3"/>
      <c r="S71" s="3"/>
      <c r="U71" s="27"/>
      <c r="V71" s="3"/>
      <c r="W71" s="51"/>
      <c r="X71" s="382"/>
      <c r="Z71" s="32"/>
      <c r="AA71" s="51"/>
      <c r="AB71" s="33"/>
      <c r="AC71" s="47"/>
    </row>
    <row r="72" spans="1:42" s="90" customFormat="1" ht="14.25" thickBot="1" x14ac:dyDescent="0.3">
      <c r="A72" s="400" t="s">
        <v>68</v>
      </c>
      <c r="B72" s="400"/>
      <c r="C72" s="262">
        <f t="shared" ref="C72:H72" si="45">SUM(C4:C70)</f>
        <v>410000000</v>
      </c>
      <c r="D72" s="5">
        <f t="shared" si="45"/>
        <v>2768098</v>
      </c>
      <c r="E72" s="5">
        <f t="shared" si="45"/>
        <v>5128834</v>
      </c>
      <c r="F72" s="5">
        <f t="shared" si="45"/>
        <v>921894</v>
      </c>
      <c r="G72" s="341">
        <f t="shared" si="45"/>
        <v>1077141</v>
      </c>
      <c r="H72" s="267">
        <f t="shared" si="45"/>
        <v>418818826</v>
      </c>
      <c r="I72" s="37">
        <f>(H72/C72)-1</f>
        <v>2.150933170731717E-2</v>
      </c>
      <c r="J72" s="5">
        <f t="shared" ref="J72:O72" si="46">SUM(J4:J70)</f>
        <v>503023</v>
      </c>
      <c r="K72" s="5">
        <f t="shared" si="46"/>
        <v>691495</v>
      </c>
      <c r="L72" s="5">
        <f t="shared" si="46"/>
        <v>9581326</v>
      </c>
      <c r="M72" s="5">
        <f t="shared" si="46"/>
        <v>592872</v>
      </c>
      <c r="N72" s="5">
        <f t="shared" si="46"/>
        <v>11368716</v>
      </c>
      <c r="O72" s="266">
        <f t="shared" si="46"/>
        <v>430187542</v>
      </c>
      <c r="P72" s="40">
        <f>O72/H72-1</f>
        <v>2.7144711016404921E-2</v>
      </c>
      <c r="Q72" s="265">
        <f>SUM(Q4:Q70)</f>
        <v>410000000</v>
      </c>
      <c r="R72" s="11"/>
      <c r="S72" s="265">
        <f>SUM(S4:S70)</f>
        <v>387054738</v>
      </c>
      <c r="T72" s="11"/>
      <c r="U72" s="91">
        <f>SUM(U4:U70)</f>
        <v>2121685</v>
      </c>
      <c r="V72" s="264">
        <f>SUM(V4:V70)</f>
        <v>5018409</v>
      </c>
      <c r="W72" s="52">
        <f>V72/O72</f>
        <v>1.1665630707641459E-2</v>
      </c>
      <c r="X72" s="383">
        <f>SUM(X4:X71)</f>
        <v>15843937</v>
      </c>
      <c r="Y72" s="377"/>
      <c r="Z72" s="30">
        <f>SUM(Z4:Z70)</f>
        <v>7527608</v>
      </c>
      <c r="AA72" s="52">
        <f>Z72/O72</f>
        <v>1.749843327634067E-2</v>
      </c>
      <c r="AB72" s="30">
        <f>SUM(AB4:AB70)</f>
        <v>14667702</v>
      </c>
      <c r="AC72" s="30">
        <f>SUM(AC4:AC70)</f>
        <v>444855244</v>
      </c>
      <c r="AD72" s="8">
        <f>SUM(AD4:AD70)</f>
        <v>516245</v>
      </c>
      <c r="AE72" s="389"/>
      <c r="AF72" s="389"/>
      <c r="AG72" s="262">
        <f>SUM(AG4:AG70)</f>
        <v>444778204</v>
      </c>
      <c r="AH72" s="263">
        <f>AG72/C72-1</f>
        <v>8.4824887804878069E-2</v>
      </c>
      <c r="AI72" s="18"/>
      <c r="AJ72" s="18"/>
      <c r="AK72" s="18"/>
      <c r="AL72" s="18"/>
      <c r="AM72" s="18"/>
      <c r="AN72" s="18"/>
      <c r="AO72" s="18"/>
      <c r="AP72" s="18"/>
    </row>
    <row r="73" spans="1:42" ht="13.5" customHeight="1" x14ac:dyDescent="0.25">
      <c r="C73" s="17"/>
      <c r="D73" s="17"/>
      <c r="E73" s="17"/>
      <c r="F73" s="25"/>
      <c r="G73" s="25"/>
      <c r="J73" s="17"/>
      <c r="K73" s="17"/>
      <c r="L73" s="17"/>
      <c r="M73" s="17"/>
      <c r="X73" s="410" t="s">
        <v>179</v>
      </c>
      <c r="AC73" s="25"/>
    </row>
    <row r="74" spans="1:42" ht="14.25" thickBot="1" x14ac:dyDescent="0.3">
      <c r="C74" s="17"/>
      <c r="E74" s="261" t="s">
        <v>144</v>
      </c>
      <c r="J74" s="261" t="s">
        <v>143</v>
      </c>
      <c r="K74" s="261" t="s">
        <v>142</v>
      </c>
      <c r="X74" s="411"/>
      <c r="AC74" s="260"/>
      <c r="AE74" s="112" t="s">
        <v>96</v>
      </c>
      <c r="AF74" s="134">
        <f>COUNTIF(AF2:AF68,"&lt;0")</f>
        <v>18</v>
      </c>
    </row>
    <row r="75" spans="1:42" ht="15" customHeight="1" thickBot="1" x14ac:dyDescent="0.3">
      <c r="C75" s="17"/>
      <c r="D75" s="25"/>
      <c r="E75" s="8">
        <f>SUM(D72:F72)</f>
        <v>8818826</v>
      </c>
      <c r="I75" s="2"/>
      <c r="J75" s="8">
        <f>D72+J72</f>
        <v>3271121</v>
      </c>
      <c r="K75" s="8">
        <f>E72+K72</f>
        <v>5820329</v>
      </c>
      <c r="M75" s="25"/>
      <c r="U75" s="82"/>
      <c r="V75" s="82"/>
      <c r="W75" s="82"/>
      <c r="X75" s="82"/>
      <c r="Y75" s="82"/>
      <c r="Z75" s="82"/>
      <c r="AB75" s="82"/>
      <c r="AC75" s="20"/>
      <c r="AE75" s="84"/>
    </row>
    <row r="76" spans="1:42" ht="14.25" thickBot="1" x14ac:dyDescent="0.3">
      <c r="X76" s="82"/>
      <c r="AE76" s="112" t="s">
        <v>181</v>
      </c>
      <c r="AF76" s="390">
        <f>-(SUMIF(AF2:AF68,"&lt;0"))</f>
        <v>77040</v>
      </c>
    </row>
    <row r="79" spans="1:42" x14ac:dyDescent="0.25">
      <c r="AD79" s="349"/>
      <c r="AE79" s="349"/>
      <c r="AF79" s="350" t="s">
        <v>171</v>
      </c>
      <c r="AG79" s="355">
        <f>11700000+2423613</f>
        <v>14123613</v>
      </c>
    </row>
    <row r="80" spans="1:42" ht="14.25" thickBot="1" x14ac:dyDescent="0.3">
      <c r="AF80" s="350" t="s">
        <v>172</v>
      </c>
      <c r="AG80" s="355">
        <v>6250000</v>
      </c>
    </row>
    <row r="81" spans="30:33" ht="14.25" thickBot="1" x14ac:dyDescent="0.3">
      <c r="AD81" s="351"/>
      <c r="AE81" s="352"/>
      <c r="AF81" s="353" t="s">
        <v>182</v>
      </c>
      <c r="AG81" s="393">
        <f>AG72+11700000+2423613+6250000</f>
        <v>465151817</v>
      </c>
    </row>
  </sheetData>
  <autoFilter ref="A3:AB70" xr:uid="{4EC7684B-053D-43A3-8CD8-BE9A689EFD27}"/>
  <mergeCells count="8">
    <mergeCell ref="X73:X74"/>
    <mergeCell ref="AG2:AH2"/>
    <mergeCell ref="A72:B72"/>
    <mergeCell ref="A2:C2"/>
    <mergeCell ref="Q2:T2"/>
    <mergeCell ref="U2:AF2"/>
    <mergeCell ref="D2:I2"/>
    <mergeCell ref="J2:P2"/>
  </mergeCells>
  <conditionalFormatting sqref="I4:I70 P4:P70">
    <cfRule type="cellIs" dxfId="1" priority="2" operator="lessThan">
      <formula>0</formula>
    </cfRule>
  </conditionalFormatting>
  <conditionalFormatting sqref="N72">
    <cfRule type="cellIs" dxfId="0" priority="1" operator="lessThan">
      <formula>0</formula>
    </cfRule>
  </conditionalFormatting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884E-1745-426E-95D6-5FA7F1D6D885}">
  <dimension ref="A1:F70"/>
  <sheetViews>
    <sheetView zoomScale="110" zoomScaleNormal="110" workbookViewId="0">
      <selection activeCell="F16" sqref="F16"/>
    </sheetView>
  </sheetViews>
  <sheetFormatPr defaultRowHeight="16.5" x14ac:dyDescent="0.3"/>
  <cols>
    <col min="1" max="1" width="14.28515625" style="210" bestFit="1" customWidth="1"/>
    <col min="2" max="2" width="22.140625" style="210" customWidth="1"/>
    <col min="3" max="3" width="19.140625" style="210" bestFit="1" customWidth="1"/>
    <col min="4" max="4" width="9.140625" style="210"/>
    <col min="5" max="5" width="10.5703125" style="210" customWidth="1"/>
    <col min="6" max="6" width="16.7109375" style="210" bestFit="1" customWidth="1"/>
    <col min="7" max="16384" width="9.140625" style="210"/>
  </cols>
  <sheetData>
    <row r="1" spans="1:6" s="219" customFormat="1" ht="66" x14ac:dyDescent="0.3">
      <c r="A1" s="220" t="s">
        <v>0</v>
      </c>
      <c r="B1" s="220" t="s">
        <v>125</v>
      </c>
      <c r="C1" s="220" t="s">
        <v>124</v>
      </c>
    </row>
    <row r="2" spans="1:6" x14ac:dyDescent="0.3">
      <c r="A2" s="216" t="s">
        <v>36</v>
      </c>
      <c r="B2" s="215">
        <v>3734192.2392000007</v>
      </c>
      <c r="C2" s="214">
        <f t="shared" ref="C2:C33" si="0">ROUND((B2*0.035),0)</f>
        <v>130697</v>
      </c>
    </row>
    <row r="3" spans="1:6" x14ac:dyDescent="0.3">
      <c r="A3" s="216" t="s">
        <v>5</v>
      </c>
      <c r="B3" s="215">
        <v>424198</v>
      </c>
      <c r="C3" s="214">
        <f t="shared" si="0"/>
        <v>14847</v>
      </c>
    </row>
    <row r="4" spans="1:6" x14ac:dyDescent="0.3">
      <c r="A4" s="216" t="s">
        <v>45</v>
      </c>
      <c r="B4" s="215">
        <v>2327935.8528000009</v>
      </c>
      <c r="C4" s="214">
        <f t="shared" si="0"/>
        <v>81478</v>
      </c>
    </row>
    <row r="5" spans="1:6" x14ac:dyDescent="0.3">
      <c r="A5" s="216" t="s">
        <v>16</v>
      </c>
      <c r="B5" s="215">
        <v>552000.22175999999</v>
      </c>
      <c r="C5" s="214">
        <f t="shared" si="0"/>
        <v>19320</v>
      </c>
      <c r="E5" s="218"/>
      <c r="F5" s="217"/>
    </row>
    <row r="6" spans="1:6" x14ac:dyDescent="0.3">
      <c r="A6" s="216" t="s">
        <v>46</v>
      </c>
      <c r="B6" s="215">
        <v>7147054.5872</v>
      </c>
      <c r="C6" s="214">
        <f t="shared" si="0"/>
        <v>250147</v>
      </c>
    </row>
    <row r="7" spans="1:6" x14ac:dyDescent="0.3">
      <c r="A7" s="216" t="s">
        <v>63</v>
      </c>
      <c r="B7" s="215">
        <v>24216322.659999993</v>
      </c>
      <c r="C7" s="214">
        <f t="shared" si="0"/>
        <v>847571</v>
      </c>
    </row>
    <row r="8" spans="1:6" x14ac:dyDescent="0.3">
      <c r="A8" s="216" t="s">
        <v>1</v>
      </c>
      <c r="B8" s="215">
        <v>235118.91</v>
      </c>
      <c r="C8" s="214">
        <f t="shared" si="0"/>
        <v>8229</v>
      </c>
    </row>
    <row r="9" spans="1:6" x14ac:dyDescent="0.3">
      <c r="A9" s="216" t="s">
        <v>37</v>
      </c>
      <c r="B9" s="215">
        <v>2093728.6800000002</v>
      </c>
      <c r="C9" s="214">
        <f t="shared" si="0"/>
        <v>73281</v>
      </c>
    </row>
    <row r="10" spans="1:6" x14ac:dyDescent="0.3">
      <c r="A10" s="216" t="s">
        <v>27</v>
      </c>
      <c r="B10" s="215">
        <v>2401479.7868751725</v>
      </c>
      <c r="C10" s="214">
        <f t="shared" si="0"/>
        <v>84052</v>
      </c>
    </row>
    <row r="11" spans="1:6" x14ac:dyDescent="0.3">
      <c r="A11" s="216" t="s">
        <v>38</v>
      </c>
      <c r="B11" s="215">
        <v>2554068.8797888006</v>
      </c>
      <c r="C11" s="214">
        <f t="shared" si="0"/>
        <v>89392</v>
      </c>
    </row>
    <row r="12" spans="1:6" x14ac:dyDescent="0.3">
      <c r="A12" s="216" t="s">
        <v>47</v>
      </c>
      <c r="B12" s="215">
        <v>3997138.2466449998</v>
      </c>
      <c r="C12" s="214">
        <f t="shared" si="0"/>
        <v>139900</v>
      </c>
    </row>
    <row r="13" spans="1:6" x14ac:dyDescent="0.3">
      <c r="A13" s="216" t="s">
        <v>28</v>
      </c>
      <c r="B13" s="215">
        <v>899864.78399999999</v>
      </c>
      <c r="C13" s="214">
        <f t="shared" si="0"/>
        <v>31495</v>
      </c>
    </row>
    <row r="14" spans="1:6" x14ac:dyDescent="0.3">
      <c r="A14" s="216" t="s">
        <v>17</v>
      </c>
      <c r="B14" s="215">
        <v>437317.2</v>
      </c>
      <c r="C14" s="214">
        <f t="shared" si="0"/>
        <v>15306</v>
      </c>
    </row>
    <row r="15" spans="1:6" x14ac:dyDescent="0.3">
      <c r="A15" s="216" t="s">
        <v>6</v>
      </c>
      <c r="B15" s="215">
        <v>223477.62450000001</v>
      </c>
      <c r="C15" s="214">
        <f t="shared" si="0"/>
        <v>7822</v>
      </c>
    </row>
    <row r="16" spans="1:6" x14ac:dyDescent="0.3">
      <c r="A16" s="216" t="s">
        <v>58</v>
      </c>
      <c r="B16" s="215">
        <v>11463353.298600005</v>
      </c>
      <c r="C16" s="214">
        <f t="shared" si="0"/>
        <v>401217</v>
      </c>
    </row>
    <row r="17" spans="1:3" x14ac:dyDescent="0.3">
      <c r="A17" s="216" t="s">
        <v>48</v>
      </c>
      <c r="B17" s="215">
        <v>4331465.7599999988</v>
      </c>
      <c r="C17" s="214">
        <f t="shared" si="0"/>
        <v>151601</v>
      </c>
    </row>
    <row r="18" spans="1:3" x14ac:dyDescent="0.3">
      <c r="A18" s="216" t="s">
        <v>29</v>
      </c>
      <c r="B18" s="215">
        <v>1154475.6869999999</v>
      </c>
      <c r="C18" s="214">
        <f t="shared" si="0"/>
        <v>40407</v>
      </c>
    </row>
    <row r="19" spans="1:3" x14ac:dyDescent="0.3">
      <c r="A19" s="216" t="s">
        <v>7</v>
      </c>
      <c r="B19" s="215">
        <v>420051.21469999995</v>
      </c>
      <c r="C19" s="214">
        <f t="shared" si="0"/>
        <v>14702</v>
      </c>
    </row>
    <row r="20" spans="1:3" x14ac:dyDescent="0.3">
      <c r="A20" s="216" t="s">
        <v>18</v>
      </c>
      <c r="B20" s="215">
        <v>860391.86099999968</v>
      </c>
      <c r="C20" s="214">
        <f t="shared" si="0"/>
        <v>30114</v>
      </c>
    </row>
    <row r="21" spans="1:3" x14ac:dyDescent="0.3">
      <c r="A21" s="216" t="s">
        <v>8</v>
      </c>
      <c r="B21" s="215">
        <v>332527.51999999996</v>
      </c>
      <c r="C21" s="214">
        <f t="shared" si="0"/>
        <v>11638</v>
      </c>
    </row>
    <row r="22" spans="1:3" x14ac:dyDescent="0.3">
      <c r="A22" s="216" t="s">
        <v>9</v>
      </c>
      <c r="B22" s="215">
        <v>258544.45</v>
      </c>
      <c r="C22" s="214">
        <f t="shared" si="0"/>
        <v>9049</v>
      </c>
    </row>
    <row r="23" spans="1:3" x14ac:dyDescent="0.3">
      <c r="A23" s="216" t="s">
        <v>10</v>
      </c>
      <c r="B23" s="215">
        <v>337193.2</v>
      </c>
      <c r="C23" s="214">
        <f t="shared" si="0"/>
        <v>11802</v>
      </c>
    </row>
    <row r="24" spans="1:3" x14ac:dyDescent="0.3">
      <c r="A24" s="216" t="s">
        <v>11</v>
      </c>
      <c r="B24" s="215">
        <v>319040.54000000004</v>
      </c>
      <c r="C24" s="214">
        <f t="shared" si="0"/>
        <v>11166</v>
      </c>
    </row>
    <row r="25" spans="1:3" x14ac:dyDescent="0.3">
      <c r="A25" s="216" t="s">
        <v>19</v>
      </c>
      <c r="B25" s="215">
        <v>482944.88112000003</v>
      </c>
      <c r="C25" s="214">
        <f t="shared" si="0"/>
        <v>16903</v>
      </c>
    </row>
    <row r="26" spans="1:3" x14ac:dyDescent="0.3">
      <c r="A26" s="216" t="s">
        <v>20</v>
      </c>
      <c r="B26" s="215">
        <v>677986.32</v>
      </c>
      <c r="C26" s="214">
        <f t="shared" si="0"/>
        <v>23730</v>
      </c>
    </row>
    <row r="27" spans="1:3" x14ac:dyDescent="0.3">
      <c r="A27" s="216" t="s">
        <v>39</v>
      </c>
      <c r="B27" s="215">
        <v>2120446</v>
      </c>
      <c r="C27" s="214">
        <f t="shared" si="0"/>
        <v>74216</v>
      </c>
    </row>
    <row r="28" spans="1:3" x14ac:dyDescent="0.3">
      <c r="A28" s="216" t="s">
        <v>30</v>
      </c>
      <c r="B28" s="215">
        <v>1454451.8699999996</v>
      </c>
      <c r="C28" s="214">
        <f t="shared" si="0"/>
        <v>50906</v>
      </c>
    </row>
    <row r="29" spans="1:3" x14ac:dyDescent="0.3">
      <c r="A29" s="216" t="s">
        <v>64</v>
      </c>
      <c r="B29" s="215">
        <v>17912067.791447971</v>
      </c>
      <c r="C29" s="214">
        <f t="shared" si="0"/>
        <v>626922</v>
      </c>
    </row>
    <row r="30" spans="1:3" x14ac:dyDescent="0.3">
      <c r="A30" s="216" t="s">
        <v>12</v>
      </c>
      <c r="B30" s="215">
        <v>295414.14</v>
      </c>
      <c r="C30" s="214">
        <f t="shared" si="0"/>
        <v>10339</v>
      </c>
    </row>
    <row r="31" spans="1:3" x14ac:dyDescent="0.3">
      <c r="A31" s="216" t="s">
        <v>31</v>
      </c>
      <c r="B31" s="215">
        <v>2036645.4149999996</v>
      </c>
      <c r="C31" s="214">
        <f t="shared" si="0"/>
        <v>71283</v>
      </c>
    </row>
    <row r="32" spans="1:3" x14ac:dyDescent="0.3">
      <c r="A32" s="216" t="s">
        <v>21</v>
      </c>
      <c r="B32" s="215">
        <v>694127.85099999991</v>
      </c>
      <c r="C32" s="214">
        <f t="shared" si="0"/>
        <v>24294</v>
      </c>
    </row>
    <row r="33" spans="1:3" x14ac:dyDescent="0.3">
      <c r="A33" s="216" t="s">
        <v>13</v>
      </c>
      <c r="B33" s="215">
        <v>331709.68949999998</v>
      </c>
      <c r="C33" s="214">
        <f t="shared" si="0"/>
        <v>11610</v>
      </c>
    </row>
    <row r="34" spans="1:3" x14ac:dyDescent="0.3">
      <c r="A34" s="216" t="s">
        <v>2</v>
      </c>
      <c r="B34" s="215">
        <v>131638.848</v>
      </c>
      <c r="C34" s="214">
        <f t="shared" ref="C34:C65" si="1">ROUND((B34*0.035),0)</f>
        <v>4607</v>
      </c>
    </row>
    <row r="35" spans="1:3" x14ac:dyDescent="0.3">
      <c r="A35" s="216" t="s">
        <v>49</v>
      </c>
      <c r="B35" s="215">
        <v>4017769.84</v>
      </c>
      <c r="C35" s="214">
        <f t="shared" si="1"/>
        <v>140622</v>
      </c>
    </row>
    <row r="36" spans="1:3" x14ac:dyDescent="0.3">
      <c r="A36" s="216" t="s">
        <v>59</v>
      </c>
      <c r="B36" s="215">
        <v>7179037.4539500009</v>
      </c>
      <c r="C36" s="214">
        <f t="shared" si="1"/>
        <v>251266</v>
      </c>
    </row>
    <row r="37" spans="1:3" x14ac:dyDescent="0.3">
      <c r="A37" s="216" t="s">
        <v>50</v>
      </c>
      <c r="B37" s="215">
        <v>3550423.1141520003</v>
      </c>
      <c r="C37" s="214">
        <f t="shared" si="1"/>
        <v>124265</v>
      </c>
    </row>
    <row r="38" spans="1:3" x14ac:dyDescent="0.3">
      <c r="A38" s="216" t="s">
        <v>22</v>
      </c>
      <c r="B38" s="215">
        <v>651537.70000000007</v>
      </c>
      <c r="C38" s="214">
        <f t="shared" si="1"/>
        <v>22804</v>
      </c>
    </row>
    <row r="39" spans="1:3" x14ac:dyDescent="0.3">
      <c r="A39" s="216" t="s">
        <v>3</v>
      </c>
      <c r="B39" s="215">
        <v>167587.4</v>
      </c>
      <c r="C39" s="214">
        <f t="shared" si="1"/>
        <v>5866</v>
      </c>
    </row>
    <row r="40" spans="1:3" x14ac:dyDescent="0.3">
      <c r="A40" s="216" t="s">
        <v>23</v>
      </c>
      <c r="B40" s="215">
        <v>304121.43999999994</v>
      </c>
      <c r="C40" s="214">
        <f t="shared" si="1"/>
        <v>10644</v>
      </c>
    </row>
    <row r="41" spans="1:3" x14ac:dyDescent="0.3">
      <c r="A41" s="216" t="s">
        <v>51</v>
      </c>
      <c r="B41" s="215">
        <v>3530531.3119999999</v>
      </c>
      <c r="C41" s="214">
        <f t="shared" si="1"/>
        <v>123569</v>
      </c>
    </row>
    <row r="42" spans="1:3" x14ac:dyDescent="0.3">
      <c r="A42" s="216" t="s">
        <v>52</v>
      </c>
      <c r="B42" s="215">
        <v>4180350.2278999998</v>
      </c>
      <c r="C42" s="214">
        <f t="shared" si="1"/>
        <v>146312</v>
      </c>
    </row>
    <row r="43" spans="1:3" x14ac:dyDescent="0.3">
      <c r="A43" s="216" t="s">
        <v>40</v>
      </c>
      <c r="B43" s="215">
        <v>2001424.4129999997</v>
      </c>
      <c r="C43" s="214">
        <f t="shared" si="1"/>
        <v>70050</v>
      </c>
    </row>
    <row r="44" spans="1:3" x14ac:dyDescent="0.3">
      <c r="A44" s="216" t="s">
        <v>65</v>
      </c>
      <c r="B44" s="215">
        <v>43374909.438724913</v>
      </c>
      <c r="C44" s="214">
        <f t="shared" si="1"/>
        <v>1518122</v>
      </c>
    </row>
    <row r="45" spans="1:3" x14ac:dyDescent="0.3">
      <c r="A45" s="216" t="s">
        <v>41</v>
      </c>
      <c r="B45" s="215">
        <v>2434593.8000000003</v>
      </c>
      <c r="C45" s="214">
        <f t="shared" si="1"/>
        <v>85211</v>
      </c>
    </row>
    <row r="46" spans="1:3" x14ac:dyDescent="0.3">
      <c r="A46" s="216" t="s">
        <v>32</v>
      </c>
      <c r="B46" s="215">
        <v>1028696.9694000002</v>
      </c>
      <c r="C46" s="214">
        <f t="shared" si="1"/>
        <v>36004</v>
      </c>
    </row>
    <row r="47" spans="1:3" x14ac:dyDescent="0.3">
      <c r="A47" s="216" t="s">
        <v>42</v>
      </c>
      <c r="B47" s="215">
        <v>2412374.0695220004</v>
      </c>
      <c r="C47" s="214">
        <f t="shared" si="1"/>
        <v>84433</v>
      </c>
    </row>
    <row r="48" spans="1:3" x14ac:dyDescent="0.3">
      <c r="A48" s="216" t="s">
        <v>24</v>
      </c>
      <c r="B48" s="215">
        <v>751600</v>
      </c>
      <c r="C48" s="214">
        <f t="shared" si="1"/>
        <v>26306</v>
      </c>
    </row>
    <row r="49" spans="1:3" x14ac:dyDescent="0.3">
      <c r="A49" s="216" t="s">
        <v>66</v>
      </c>
      <c r="B49" s="215">
        <v>17931813.569999989</v>
      </c>
      <c r="C49" s="214">
        <f t="shared" si="1"/>
        <v>627613</v>
      </c>
    </row>
    <row r="50" spans="1:3" x14ac:dyDescent="0.3">
      <c r="A50" s="216" t="s">
        <v>53</v>
      </c>
      <c r="B50" s="215">
        <v>4665958.9472000031</v>
      </c>
      <c r="C50" s="214">
        <f t="shared" si="1"/>
        <v>163309</v>
      </c>
    </row>
    <row r="51" spans="1:3" x14ac:dyDescent="0.3">
      <c r="A51" s="216" t="s">
        <v>67</v>
      </c>
      <c r="B51" s="215">
        <v>17883902.603606362</v>
      </c>
      <c r="C51" s="214">
        <f t="shared" si="1"/>
        <v>625937</v>
      </c>
    </row>
    <row r="52" spans="1:3" x14ac:dyDescent="0.3">
      <c r="A52" s="216" t="s">
        <v>54</v>
      </c>
      <c r="B52" s="215">
        <v>7981615.8107885234</v>
      </c>
      <c r="C52" s="214">
        <f t="shared" si="1"/>
        <v>279357</v>
      </c>
    </row>
    <row r="53" spans="1:3" x14ac:dyDescent="0.3">
      <c r="A53" s="216" t="s">
        <v>60</v>
      </c>
      <c r="B53" s="215">
        <v>13530122.917767206</v>
      </c>
      <c r="C53" s="214">
        <f t="shared" si="1"/>
        <v>473554</v>
      </c>
    </row>
    <row r="54" spans="1:3" x14ac:dyDescent="0.3">
      <c r="A54" s="216" t="s">
        <v>61</v>
      </c>
      <c r="B54" s="215">
        <v>7440034.1791340038</v>
      </c>
      <c r="C54" s="214">
        <f t="shared" si="1"/>
        <v>260401</v>
      </c>
    </row>
    <row r="55" spans="1:3" x14ac:dyDescent="0.3">
      <c r="A55" s="216" t="s">
        <v>33</v>
      </c>
      <c r="B55" s="215">
        <v>1613031.4099999997</v>
      </c>
      <c r="C55" s="214">
        <f t="shared" si="1"/>
        <v>56456</v>
      </c>
    </row>
    <row r="56" spans="1:3" x14ac:dyDescent="0.3">
      <c r="A56" s="216" t="s">
        <v>43</v>
      </c>
      <c r="B56" s="215">
        <v>2231965.595999999</v>
      </c>
      <c r="C56" s="214">
        <f t="shared" si="1"/>
        <v>78119</v>
      </c>
    </row>
    <row r="57" spans="1:3" x14ac:dyDescent="0.3">
      <c r="A57" s="216" t="s">
        <v>55</v>
      </c>
      <c r="B57" s="215">
        <v>3507420.0707500009</v>
      </c>
      <c r="C57" s="214">
        <f t="shared" si="1"/>
        <v>122760</v>
      </c>
    </row>
    <row r="58" spans="1:3" x14ac:dyDescent="0.3">
      <c r="A58" s="216" t="s">
        <v>44</v>
      </c>
      <c r="B58" s="215">
        <v>2120032.9359999998</v>
      </c>
      <c r="C58" s="214">
        <f t="shared" si="1"/>
        <v>74201</v>
      </c>
    </row>
    <row r="59" spans="1:3" x14ac:dyDescent="0.3">
      <c r="A59" s="216" t="s">
        <v>56</v>
      </c>
      <c r="B59" s="215">
        <v>5344002.8899999997</v>
      </c>
      <c r="C59" s="214">
        <f t="shared" si="1"/>
        <v>187040</v>
      </c>
    </row>
    <row r="60" spans="1:3" x14ac:dyDescent="0.3">
      <c r="A60" s="216" t="s">
        <v>57</v>
      </c>
      <c r="B60" s="215">
        <v>5245590.3015000001</v>
      </c>
      <c r="C60" s="214">
        <f t="shared" si="1"/>
        <v>183596</v>
      </c>
    </row>
    <row r="61" spans="1:3" x14ac:dyDescent="0.3">
      <c r="A61" s="216" t="s">
        <v>34</v>
      </c>
      <c r="B61" s="215">
        <v>1598037</v>
      </c>
      <c r="C61" s="214">
        <f t="shared" si="1"/>
        <v>55931</v>
      </c>
    </row>
    <row r="62" spans="1:3" x14ac:dyDescent="0.3">
      <c r="A62" s="216" t="s">
        <v>25</v>
      </c>
      <c r="B62" s="215">
        <v>855960.28960000013</v>
      </c>
      <c r="C62" s="214">
        <f t="shared" si="1"/>
        <v>29959</v>
      </c>
    </row>
    <row r="63" spans="1:3" x14ac:dyDescent="0.3">
      <c r="A63" s="216" t="s">
        <v>14</v>
      </c>
      <c r="B63" s="215">
        <v>310162.03509999998</v>
      </c>
      <c r="C63" s="214">
        <f t="shared" si="1"/>
        <v>10856</v>
      </c>
    </row>
    <row r="64" spans="1:3" x14ac:dyDescent="0.3">
      <c r="A64" s="216" t="s">
        <v>4</v>
      </c>
      <c r="B64" s="215">
        <v>302984</v>
      </c>
      <c r="C64" s="214">
        <f t="shared" si="1"/>
        <v>10604</v>
      </c>
    </row>
    <row r="65" spans="1:3" x14ac:dyDescent="0.3">
      <c r="A65" s="216" t="s">
        <v>62</v>
      </c>
      <c r="B65" s="215">
        <v>6814957</v>
      </c>
      <c r="C65" s="214">
        <f t="shared" si="1"/>
        <v>238523</v>
      </c>
    </row>
    <row r="66" spans="1:3" x14ac:dyDescent="0.3">
      <c r="A66" s="216" t="s">
        <v>26</v>
      </c>
      <c r="B66" s="215">
        <v>382213.48599999998</v>
      </c>
      <c r="C66" s="214">
        <f t="shared" ref="C66:C68" si="2">ROUND((B66*0.035),0)</f>
        <v>13377</v>
      </c>
    </row>
    <row r="67" spans="1:3" x14ac:dyDescent="0.3">
      <c r="A67" s="216" t="s">
        <v>35</v>
      </c>
      <c r="B67" s="215">
        <v>1092961.6499999999</v>
      </c>
      <c r="C67" s="214">
        <f t="shared" si="2"/>
        <v>38254</v>
      </c>
    </row>
    <row r="68" spans="1:3" x14ac:dyDescent="0.3">
      <c r="A68" s="216" t="s">
        <v>15</v>
      </c>
      <c r="B68" s="215">
        <v>456068.935</v>
      </c>
      <c r="C68" s="214">
        <f t="shared" si="2"/>
        <v>15962</v>
      </c>
    </row>
    <row r="70" spans="1:3" s="211" customFormat="1" x14ac:dyDescent="0.3">
      <c r="A70" s="213" t="s">
        <v>123</v>
      </c>
      <c r="B70" s="212">
        <f>SUM(B2:B68)</f>
        <v>273752166.81723189</v>
      </c>
      <c r="C70" s="212">
        <f>SUM(C2:C68)</f>
        <v>9581326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F581A-3424-4654-8E47-400C64199635}">
  <sheetPr>
    <tabColor rgb="FF0070C0"/>
    <pageSetUpPr fitToPage="1"/>
  </sheetPr>
  <dimension ref="A1:I77"/>
  <sheetViews>
    <sheetView zoomScale="120" zoomScaleNormal="120" workbookViewId="0">
      <pane xSplit="1" ySplit="1" topLeftCell="B59" activePane="bottomRight" state="frozen"/>
      <selection pane="topRight" activeCell="B1" sqref="B1"/>
      <selection pane="bottomLeft" activeCell="A2" sqref="A2"/>
      <selection pane="bottomRight" activeCell="J68" sqref="J68"/>
    </sheetView>
  </sheetViews>
  <sheetFormatPr defaultColWidth="9.140625" defaultRowHeight="15" x14ac:dyDescent="0.25"/>
  <cols>
    <col min="1" max="1" width="14.42578125" style="312" customWidth="1"/>
    <col min="2" max="2" width="19.7109375" style="312" customWidth="1"/>
    <col min="3" max="3" width="16.42578125" style="312" hidden="1" customWidth="1"/>
    <col min="4" max="4" width="17.28515625" style="312" hidden="1" customWidth="1"/>
    <col min="5" max="5" width="17" style="312" hidden="1" customWidth="1"/>
    <col min="6" max="6" width="17.28515625" style="312" hidden="1" customWidth="1"/>
    <col min="7" max="7" width="16.140625" style="313" hidden="1" customWidth="1"/>
    <col min="8" max="8" width="21" style="312" customWidth="1"/>
    <col min="9" max="9" width="17.7109375" style="312" customWidth="1"/>
    <col min="10" max="16384" width="9.140625" style="312"/>
  </cols>
  <sheetData>
    <row r="1" spans="1:9" s="328" customFormat="1" ht="57" customHeight="1" x14ac:dyDescent="0.25">
      <c r="A1" s="333" t="s">
        <v>0</v>
      </c>
      <c r="B1" s="331" t="s">
        <v>166</v>
      </c>
      <c r="C1" s="331" t="s">
        <v>165</v>
      </c>
      <c r="D1" s="332" t="s">
        <v>164</v>
      </c>
      <c r="E1" s="331" t="s">
        <v>163</v>
      </c>
      <c r="F1" s="331" t="s">
        <v>162</v>
      </c>
      <c r="G1" s="330" t="s">
        <v>161</v>
      </c>
      <c r="H1" s="330" t="s">
        <v>160</v>
      </c>
      <c r="I1" s="329" t="s">
        <v>153</v>
      </c>
    </row>
    <row r="2" spans="1:9" x14ac:dyDescent="0.25">
      <c r="A2" s="324" t="s">
        <v>36</v>
      </c>
      <c r="B2" s="321">
        <v>5344562</v>
      </c>
      <c r="C2" s="321">
        <v>1487838.3</v>
      </c>
      <c r="D2" s="321">
        <v>3610411.5000000005</v>
      </c>
      <c r="E2" s="321">
        <v>215914</v>
      </c>
      <c r="F2" s="321">
        <f t="shared" ref="F2:F33" si="0">SUM(C2:E2)</f>
        <v>5314163.8000000007</v>
      </c>
      <c r="G2" s="321">
        <v>0</v>
      </c>
      <c r="H2" s="321">
        <v>5241755.6999999993</v>
      </c>
      <c r="I2" s="323">
        <f t="shared" ref="I2:I33" si="1">B2-H2</f>
        <v>102806.30000000075</v>
      </c>
    </row>
    <row r="3" spans="1:9" x14ac:dyDescent="0.25">
      <c r="A3" s="324" t="s">
        <v>5</v>
      </c>
      <c r="B3" s="321">
        <v>580822</v>
      </c>
      <c r="C3" s="321">
        <v>147371.99</v>
      </c>
      <c r="D3" s="321">
        <v>411917.27</v>
      </c>
      <c r="E3" s="321">
        <v>23464</v>
      </c>
      <c r="F3" s="321">
        <f t="shared" si="0"/>
        <v>582753.26</v>
      </c>
      <c r="G3" s="321">
        <v>0</v>
      </c>
      <c r="H3" s="321">
        <v>568955.18000000005</v>
      </c>
      <c r="I3" s="323">
        <f t="shared" si="1"/>
        <v>11866.819999999949</v>
      </c>
    </row>
    <row r="4" spans="1:9" x14ac:dyDescent="0.25">
      <c r="A4" s="324" t="s">
        <v>45</v>
      </c>
      <c r="B4" s="321">
        <v>3209106</v>
      </c>
      <c r="C4" s="321">
        <v>0</v>
      </c>
      <c r="D4" s="321">
        <v>4249683.4800000004</v>
      </c>
      <c r="E4" s="321">
        <v>129645</v>
      </c>
      <c r="F4" s="321">
        <f t="shared" si="0"/>
        <v>4379328.4800000004</v>
      </c>
      <c r="G4" s="321">
        <v>782723.22000000009</v>
      </c>
      <c r="H4" s="321">
        <v>3209106</v>
      </c>
      <c r="I4" s="323">
        <f t="shared" si="1"/>
        <v>0</v>
      </c>
    </row>
    <row r="5" spans="1:9" x14ac:dyDescent="0.25">
      <c r="A5" s="327" t="s">
        <v>16</v>
      </c>
      <c r="B5" s="321">
        <v>596380</v>
      </c>
      <c r="C5" s="321">
        <v>0</v>
      </c>
      <c r="D5" s="321">
        <v>748248.11000000022</v>
      </c>
      <c r="E5" s="321">
        <v>24095</v>
      </c>
      <c r="F5" s="321">
        <f t="shared" si="0"/>
        <v>772343.11000000022</v>
      </c>
      <c r="G5" s="321">
        <v>118115.87000000001</v>
      </c>
      <c r="H5" s="321">
        <v>596380</v>
      </c>
      <c r="I5" s="323">
        <f t="shared" si="1"/>
        <v>0</v>
      </c>
    </row>
    <row r="6" spans="1:9" x14ac:dyDescent="0.25">
      <c r="A6" s="324" t="s">
        <v>46</v>
      </c>
      <c r="B6" s="321">
        <v>10041009</v>
      </c>
      <c r="C6" s="321">
        <v>1401412</v>
      </c>
      <c r="D6" s="321">
        <v>8488105.7000000011</v>
      </c>
      <c r="E6" s="321">
        <v>405647</v>
      </c>
      <c r="F6" s="321">
        <f t="shared" si="0"/>
        <v>10295164.700000001</v>
      </c>
      <c r="G6" s="321">
        <v>0</v>
      </c>
      <c r="H6" s="321">
        <v>10041009</v>
      </c>
      <c r="I6" s="323">
        <f t="shared" si="1"/>
        <v>0</v>
      </c>
    </row>
    <row r="7" spans="1:9" x14ac:dyDescent="0.25">
      <c r="A7" s="324" t="s">
        <v>63</v>
      </c>
      <c r="B7" s="321">
        <v>34962585</v>
      </c>
      <c r="C7" s="321">
        <v>3137874.23</v>
      </c>
      <c r="D7" s="321">
        <v>30725127.609999996</v>
      </c>
      <c r="E7" s="321">
        <v>1426478</v>
      </c>
      <c r="F7" s="321">
        <f t="shared" si="0"/>
        <v>35289479.839999996</v>
      </c>
      <c r="G7" s="321">
        <v>136607.94</v>
      </c>
      <c r="H7" s="321">
        <v>34962585</v>
      </c>
      <c r="I7" s="323">
        <f t="shared" si="1"/>
        <v>0</v>
      </c>
    </row>
    <row r="8" spans="1:9" x14ac:dyDescent="0.25">
      <c r="A8" s="324" t="s">
        <v>1</v>
      </c>
      <c r="B8" s="321">
        <v>371695</v>
      </c>
      <c r="C8" s="321">
        <v>170313</v>
      </c>
      <c r="D8" s="321">
        <v>198333.47</v>
      </c>
      <c r="E8" s="321">
        <v>15166</v>
      </c>
      <c r="F8" s="321">
        <f t="shared" si="0"/>
        <v>383812.47</v>
      </c>
      <c r="G8" s="321">
        <v>0</v>
      </c>
      <c r="H8" s="321">
        <v>371695.00000000006</v>
      </c>
      <c r="I8" s="323">
        <f t="shared" si="1"/>
        <v>0</v>
      </c>
    </row>
    <row r="9" spans="1:9" x14ac:dyDescent="0.25">
      <c r="A9" s="324" t="s">
        <v>37</v>
      </c>
      <c r="B9" s="321">
        <v>3122957</v>
      </c>
      <c r="C9" s="321">
        <v>180074</v>
      </c>
      <c r="D9" s="321">
        <v>3032573.78</v>
      </c>
      <c r="E9" s="321">
        <v>126164</v>
      </c>
      <c r="F9" s="321">
        <f t="shared" si="0"/>
        <v>3338811.78</v>
      </c>
      <c r="G9" s="321">
        <v>42771.79</v>
      </c>
      <c r="H9" s="321">
        <v>3122957.0000000009</v>
      </c>
      <c r="I9" s="323">
        <f t="shared" si="1"/>
        <v>0</v>
      </c>
    </row>
    <row r="10" spans="1:9" x14ac:dyDescent="0.25">
      <c r="A10" s="324" t="s">
        <v>27</v>
      </c>
      <c r="B10" s="321">
        <v>2608566</v>
      </c>
      <c r="C10" s="321">
        <v>109484.25</v>
      </c>
      <c r="D10" s="321">
        <v>2501118.3099999996</v>
      </c>
      <c r="E10" s="321">
        <v>105383</v>
      </c>
      <c r="F10" s="321">
        <f t="shared" si="0"/>
        <v>2715985.5599999996</v>
      </c>
      <c r="G10" s="321">
        <v>74188.47</v>
      </c>
      <c r="H10" s="321">
        <v>2608566</v>
      </c>
      <c r="I10" s="323">
        <f t="shared" si="1"/>
        <v>0</v>
      </c>
    </row>
    <row r="11" spans="1:9" x14ac:dyDescent="0.25">
      <c r="A11" s="324" t="s">
        <v>38</v>
      </c>
      <c r="B11" s="321">
        <v>3188203</v>
      </c>
      <c r="C11" s="321">
        <v>8221</v>
      </c>
      <c r="D11" s="321">
        <v>3606072.42</v>
      </c>
      <c r="E11" s="321">
        <v>130080</v>
      </c>
      <c r="F11" s="321">
        <f t="shared" si="0"/>
        <v>3744373.42</v>
      </c>
      <c r="G11" s="321">
        <v>241725.07</v>
      </c>
      <c r="H11" s="321">
        <v>3188203.0000000005</v>
      </c>
      <c r="I11" s="323">
        <f t="shared" si="1"/>
        <v>0</v>
      </c>
    </row>
    <row r="12" spans="1:9" x14ac:dyDescent="0.25">
      <c r="A12" s="324" t="s">
        <v>47</v>
      </c>
      <c r="B12" s="321">
        <v>5718884</v>
      </c>
      <c r="C12" s="321">
        <v>0</v>
      </c>
      <c r="D12" s="321">
        <v>6313163.6100000003</v>
      </c>
      <c r="E12" s="321">
        <v>231036</v>
      </c>
      <c r="F12" s="321">
        <f t="shared" si="0"/>
        <v>6544199.6100000003</v>
      </c>
      <c r="G12" s="321">
        <v>381661.10000000003</v>
      </c>
      <c r="H12" s="321">
        <v>5649676.9099999992</v>
      </c>
      <c r="I12" s="323">
        <f t="shared" si="1"/>
        <v>69207.090000000782</v>
      </c>
    </row>
    <row r="13" spans="1:9" x14ac:dyDescent="0.25">
      <c r="A13" s="324" t="s">
        <v>28</v>
      </c>
      <c r="B13" s="321">
        <v>1411122</v>
      </c>
      <c r="C13" s="321">
        <v>165156.07</v>
      </c>
      <c r="D13" s="321">
        <v>1283903.81</v>
      </c>
      <c r="E13" s="321">
        <v>53439</v>
      </c>
      <c r="F13" s="321">
        <f t="shared" si="0"/>
        <v>1502498.8800000001</v>
      </c>
      <c r="G13" s="321">
        <v>26755.52</v>
      </c>
      <c r="H13" s="321">
        <v>1290750.2</v>
      </c>
      <c r="I13" s="323">
        <f t="shared" si="1"/>
        <v>120371.80000000005</v>
      </c>
    </row>
    <row r="14" spans="1:9" x14ac:dyDescent="0.25">
      <c r="A14" s="324" t="s">
        <v>17</v>
      </c>
      <c r="B14" s="321">
        <v>713006</v>
      </c>
      <c r="C14" s="321">
        <v>188258.94</v>
      </c>
      <c r="D14" s="321">
        <v>516823.79</v>
      </c>
      <c r="E14" s="321">
        <v>27002</v>
      </c>
      <c r="F14" s="321">
        <f t="shared" si="0"/>
        <v>732084.73</v>
      </c>
      <c r="G14" s="321">
        <v>0</v>
      </c>
      <c r="H14" s="321">
        <v>712829.37</v>
      </c>
      <c r="I14" s="323">
        <f t="shared" si="1"/>
        <v>176.63000000000466</v>
      </c>
    </row>
    <row r="15" spans="1:9" x14ac:dyDescent="0.25">
      <c r="A15" s="324" t="s">
        <v>6</v>
      </c>
      <c r="B15" s="321">
        <v>434772</v>
      </c>
      <c r="C15" s="321">
        <v>170327.19</v>
      </c>
      <c r="D15" s="321">
        <v>267029.77</v>
      </c>
      <c r="E15" s="321">
        <v>16464</v>
      </c>
      <c r="F15" s="321">
        <f t="shared" si="0"/>
        <v>453820.96</v>
      </c>
      <c r="G15" s="321">
        <v>0</v>
      </c>
      <c r="H15" s="321">
        <v>329964.40000000002</v>
      </c>
      <c r="I15" s="323">
        <f t="shared" si="1"/>
        <v>104807.59999999998</v>
      </c>
    </row>
    <row r="16" spans="1:9" x14ac:dyDescent="0.25">
      <c r="A16" s="324" t="s">
        <v>58</v>
      </c>
      <c r="B16" s="321">
        <v>17071484</v>
      </c>
      <c r="C16" s="321">
        <v>623849.18999999994</v>
      </c>
      <c r="D16" s="321">
        <v>16802267.129999999</v>
      </c>
      <c r="E16" s="321">
        <v>689668</v>
      </c>
      <c r="F16" s="321">
        <f t="shared" si="0"/>
        <v>18115784.32</v>
      </c>
      <c r="G16" s="321">
        <v>1048110.92</v>
      </c>
      <c r="H16" s="321">
        <v>17070697.940000001</v>
      </c>
      <c r="I16" s="323">
        <f t="shared" si="1"/>
        <v>786.0599999986589</v>
      </c>
    </row>
    <row r="17" spans="1:9" x14ac:dyDescent="0.25">
      <c r="A17" s="324" t="s">
        <v>48</v>
      </c>
      <c r="B17" s="321">
        <v>6068048</v>
      </c>
      <c r="C17" s="321">
        <v>346943.52</v>
      </c>
      <c r="D17" s="321">
        <v>5561645.9000000004</v>
      </c>
      <c r="E17" s="321">
        <v>245142</v>
      </c>
      <c r="F17" s="321">
        <f t="shared" si="0"/>
        <v>6153731.4199999999</v>
      </c>
      <c r="G17" s="321">
        <v>17336.82</v>
      </c>
      <c r="H17" s="321">
        <v>5769927.2300000004</v>
      </c>
      <c r="I17" s="323">
        <f t="shared" si="1"/>
        <v>298120.76999999955</v>
      </c>
    </row>
    <row r="18" spans="1:9" x14ac:dyDescent="0.25">
      <c r="A18" s="324" t="s">
        <v>29</v>
      </c>
      <c r="B18" s="321">
        <v>1597350</v>
      </c>
      <c r="C18" s="321">
        <v>85947</v>
      </c>
      <c r="D18" s="321">
        <v>1588762.82</v>
      </c>
      <c r="E18" s="321">
        <v>64531</v>
      </c>
      <c r="F18" s="321">
        <f t="shared" si="0"/>
        <v>1739240.82</v>
      </c>
      <c r="G18" s="321">
        <v>50556.51</v>
      </c>
      <c r="H18" s="321">
        <v>1597349.9999999998</v>
      </c>
      <c r="I18" s="323">
        <f t="shared" si="1"/>
        <v>0</v>
      </c>
    </row>
    <row r="19" spans="1:9" x14ac:dyDescent="0.25">
      <c r="A19" s="324" t="s">
        <v>7</v>
      </c>
      <c r="B19" s="321">
        <v>543356</v>
      </c>
      <c r="C19" s="321">
        <v>352757.69</v>
      </c>
      <c r="D19" s="321">
        <v>166037.77000000002</v>
      </c>
      <c r="E19" s="321">
        <v>21951</v>
      </c>
      <c r="F19" s="321">
        <f t="shared" si="0"/>
        <v>540746.46</v>
      </c>
      <c r="G19" s="321">
        <v>0</v>
      </c>
      <c r="H19" s="321">
        <v>543356</v>
      </c>
      <c r="I19" s="323">
        <f t="shared" si="1"/>
        <v>0</v>
      </c>
    </row>
    <row r="20" spans="1:9" x14ac:dyDescent="0.25">
      <c r="A20" s="324" t="s">
        <v>18</v>
      </c>
      <c r="B20" s="321">
        <v>1162467</v>
      </c>
      <c r="C20" s="321">
        <v>491874.04</v>
      </c>
      <c r="D20" s="321">
        <v>628530.3600000001</v>
      </c>
      <c r="E20" s="321">
        <v>44023</v>
      </c>
      <c r="F20" s="321">
        <f t="shared" si="0"/>
        <v>1164427.4000000001</v>
      </c>
      <c r="G20" s="321">
        <v>0</v>
      </c>
      <c r="H20" s="321">
        <v>1162467</v>
      </c>
      <c r="I20" s="323">
        <f t="shared" si="1"/>
        <v>0</v>
      </c>
    </row>
    <row r="21" spans="1:9" x14ac:dyDescent="0.25">
      <c r="A21" s="324" t="s">
        <v>8</v>
      </c>
      <c r="B21" s="321">
        <v>449134</v>
      </c>
      <c r="C21" s="321">
        <v>205978.83</v>
      </c>
      <c r="D21" s="321">
        <v>229914.30000000002</v>
      </c>
      <c r="E21" s="321">
        <v>18145</v>
      </c>
      <c r="F21" s="321">
        <f t="shared" si="0"/>
        <v>454038.13</v>
      </c>
      <c r="G21" s="321">
        <v>0</v>
      </c>
      <c r="H21" s="321">
        <v>449133.37</v>
      </c>
      <c r="I21" s="323">
        <f t="shared" si="1"/>
        <v>0.63000000000465661</v>
      </c>
    </row>
    <row r="22" spans="1:9" x14ac:dyDescent="0.25">
      <c r="A22" s="324" t="s">
        <v>9</v>
      </c>
      <c r="B22" s="321">
        <v>441947</v>
      </c>
      <c r="C22" s="321">
        <v>6804</v>
      </c>
      <c r="D22" s="321">
        <v>495929.77</v>
      </c>
      <c r="E22" s="321">
        <v>17854</v>
      </c>
      <c r="F22" s="321">
        <f t="shared" si="0"/>
        <v>520587.77</v>
      </c>
      <c r="G22" s="321">
        <v>27058.02</v>
      </c>
      <c r="H22" s="321">
        <v>417388.71</v>
      </c>
      <c r="I22" s="323">
        <f t="shared" si="1"/>
        <v>24558.289999999979</v>
      </c>
    </row>
    <row r="23" spans="1:9" x14ac:dyDescent="0.25">
      <c r="A23" s="324" t="s">
        <v>10</v>
      </c>
      <c r="B23" s="321">
        <v>412252</v>
      </c>
      <c r="C23" s="321">
        <v>165826.29999999999</v>
      </c>
      <c r="D23" s="321">
        <v>232094.58000000002</v>
      </c>
      <c r="E23" s="321">
        <v>16654</v>
      </c>
      <c r="F23" s="321">
        <f t="shared" si="0"/>
        <v>414574.88</v>
      </c>
      <c r="G23" s="321">
        <v>0</v>
      </c>
      <c r="H23" s="321">
        <v>412251.99999999994</v>
      </c>
      <c r="I23" s="323">
        <f t="shared" si="1"/>
        <v>0</v>
      </c>
    </row>
    <row r="24" spans="1:9" x14ac:dyDescent="0.25">
      <c r="A24" s="324" t="s">
        <v>11</v>
      </c>
      <c r="B24" s="321">
        <v>466245</v>
      </c>
      <c r="C24" s="321">
        <v>99725.92</v>
      </c>
      <c r="D24" s="321">
        <v>392144.01</v>
      </c>
      <c r="E24" s="321">
        <v>17657</v>
      </c>
      <c r="F24" s="321">
        <f t="shared" si="0"/>
        <v>509526.93</v>
      </c>
      <c r="G24" s="321">
        <v>35498.6</v>
      </c>
      <c r="H24" s="321">
        <v>466245.00000000006</v>
      </c>
      <c r="I24" s="323">
        <f t="shared" si="1"/>
        <v>0</v>
      </c>
    </row>
    <row r="25" spans="1:9" x14ac:dyDescent="0.25">
      <c r="A25" s="324" t="s">
        <v>19</v>
      </c>
      <c r="B25" s="321">
        <v>756220</v>
      </c>
      <c r="C25" s="321">
        <v>236945.6</v>
      </c>
      <c r="D25" s="321">
        <v>636079.16</v>
      </c>
      <c r="E25" s="321">
        <v>30550</v>
      </c>
      <c r="F25" s="321">
        <f t="shared" si="0"/>
        <v>903574.76</v>
      </c>
      <c r="G25" s="321">
        <v>140957.45000000001</v>
      </c>
      <c r="H25" s="321">
        <v>728442.55</v>
      </c>
      <c r="I25" s="323">
        <f t="shared" si="1"/>
        <v>27777.449999999953</v>
      </c>
    </row>
    <row r="26" spans="1:9" x14ac:dyDescent="0.25">
      <c r="A26" s="324" t="s">
        <v>20</v>
      </c>
      <c r="B26" s="321">
        <v>1048739</v>
      </c>
      <c r="C26" s="321">
        <v>177612.74</v>
      </c>
      <c r="D26" s="321">
        <v>1033111.48</v>
      </c>
      <c r="E26" s="321">
        <v>42368</v>
      </c>
      <c r="F26" s="321">
        <f t="shared" si="0"/>
        <v>1253092.22</v>
      </c>
      <c r="G26" s="321">
        <v>0</v>
      </c>
      <c r="H26" s="321">
        <v>1048642.7699999998</v>
      </c>
      <c r="I26" s="323">
        <f t="shared" si="1"/>
        <v>96.230000000214204</v>
      </c>
    </row>
    <row r="27" spans="1:9" x14ac:dyDescent="0.25">
      <c r="A27" s="324" t="s">
        <v>39</v>
      </c>
      <c r="B27" s="321">
        <v>2991966</v>
      </c>
      <c r="C27" s="321">
        <v>0</v>
      </c>
      <c r="D27" s="321">
        <v>3661497.49</v>
      </c>
      <c r="E27" s="321">
        <v>120872</v>
      </c>
      <c r="F27" s="321">
        <f t="shared" si="0"/>
        <v>3782369.49</v>
      </c>
      <c r="G27" s="321">
        <v>457062.91000000003</v>
      </c>
      <c r="H27" s="321">
        <v>2770629.66</v>
      </c>
      <c r="I27" s="323">
        <f t="shared" si="1"/>
        <v>221336.33999999985</v>
      </c>
    </row>
    <row r="28" spans="1:9" x14ac:dyDescent="0.25">
      <c r="A28" s="324" t="s">
        <v>30</v>
      </c>
      <c r="B28" s="321">
        <v>1640098</v>
      </c>
      <c r="C28" s="321">
        <v>110635</v>
      </c>
      <c r="D28" s="321">
        <v>1491834.74</v>
      </c>
      <c r="E28" s="321">
        <v>66258</v>
      </c>
      <c r="F28" s="321">
        <f t="shared" si="0"/>
        <v>1668727.74</v>
      </c>
      <c r="G28" s="321">
        <v>5167.24</v>
      </c>
      <c r="H28" s="321">
        <v>1640098.0000000002</v>
      </c>
      <c r="I28" s="323">
        <f t="shared" si="1"/>
        <v>0</v>
      </c>
    </row>
    <row r="29" spans="1:9" x14ac:dyDescent="0.25">
      <c r="A29" s="324" t="s">
        <v>64</v>
      </c>
      <c r="B29" s="321">
        <v>26177780</v>
      </c>
      <c r="C29" s="321">
        <v>661680.5</v>
      </c>
      <c r="D29" s="321">
        <v>25107483</v>
      </c>
      <c r="E29" s="321">
        <v>1057553</v>
      </c>
      <c r="F29" s="321">
        <f t="shared" si="0"/>
        <v>26826716.5</v>
      </c>
      <c r="G29" s="321">
        <v>184065.69</v>
      </c>
      <c r="H29" s="321">
        <v>26177780</v>
      </c>
      <c r="I29" s="323">
        <f t="shared" si="1"/>
        <v>0</v>
      </c>
    </row>
    <row r="30" spans="1:9" x14ac:dyDescent="0.25">
      <c r="A30" s="324" t="s">
        <v>12</v>
      </c>
      <c r="B30" s="321">
        <v>484881</v>
      </c>
      <c r="C30" s="321">
        <v>56303.37</v>
      </c>
      <c r="D30" s="321">
        <v>427529.52</v>
      </c>
      <c r="E30" s="321">
        <v>19783</v>
      </c>
      <c r="F30" s="321">
        <f t="shared" si="0"/>
        <v>503615.89</v>
      </c>
      <c r="G30" s="321">
        <v>1994.3500000000001</v>
      </c>
      <c r="H30" s="321">
        <v>484881</v>
      </c>
      <c r="I30" s="323">
        <f t="shared" si="1"/>
        <v>0</v>
      </c>
    </row>
    <row r="31" spans="1:9" x14ac:dyDescent="0.25">
      <c r="A31" s="324" t="s">
        <v>31</v>
      </c>
      <c r="B31" s="321">
        <v>2642024</v>
      </c>
      <c r="C31" s="321">
        <v>10287.719999999999</v>
      </c>
      <c r="D31" s="321">
        <v>2585895.06</v>
      </c>
      <c r="E31" s="321">
        <v>106735</v>
      </c>
      <c r="F31" s="321">
        <f t="shared" si="0"/>
        <v>2702917.7800000003</v>
      </c>
      <c r="G31" s="321">
        <v>22580.59</v>
      </c>
      <c r="H31" s="321">
        <v>2639617.29</v>
      </c>
      <c r="I31" s="323">
        <f t="shared" si="1"/>
        <v>2406.7099999999627</v>
      </c>
    </row>
    <row r="32" spans="1:9" x14ac:dyDescent="0.25">
      <c r="A32" s="324" t="s">
        <v>21</v>
      </c>
      <c r="B32" s="321">
        <v>912781</v>
      </c>
      <c r="C32" s="321">
        <v>149841</v>
      </c>
      <c r="D32" s="321">
        <v>850705.50999999989</v>
      </c>
      <c r="E32" s="321">
        <v>37242</v>
      </c>
      <c r="F32" s="321">
        <f t="shared" si="0"/>
        <v>1037788.5099999999</v>
      </c>
      <c r="G32" s="321">
        <v>20001.23</v>
      </c>
      <c r="H32" s="321">
        <v>831803.96</v>
      </c>
      <c r="I32" s="323">
        <f t="shared" si="1"/>
        <v>80977.040000000037</v>
      </c>
    </row>
    <row r="33" spans="1:9" x14ac:dyDescent="0.25">
      <c r="A33" s="324" t="s">
        <v>13</v>
      </c>
      <c r="B33" s="321">
        <v>413409</v>
      </c>
      <c r="C33" s="321">
        <v>97841.72</v>
      </c>
      <c r="D33" s="321">
        <v>298636.86</v>
      </c>
      <c r="E33" s="321">
        <v>16701</v>
      </c>
      <c r="F33" s="321">
        <f t="shared" si="0"/>
        <v>413179.57999999996</v>
      </c>
      <c r="G33" s="321">
        <v>0</v>
      </c>
      <c r="H33" s="321">
        <v>413408.58</v>
      </c>
      <c r="I33" s="323">
        <f t="shared" si="1"/>
        <v>0.41999999998370185</v>
      </c>
    </row>
    <row r="34" spans="1:9" x14ac:dyDescent="0.25">
      <c r="A34" s="324" t="s">
        <v>2</v>
      </c>
      <c r="B34" s="321">
        <v>259217</v>
      </c>
      <c r="C34" s="321">
        <v>158394.19000000003</v>
      </c>
      <c r="D34" s="321">
        <v>94096.430000000008</v>
      </c>
      <c r="E34" s="321">
        <v>10576</v>
      </c>
      <c r="F34" s="321">
        <f t="shared" ref="F34:F65" si="2">SUM(C34:E34)</f>
        <v>263066.62000000005</v>
      </c>
      <c r="G34" s="321">
        <v>0</v>
      </c>
      <c r="H34" s="321">
        <v>259217</v>
      </c>
      <c r="I34" s="323">
        <f t="shared" ref="I34:I65" si="3">B34-H34</f>
        <v>0</v>
      </c>
    </row>
    <row r="35" spans="1:9" x14ac:dyDescent="0.25">
      <c r="A35" s="324" t="s">
        <v>49</v>
      </c>
      <c r="B35" s="321">
        <v>5360658</v>
      </c>
      <c r="C35" s="321">
        <v>0</v>
      </c>
      <c r="D35" s="321">
        <v>5468766</v>
      </c>
      <c r="E35" s="321">
        <v>218716</v>
      </c>
      <c r="F35" s="321">
        <f t="shared" si="2"/>
        <v>5687482</v>
      </c>
      <c r="G35" s="321">
        <v>171890</v>
      </c>
      <c r="H35" s="321">
        <v>5227479</v>
      </c>
      <c r="I35" s="323">
        <f t="shared" si="3"/>
        <v>133179</v>
      </c>
    </row>
    <row r="36" spans="1:9" x14ac:dyDescent="0.25">
      <c r="A36" s="324" t="s">
        <v>59</v>
      </c>
      <c r="B36" s="321">
        <v>10381140</v>
      </c>
      <c r="C36" s="321">
        <v>0</v>
      </c>
      <c r="D36" s="321">
        <v>13983703.170000002</v>
      </c>
      <c r="E36" s="321">
        <v>419387</v>
      </c>
      <c r="F36" s="321">
        <f t="shared" si="2"/>
        <v>14403090.170000002</v>
      </c>
      <c r="G36" s="321">
        <v>2875336.71</v>
      </c>
      <c r="H36" s="321">
        <v>10377342.809999999</v>
      </c>
      <c r="I36" s="323">
        <f t="shared" si="3"/>
        <v>3797.1900000013411</v>
      </c>
    </row>
    <row r="37" spans="1:9" x14ac:dyDescent="0.25">
      <c r="A37" s="324" t="s">
        <v>50</v>
      </c>
      <c r="B37" s="321">
        <v>5192117</v>
      </c>
      <c r="C37" s="321">
        <v>1181189.5899999999</v>
      </c>
      <c r="D37" s="321">
        <v>3930906.39</v>
      </c>
      <c r="E37" s="321">
        <v>209755</v>
      </c>
      <c r="F37" s="321">
        <f t="shared" si="2"/>
        <v>5321850.9800000004</v>
      </c>
      <c r="G37" s="321">
        <v>0</v>
      </c>
      <c r="H37" s="321">
        <v>5192117</v>
      </c>
      <c r="I37" s="323">
        <f t="shared" si="3"/>
        <v>0</v>
      </c>
    </row>
    <row r="38" spans="1:9" x14ac:dyDescent="0.25">
      <c r="A38" s="324" t="s">
        <v>22</v>
      </c>
      <c r="B38" s="321">
        <v>963344</v>
      </c>
      <c r="C38" s="321">
        <v>233592</v>
      </c>
      <c r="D38" s="321">
        <v>699902.28</v>
      </c>
      <c r="E38" s="321">
        <v>36482</v>
      </c>
      <c r="F38" s="321">
        <f t="shared" si="2"/>
        <v>969976.28</v>
      </c>
      <c r="G38" s="321">
        <v>0</v>
      </c>
      <c r="H38" s="321">
        <v>914316.96</v>
      </c>
      <c r="I38" s="323">
        <f t="shared" si="3"/>
        <v>49027.040000000037</v>
      </c>
    </row>
    <row r="39" spans="1:9" x14ac:dyDescent="0.25">
      <c r="A39" s="324" t="s">
        <v>3</v>
      </c>
      <c r="B39" s="321">
        <v>252605</v>
      </c>
      <c r="C39" s="321">
        <v>111469</v>
      </c>
      <c r="D39" s="321">
        <v>134712.95999999999</v>
      </c>
      <c r="E39" s="321">
        <v>10206</v>
      </c>
      <c r="F39" s="321">
        <f t="shared" si="2"/>
        <v>256387.96</v>
      </c>
      <c r="G39" s="321">
        <v>0</v>
      </c>
      <c r="H39" s="321">
        <v>252604.99999999997</v>
      </c>
      <c r="I39" s="323">
        <f t="shared" si="3"/>
        <v>0</v>
      </c>
    </row>
    <row r="40" spans="1:9" x14ac:dyDescent="0.25">
      <c r="A40" s="325" t="s">
        <v>23</v>
      </c>
      <c r="B40" s="321">
        <v>465624</v>
      </c>
      <c r="C40" s="321">
        <v>0</v>
      </c>
      <c r="D40" s="321">
        <v>596890.44999999995</v>
      </c>
      <c r="E40" s="321">
        <v>18997</v>
      </c>
      <c r="F40" s="321">
        <f t="shared" si="2"/>
        <v>615887.44999999995</v>
      </c>
      <c r="G40" s="321">
        <v>115035.81999999999</v>
      </c>
      <c r="H40" s="321">
        <v>465624</v>
      </c>
      <c r="I40" s="323">
        <f t="shared" si="3"/>
        <v>0</v>
      </c>
    </row>
    <row r="41" spans="1:9" x14ac:dyDescent="0.25">
      <c r="A41" s="324" t="s">
        <v>51</v>
      </c>
      <c r="B41" s="321">
        <v>5241958</v>
      </c>
      <c r="C41" s="321">
        <v>106493</v>
      </c>
      <c r="D41" s="321">
        <v>5326971.78</v>
      </c>
      <c r="E41" s="321">
        <v>211769</v>
      </c>
      <c r="F41" s="321">
        <f t="shared" si="2"/>
        <v>5645233.7800000003</v>
      </c>
      <c r="G41" s="321">
        <v>125021.75999999999</v>
      </c>
      <c r="H41" s="321">
        <v>5241958</v>
      </c>
      <c r="I41" s="323">
        <f t="shared" si="3"/>
        <v>0</v>
      </c>
    </row>
    <row r="42" spans="1:9" x14ac:dyDescent="0.25">
      <c r="A42" s="324" t="s">
        <v>52</v>
      </c>
      <c r="B42" s="321">
        <v>5804672</v>
      </c>
      <c r="C42" s="321">
        <v>33492</v>
      </c>
      <c r="D42" s="321">
        <v>5958556.04</v>
      </c>
      <c r="E42" s="321">
        <v>234502</v>
      </c>
      <c r="F42" s="321">
        <f t="shared" si="2"/>
        <v>6226550.04</v>
      </c>
      <c r="G42" s="321">
        <v>0</v>
      </c>
      <c r="H42" s="321">
        <v>5804003.6100000003</v>
      </c>
      <c r="I42" s="323">
        <f t="shared" si="3"/>
        <v>668.38999999966472</v>
      </c>
    </row>
    <row r="43" spans="1:9" x14ac:dyDescent="0.25">
      <c r="A43" s="324" t="s">
        <v>40</v>
      </c>
      <c r="B43" s="321">
        <v>3154977</v>
      </c>
      <c r="C43" s="321">
        <v>85135.73</v>
      </c>
      <c r="D43" s="321">
        <v>2982336.8600000003</v>
      </c>
      <c r="E43" s="321">
        <v>127458</v>
      </c>
      <c r="F43" s="321">
        <f t="shared" si="2"/>
        <v>3194930.5900000003</v>
      </c>
      <c r="G43" s="321">
        <v>26798.41</v>
      </c>
      <c r="H43" s="321">
        <v>3115964.6</v>
      </c>
      <c r="I43" s="323">
        <f t="shared" si="3"/>
        <v>39012.399999999907</v>
      </c>
    </row>
    <row r="44" spans="1:9" x14ac:dyDescent="0.25">
      <c r="A44" s="326" t="s">
        <v>65</v>
      </c>
      <c r="B44" s="321">
        <v>62674987</v>
      </c>
      <c r="C44" s="321">
        <v>1841428.39</v>
      </c>
      <c r="D44" s="321">
        <v>60929444.969999999</v>
      </c>
      <c r="E44" s="321">
        <v>2531998</v>
      </c>
      <c r="F44" s="321">
        <f t="shared" si="2"/>
        <v>65302871.359999999</v>
      </c>
      <c r="G44" s="321">
        <v>2047203.09</v>
      </c>
      <c r="H44" s="321">
        <v>62674987</v>
      </c>
      <c r="I44" s="323">
        <f t="shared" si="3"/>
        <v>0</v>
      </c>
    </row>
    <row r="45" spans="1:9" x14ac:dyDescent="0.25">
      <c r="A45" s="324" t="s">
        <v>41</v>
      </c>
      <c r="B45" s="321">
        <v>3192893</v>
      </c>
      <c r="C45" s="321">
        <v>790618.89999999991</v>
      </c>
      <c r="D45" s="321">
        <v>2342618.1799999997</v>
      </c>
      <c r="E45" s="321">
        <v>130271</v>
      </c>
      <c r="F45" s="321">
        <f t="shared" si="2"/>
        <v>3263508.0799999996</v>
      </c>
      <c r="G45" s="321">
        <v>0</v>
      </c>
      <c r="H45" s="321">
        <v>3192893</v>
      </c>
      <c r="I45" s="323">
        <f t="shared" si="3"/>
        <v>0</v>
      </c>
    </row>
    <row r="46" spans="1:9" x14ac:dyDescent="0.25">
      <c r="A46" s="324" t="s">
        <v>32</v>
      </c>
      <c r="B46" s="321">
        <v>1369059</v>
      </c>
      <c r="C46" s="321">
        <v>11044</v>
      </c>
      <c r="D46" s="321">
        <v>1415845.1300000001</v>
      </c>
      <c r="E46" s="321">
        <v>55308</v>
      </c>
      <c r="F46" s="321">
        <f t="shared" si="2"/>
        <v>1482197.1300000001</v>
      </c>
      <c r="G46" s="321">
        <v>44624.320000000007</v>
      </c>
      <c r="H46" s="321">
        <v>1342227.01</v>
      </c>
      <c r="I46" s="323">
        <f t="shared" si="3"/>
        <v>26831.989999999991</v>
      </c>
    </row>
    <row r="47" spans="1:9" x14ac:dyDescent="0.25">
      <c r="A47" s="324" t="s">
        <v>42</v>
      </c>
      <c r="B47" s="321">
        <v>3227922</v>
      </c>
      <c r="C47" s="321">
        <v>0</v>
      </c>
      <c r="D47" s="321">
        <v>3674148.37</v>
      </c>
      <c r="E47" s="321">
        <v>130404</v>
      </c>
      <c r="F47" s="321">
        <f t="shared" si="2"/>
        <v>3804552.37</v>
      </c>
      <c r="G47" s="321">
        <v>315241.59999999998</v>
      </c>
      <c r="H47" s="321">
        <v>3227921.9999999995</v>
      </c>
      <c r="I47" s="323">
        <f t="shared" si="3"/>
        <v>0</v>
      </c>
    </row>
    <row r="48" spans="1:9" x14ac:dyDescent="0.25">
      <c r="A48" s="324" t="s">
        <v>24</v>
      </c>
      <c r="B48" s="321">
        <v>1095897</v>
      </c>
      <c r="C48" s="321">
        <v>176634.09</v>
      </c>
      <c r="D48" s="321">
        <v>878349.32000000007</v>
      </c>
      <c r="E48" s="321">
        <v>44273</v>
      </c>
      <c r="F48" s="321">
        <f t="shared" si="2"/>
        <v>1099256.4100000001</v>
      </c>
      <c r="G48" s="321">
        <v>3059.24</v>
      </c>
      <c r="H48" s="321">
        <v>996379.22</v>
      </c>
      <c r="I48" s="323">
        <f t="shared" si="3"/>
        <v>99517.780000000028</v>
      </c>
    </row>
    <row r="49" spans="1:9" x14ac:dyDescent="0.25">
      <c r="A49" s="324" t="s">
        <v>66</v>
      </c>
      <c r="B49" s="321">
        <v>25435219</v>
      </c>
      <c r="C49" s="321">
        <v>0</v>
      </c>
      <c r="D49" s="321">
        <v>31798728.859999999</v>
      </c>
      <c r="E49" s="321">
        <v>1027554</v>
      </c>
      <c r="F49" s="321">
        <f t="shared" si="2"/>
        <v>32826282.859999999</v>
      </c>
      <c r="G49" s="321">
        <v>4368812.26</v>
      </c>
      <c r="H49" s="321">
        <v>25435219</v>
      </c>
      <c r="I49" s="323">
        <f t="shared" si="3"/>
        <v>0</v>
      </c>
    </row>
    <row r="50" spans="1:9" x14ac:dyDescent="0.25">
      <c r="A50" s="325" t="s">
        <v>53</v>
      </c>
      <c r="B50" s="321">
        <v>6847800</v>
      </c>
      <c r="C50" s="321">
        <v>0</v>
      </c>
      <c r="D50" s="321">
        <v>7882102.6000000015</v>
      </c>
      <c r="E50" s="321">
        <v>259326</v>
      </c>
      <c r="F50" s="321">
        <f t="shared" si="2"/>
        <v>8141428.6000000015</v>
      </c>
      <c r="G50" s="321">
        <v>1378406.29</v>
      </c>
      <c r="H50" s="321">
        <v>6680267.6200000001</v>
      </c>
      <c r="I50" s="323">
        <f t="shared" si="3"/>
        <v>167532.37999999989</v>
      </c>
    </row>
    <row r="51" spans="1:9" x14ac:dyDescent="0.25">
      <c r="A51" s="324" t="s">
        <v>67</v>
      </c>
      <c r="B51" s="321">
        <v>26570245</v>
      </c>
      <c r="C51" s="321">
        <v>1801705.51</v>
      </c>
      <c r="D51" s="321">
        <v>23859480.970000003</v>
      </c>
      <c r="E51" s="321">
        <v>1084069</v>
      </c>
      <c r="F51" s="321">
        <f t="shared" si="2"/>
        <v>26745255.480000004</v>
      </c>
      <c r="G51" s="321">
        <v>0</v>
      </c>
      <c r="H51" s="321">
        <v>26570245.000000007</v>
      </c>
      <c r="I51" s="323">
        <f t="shared" si="3"/>
        <v>0</v>
      </c>
    </row>
    <row r="52" spans="1:9" x14ac:dyDescent="0.25">
      <c r="A52" s="324" t="s">
        <v>54</v>
      </c>
      <c r="B52" s="321">
        <v>10303538</v>
      </c>
      <c r="C52" s="321">
        <v>2814909.37</v>
      </c>
      <c r="D52" s="321">
        <v>7099733.8099999987</v>
      </c>
      <c r="E52" s="321">
        <v>416251</v>
      </c>
      <c r="F52" s="321">
        <f t="shared" si="2"/>
        <v>10330894.18</v>
      </c>
      <c r="G52" s="321">
        <v>0</v>
      </c>
      <c r="H52" s="321">
        <v>10303538</v>
      </c>
      <c r="I52" s="323">
        <f t="shared" si="3"/>
        <v>0</v>
      </c>
    </row>
    <row r="53" spans="1:9" x14ac:dyDescent="0.25">
      <c r="A53" s="324" t="s">
        <v>60</v>
      </c>
      <c r="B53" s="321">
        <v>20281892</v>
      </c>
      <c r="C53" s="321">
        <v>2406271.36</v>
      </c>
      <c r="D53" s="321">
        <v>17091119.859999999</v>
      </c>
      <c r="E53" s="321">
        <v>819365</v>
      </c>
      <c r="F53" s="321">
        <f t="shared" si="2"/>
        <v>20316756.219999999</v>
      </c>
      <c r="G53" s="321">
        <v>0</v>
      </c>
      <c r="H53" s="321">
        <v>20281891.999999996</v>
      </c>
      <c r="I53" s="323">
        <f t="shared" si="3"/>
        <v>0</v>
      </c>
    </row>
    <row r="54" spans="1:9" x14ac:dyDescent="0.25">
      <c r="A54" s="324" t="s">
        <v>61</v>
      </c>
      <c r="B54" s="321">
        <v>10810797</v>
      </c>
      <c r="C54" s="321">
        <v>0</v>
      </c>
      <c r="D54" s="321">
        <v>11745128.509999998</v>
      </c>
      <c r="E54" s="321">
        <v>436744</v>
      </c>
      <c r="F54" s="321">
        <f t="shared" si="2"/>
        <v>12181872.509999998</v>
      </c>
      <c r="G54" s="321">
        <v>1055788.33</v>
      </c>
      <c r="H54" s="321">
        <v>10454197.18</v>
      </c>
      <c r="I54" s="323">
        <f>B54-H54</f>
        <v>356599.8200000003</v>
      </c>
    </row>
    <row r="55" spans="1:9" x14ac:dyDescent="0.25">
      <c r="A55" s="324" t="s">
        <v>33</v>
      </c>
      <c r="B55" s="321">
        <v>1746138</v>
      </c>
      <c r="C55" s="321">
        <v>844191.22</v>
      </c>
      <c r="D55" s="321">
        <v>843261.3</v>
      </c>
      <c r="E55" s="321">
        <v>70542</v>
      </c>
      <c r="F55" s="321">
        <f t="shared" si="2"/>
        <v>1757994.52</v>
      </c>
      <c r="G55" s="321">
        <v>62005.88</v>
      </c>
      <c r="H55" s="321">
        <v>1746138.0000000002</v>
      </c>
      <c r="I55" s="323">
        <f t="shared" si="3"/>
        <v>0</v>
      </c>
    </row>
    <row r="56" spans="1:9" x14ac:dyDescent="0.25">
      <c r="A56" s="324" t="s">
        <v>43</v>
      </c>
      <c r="B56" s="321">
        <v>3123818</v>
      </c>
      <c r="C56" s="321">
        <v>32395</v>
      </c>
      <c r="D56" s="321">
        <v>3263992.04</v>
      </c>
      <c r="E56" s="321">
        <v>126199</v>
      </c>
      <c r="F56" s="321">
        <f t="shared" si="2"/>
        <v>3422586.04</v>
      </c>
      <c r="G56" s="321">
        <v>128125.93</v>
      </c>
      <c r="H56" s="321">
        <v>3123753.77</v>
      </c>
      <c r="I56" s="323">
        <f t="shared" si="3"/>
        <v>64.229999999981374</v>
      </c>
    </row>
    <row r="57" spans="1:9" x14ac:dyDescent="0.25">
      <c r="A57" s="324" t="s">
        <v>55</v>
      </c>
      <c r="B57" s="321">
        <v>5961168</v>
      </c>
      <c r="C57" s="321">
        <v>117177.44</v>
      </c>
      <c r="D57" s="321">
        <v>5777800.96</v>
      </c>
      <c r="E57" s="321">
        <v>240824</v>
      </c>
      <c r="F57" s="321">
        <f t="shared" si="2"/>
        <v>6135802.4000000004</v>
      </c>
      <c r="G57" s="321">
        <v>79864.800000000003</v>
      </c>
      <c r="H57" s="321">
        <v>5848164.0999999996</v>
      </c>
      <c r="I57" s="323">
        <f t="shared" si="3"/>
        <v>113003.90000000037</v>
      </c>
    </row>
    <row r="58" spans="1:9" x14ac:dyDescent="0.25">
      <c r="A58" s="324" t="s">
        <v>44</v>
      </c>
      <c r="B58" s="321">
        <v>2775059</v>
      </c>
      <c r="C58" s="321">
        <v>0</v>
      </c>
      <c r="D58" s="321">
        <v>3324386.1500000004</v>
      </c>
      <c r="E58" s="321">
        <v>112109</v>
      </c>
      <c r="F58" s="321">
        <f t="shared" si="2"/>
        <v>3436495.1500000004</v>
      </c>
      <c r="G58" s="321">
        <v>352361.21</v>
      </c>
      <c r="H58" s="321">
        <v>2775059</v>
      </c>
      <c r="I58" s="323">
        <f t="shared" si="3"/>
        <v>0</v>
      </c>
    </row>
    <row r="59" spans="1:9" x14ac:dyDescent="0.25">
      <c r="A59" s="324" t="s">
        <v>56</v>
      </c>
      <c r="B59" s="321">
        <v>7208042</v>
      </c>
      <c r="C59" s="321">
        <v>999539.1</v>
      </c>
      <c r="D59" s="321">
        <v>6019346.2300000004</v>
      </c>
      <c r="E59" s="321">
        <v>291197</v>
      </c>
      <c r="F59" s="321">
        <f t="shared" si="2"/>
        <v>7310082.3300000001</v>
      </c>
      <c r="G59" s="321">
        <v>12472.08</v>
      </c>
      <c r="H59" s="321">
        <v>7208042</v>
      </c>
      <c r="I59" s="323">
        <f t="shared" si="3"/>
        <v>0</v>
      </c>
    </row>
    <row r="60" spans="1:9" x14ac:dyDescent="0.25">
      <c r="A60" s="324" t="s">
        <v>57</v>
      </c>
      <c r="B60" s="321">
        <v>7797760</v>
      </c>
      <c r="C60" s="321">
        <v>78056</v>
      </c>
      <c r="D60" s="321">
        <v>7960173.1299999999</v>
      </c>
      <c r="E60" s="321">
        <v>315020</v>
      </c>
      <c r="F60" s="321">
        <f t="shared" si="2"/>
        <v>8353249.1299999999</v>
      </c>
      <c r="G60" s="321">
        <v>72890.66</v>
      </c>
      <c r="H60" s="321">
        <v>7797760</v>
      </c>
      <c r="I60" s="323">
        <f t="shared" si="3"/>
        <v>0</v>
      </c>
    </row>
    <row r="61" spans="1:9" x14ac:dyDescent="0.25">
      <c r="A61" s="324" t="s">
        <v>34</v>
      </c>
      <c r="B61" s="321">
        <v>1633445</v>
      </c>
      <c r="C61" s="321">
        <v>0</v>
      </c>
      <c r="D61" s="321">
        <v>1866936.17</v>
      </c>
      <c r="E61" s="321">
        <v>65989</v>
      </c>
      <c r="F61" s="321">
        <f t="shared" si="2"/>
        <v>1932925.17</v>
      </c>
      <c r="G61" s="321">
        <v>148944.59</v>
      </c>
      <c r="H61" s="321">
        <v>1633445</v>
      </c>
      <c r="I61" s="323">
        <f t="shared" si="3"/>
        <v>0</v>
      </c>
    </row>
    <row r="62" spans="1:9" x14ac:dyDescent="0.25">
      <c r="A62" s="324" t="s">
        <v>25</v>
      </c>
      <c r="B62" s="321">
        <v>1026261</v>
      </c>
      <c r="C62" s="321">
        <v>36907</v>
      </c>
      <c r="D62" s="321">
        <v>965178.33999999985</v>
      </c>
      <c r="E62" s="321">
        <v>38864</v>
      </c>
      <c r="F62" s="321">
        <f t="shared" si="2"/>
        <v>1040949.3399999999</v>
      </c>
      <c r="G62" s="321">
        <v>19228</v>
      </c>
      <c r="H62" s="321">
        <v>1026261.0000000001</v>
      </c>
      <c r="I62" s="323">
        <f t="shared" si="3"/>
        <v>0</v>
      </c>
    </row>
    <row r="63" spans="1:9" x14ac:dyDescent="0.25">
      <c r="A63" s="324" t="s">
        <v>14</v>
      </c>
      <c r="B63" s="321">
        <v>461057</v>
      </c>
      <c r="C63" s="321">
        <v>91066.2</v>
      </c>
      <c r="D63" s="321">
        <v>366773.98</v>
      </c>
      <c r="E63" s="321">
        <v>18626</v>
      </c>
      <c r="F63" s="321">
        <f t="shared" si="2"/>
        <v>476466.18</v>
      </c>
      <c r="G63" s="321">
        <v>0</v>
      </c>
      <c r="H63" s="321">
        <v>461013.7099999999</v>
      </c>
      <c r="I63" s="323">
        <f t="shared" si="3"/>
        <v>43.290000000095461</v>
      </c>
    </row>
    <row r="64" spans="1:9" x14ac:dyDescent="0.25">
      <c r="A64" s="324" t="s">
        <v>4</v>
      </c>
      <c r="B64" s="321">
        <v>409387</v>
      </c>
      <c r="C64" s="321">
        <v>246441.18</v>
      </c>
      <c r="D64" s="321">
        <v>122435.35000000002</v>
      </c>
      <c r="E64" s="321">
        <v>16538</v>
      </c>
      <c r="F64" s="321">
        <f t="shared" si="2"/>
        <v>385414.53</v>
      </c>
      <c r="G64" s="321">
        <v>0</v>
      </c>
      <c r="H64" s="321">
        <v>409387</v>
      </c>
      <c r="I64" s="323">
        <f t="shared" si="3"/>
        <v>0</v>
      </c>
    </row>
    <row r="65" spans="1:9" x14ac:dyDescent="0.25">
      <c r="A65" s="324" t="s">
        <v>62</v>
      </c>
      <c r="B65" s="321">
        <v>10108026</v>
      </c>
      <c r="C65" s="321">
        <v>1482128</v>
      </c>
      <c r="D65" s="321">
        <v>8611553.8299999982</v>
      </c>
      <c r="E65" s="321">
        <v>412409</v>
      </c>
      <c r="F65" s="321">
        <f t="shared" si="2"/>
        <v>10506090.829999998</v>
      </c>
      <c r="G65" s="321">
        <v>0</v>
      </c>
      <c r="H65" s="321">
        <v>10108025.999999998</v>
      </c>
      <c r="I65" s="323">
        <f t="shared" si="3"/>
        <v>0</v>
      </c>
    </row>
    <row r="66" spans="1:9" x14ac:dyDescent="0.25">
      <c r="A66" s="324" t="s">
        <v>26</v>
      </c>
      <c r="B66" s="321">
        <v>601988</v>
      </c>
      <c r="C66" s="321">
        <v>105118.48999999999</v>
      </c>
      <c r="D66" s="321">
        <v>484203.79</v>
      </c>
      <c r="E66" s="321">
        <v>22797</v>
      </c>
      <c r="F66" s="321">
        <f t="shared" ref="F66:F68" si="4">SUM(C66:E66)</f>
        <v>612119.28</v>
      </c>
      <c r="G66" s="321">
        <v>0</v>
      </c>
      <c r="H66" s="321">
        <v>601988</v>
      </c>
      <c r="I66" s="323">
        <f t="shared" ref="I66:I68" si="5">B66-H66</f>
        <v>0</v>
      </c>
    </row>
    <row r="67" spans="1:9" x14ac:dyDescent="0.25">
      <c r="A67" s="324" t="s">
        <v>35</v>
      </c>
      <c r="B67" s="321">
        <v>1430134</v>
      </c>
      <c r="C67" s="321">
        <v>112917</v>
      </c>
      <c r="D67" s="321">
        <v>1319214.51</v>
      </c>
      <c r="E67" s="321">
        <v>57776</v>
      </c>
      <c r="F67" s="321">
        <f t="shared" si="4"/>
        <v>1489907.51</v>
      </c>
      <c r="G67" s="321">
        <v>0</v>
      </c>
      <c r="H67" s="321">
        <v>1430134</v>
      </c>
      <c r="I67" s="323">
        <f t="shared" si="5"/>
        <v>0</v>
      </c>
    </row>
    <row r="68" spans="1:9" x14ac:dyDescent="0.25">
      <c r="A68" s="324" t="s">
        <v>15</v>
      </c>
      <c r="B68" s="321">
        <v>661083</v>
      </c>
      <c r="C68" s="321">
        <v>256387.09</v>
      </c>
      <c r="D68" s="321">
        <v>392496.74000000005</v>
      </c>
      <c r="E68" s="321">
        <v>26707</v>
      </c>
      <c r="F68" s="321">
        <f t="shared" si="4"/>
        <v>675590.83000000007</v>
      </c>
      <c r="G68" s="321">
        <v>0</v>
      </c>
      <c r="H68" s="321">
        <v>661083</v>
      </c>
      <c r="I68" s="323">
        <f t="shared" si="5"/>
        <v>0</v>
      </c>
    </row>
    <row r="69" spans="1:9" ht="9.75" customHeight="1" thickBot="1" x14ac:dyDescent="0.3">
      <c r="A69" s="322"/>
      <c r="B69" s="320"/>
      <c r="C69" s="320"/>
      <c r="D69" s="320"/>
      <c r="E69" s="320"/>
      <c r="F69" s="321"/>
      <c r="G69" s="320"/>
      <c r="H69" s="320"/>
    </row>
    <row r="70" spans="1:9" s="317" customFormat="1" ht="15.75" thickTop="1" x14ac:dyDescent="0.25">
      <c r="A70" s="319" t="s">
        <v>159</v>
      </c>
      <c r="B70" s="318">
        <f t="shared" ref="B70:I70" si="6">SUM(B2:B68)</f>
        <v>391413777</v>
      </c>
      <c r="C70" s="318">
        <f t="shared" si="6"/>
        <v>27201885.960000001</v>
      </c>
      <c r="D70" s="318">
        <f t="shared" si="6"/>
        <v>377353907.55000007</v>
      </c>
      <c r="E70" s="318">
        <f t="shared" si="6"/>
        <v>15812672</v>
      </c>
      <c r="F70" s="318">
        <f t="shared" si="6"/>
        <v>420368465.50999981</v>
      </c>
      <c r="G70" s="318">
        <f t="shared" si="6"/>
        <v>17218050.290000003</v>
      </c>
      <c r="H70" s="318">
        <f t="shared" si="6"/>
        <v>389359203.41000003</v>
      </c>
      <c r="I70" s="334">
        <f t="shared" si="6"/>
        <v>2054573.5900000012</v>
      </c>
    </row>
    <row r="71" spans="1:9" x14ac:dyDescent="0.25">
      <c r="H71" s="316"/>
    </row>
    <row r="72" spans="1:9" ht="15.75" customHeight="1" x14ac:dyDescent="0.25">
      <c r="A72" s="315"/>
      <c r="B72" s="315"/>
      <c r="C72" s="315"/>
      <c r="D72" s="315"/>
      <c r="E72" s="315"/>
      <c r="F72" s="315"/>
      <c r="G72" s="315"/>
      <c r="H72" s="315"/>
    </row>
    <row r="73" spans="1:9" x14ac:dyDescent="0.25">
      <c r="A73" s="315"/>
      <c r="B73" s="315"/>
      <c r="H73" s="384"/>
    </row>
    <row r="74" spans="1:9" x14ac:dyDescent="0.25">
      <c r="A74" s="315"/>
      <c r="B74" s="315"/>
      <c r="H74" s="384"/>
    </row>
    <row r="77" spans="1:9" x14ac:dyDescent="0.25">
      <c r="A77" s="314"/>
    </row>
  </sheetData>
  <pageMargins left="0.5" right="0.5" top="0.5" bottom="1" header="0.25" footer="0.25"/>
  <pageSetup paperSize="5" scale="93" fitToHeight="0" orientation="landscape" r:id="rId1"/>
  <headerFooter>
    <oddFooter>&amp;L&amp;D&amp;RPage &amp;P of &amp;N</oddFooter>
  </headerFooter>
  <rowBreaks count="2" manualBreakCount="2">
    <brk id="30" max="16383" man="1"/>
    <brk id="5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8E93-6003-4E2E-AC82-D755E6BAD6FE}">
  <sheetPr>
    <pageSetUpPr fitToPage="1"/>
  </sheetPr>
  <dimension ref="A1:O75"/>
  <sheetViews>
    <sheetView zoomScale="120" zoomScaleNormal="120" zoomScalePageLayoutView="55" workbookViewId="0">
      <pane xSplit="2" ySplit="2" topLeftCell="C51" activePane="bottomRight" state="frozen"/>
      <selection pane="topRight" activeCell="C1" sqref="C1"/>
      <selection pane="bottomLeft" activeCell="A3" sqref="A3"/>
      <selection pane="bottomRight" activeCell="E82" sqref="E82"/>
    </sheetView>
  </sheetViews>
  <sheetFormatPr defaultColWidth="2.28515625" defaultRowHeight="13.5" x14ac:dyDescent="0.25"/>
  <cols>
    <col min="1" max="1" width="13.42578125" style="18" customWidth="1"/>
    <col min="2" max="2" width="6.28515625" style="18" customWidth="1"/>
    <col min="3" max="3" width="17" style="18" customWidth="1"/>
    <col min="4" max="4" width="17.85546875" style="12" customWidth="1"/>
    <col min="5" max="5" width="17.28515625" style="18" customWidth="1"/>
    <col min="6" max="6" width="11.28515625" style="53" customWidth="1"/>
    <col min="7" max="7" width="17" style="13" customWidth="1"/>
    <col min="8" max="16384" width="2.28515625" style="18"/>
  </cols>
  <sheetData>
    <row r="1" spans="1:15" s="307" customFormat="1" ht="14.25" thickBot="1" x14ac:dyDescent="0.3">
      <c r="A1" s="57" t="s">
        <v>69</v>
      </c>
      <c r="B1" s="57"/>
      <c r="C1" s="57"/>
      <c r="D1" s="310">
        <v>444855243</v>
      </c>
      <c r="E1" s="20"/>
      <c r="F1" s="309"/>
      <c r="G1" s="308"/>
    </row>
    <row r="2" spans="1:15" s="201" customFormat="1" ht="41.25" thickBot="1" x14ac:dyDescent="0.3">
      <c r="A2" s="68" t="s">
        <v>0</v>
      </c>
      <c r="B2" s="69" t="s">
        <v>120</v>
      </c>
      <c r="C2" s="26" t="s">
        <v>78</v>
      </c>
      <c r="D2" s="26" t="s">
        <v>156</v>
      </c>
      <c r="E2" s="6" t="s">
        <v>155</v>
      </c>
      <c r="F2" s="306" t="s">
        <v>154</v>
      </c>
      <c r="G2" s="305" t="s">
        <v>153</v>
      </c>
      <c r="H2" s="18"/>
      <c r="I2" s="18"/>
      <c r="J2" s="18"/>
      <c r="K2" s="18"/>
      <c r="L2" s="18"/>
      <c r="M2" s="18"/>
      <c r="N2" s="18"/>
      <c r="O2" s="18"/>
    </row>
    <row r="3" spans="1:15" s="90" customFormat="1" x14ac:dyDescent="0.25">
      <c r="A3" s="200" t="s">
        <v>1</v>
      </c>
      <c r="B3" s="199">
        <v>1</v>
      </c>
      <c r="C3" s="105">
        <v>423037</v>
      </c>
      <c r="D3" s="304">
        <v>11149.5</v>
      </c>
      <c r="E3" s="303">
        <f t="shared" ref="E3:E34" si="0">ROUND((D3/$D$71*$D$1),0)</f>
        <v>313048</v>
      </c>
      <c r="F3" s="62">
        <f t="shared" ref="F3:F34" si="1">E3/$D$1</f>
        <v>7.0370756538436479E-4</v>
      </c>
      <c r="G3" s="140">
        <f t="shared" ref="G3:G34" si="2">E3-C3</f>
        <v>-109989</v>
      </c>
      <c r="H3" s="18"/>
      <c r="I3" s="18"/>
      <c r="J3" s="18"/>
      <c r="K3" s="18"/>
      <c r="L3" s="18"/>
      <c r="M3" s="18"/>
      <c r="N3" s="18"/>
      <c r="O3" s="18"/>
    </row>
    <row r="4" spans="1:15" customFormat="1" ht="15" x14ac:dyDescent="0.25">
      <c r="A4" s="71" t="s">
        <v>2</v>
      </c>
      <c r="B4" s="72">
        <v>1</v>
      </c>
      <c r="C4" s="101">
        <v>292156</v>
      </c>
      <c r="D4" s="302">
        <v>3725.5</v>
      </c>
      <c r="E4" s="301">
        <f>ROUND((D4/$D$71*$D$1),0)</f>
        <v>104602</v>
      </c>
      <c r="F4" s="49">
        <f t="shared" si="1"/>
        <v>2.3513716348398753E-4</v>
      </c>
      <c r="G4" s="14">
        <f t="shared" si="2"/>
        <v>-187554</v>
      </c>
    </row>
    <row r="5" spans="1:15" s="103" customFormat="1" x14ac:dyDescent="0.25">
      <c r="A5" s="71" t="s">
        <v>3</v>
      </c>
      <c r="B5" s="72">
        <v>1</v>
      </c>
      <c r="C5" s="101">
        <v>288357</v>
      </c>
      <c r="D5" s="302">
        <v>6333</v>
      </c>
      <c r="E5" s="301">
        <f t="shared" si="0"/>
        <v>177814</v>
      </c>
      <c r="F5" s="49">
        <f t="shared" si="1"/>
        <v>3.9971204745360277E-4</v>
      </c>
      <c r="G5" s="14">
        <f t="shared" si="2"/>
        <v>-110543</v>
      </c>
      <c r="H5" s="18"/>
      <c r="I5" s="18"/>
      <c r="J5" s="18"/>
      <c r="K5" s="18"/>
      <c r="L5" s="18"/>
      <c r="M5" s="18"/>
      <c r="N5" s="18"/>
      <c r="O5" s="18"/>
    </row>
    <row r="6" spans="1:15" s="90" customFormat="1" x14ac:dyDescent="0.25">
      <c r="A6" s="71" t="s">
        <v>4</v>
      </c>
      <c r="B6" s="72">
        <v>1</v>
      </c>
      <c r="C6" s="101">
        <v>457872</v>
      </c>
      <c r="D6" s="302">
        <v>6256.5</v>
      </c>
      <c r="E6" s="301">
        <f t="shared" si="0"/>
        <v>175666</v>
      </c>
      <c r="F6" s="49">
        <f t="shared" si="1"/>
        <v>3.9488351045465815E-4</v>
      </c>
      <c r="G6" s="14">
        <f t="shared" si="2"/>
        <v>-282206</v>
      </c>
      <c r="H6" s="18"/>
      <c r="I6" s="18"/>
      <c r="J6" s="18"/>
      <c r="K6" s="18"/>
      <c r="L6" s="18"/>
      <c r="M6" s="18"/>
      <c r="N6" s="18"/>
      <c r="O6" s="18"/>
    </row>
    <row r="7" spans="1:15" s="90" customFormat="1" x14ac:dyDescent="0.25">
      <c r="A7" s="71" t="s">
        <v>5</v>
      </c>
      <c r="B7" s="72">
        <v>2</v>
      </c>
      <c r="C7" s="101">
        <v>663029</v>
      </c>
      <c r="D7" s="302">
        <v>19477.5</v>
      </c>
      <c r="E7" s="301">
        <f t="shared" si="0"/>
        <v>546876</v>
      </c>
      <c r="F7" s="49">
        <f t="shared" si="1"/>
        <v>1.2293347299044872E-3</v>
      </c>
      <c r="G7" s="14">
        <f t="shared" si="2"/>
        <v>-116153</v>
      </c>
      <c r="H7" s="18"/>
      <c r="I7" s="18"/>
      <c r="J7" s="18"/>
      <c r="K7" s="18"/>
      <c r="L7" s="18"/>
      <c r="M7" s="18"/>
      <c r="N7" s="18"/>
      <c r="O7" s="18"/>
    </row>
    <row r="8" spans="1:15" s="90" customFormat="1" x14ac:dyDescent="0.25">
      <c r="A8" s="71" t="s">
        <v>6</v>
      </c>
      <c r="B8" s="72">
        <v>2</v>
      </c>
      <c r="C8" s="101">
        <v>460671</v>
      </c>
      <c r="D8" s="302">
        <v>12984.5</v>
      </c>
      <c r="E8" s="301">
        <f t="shared" si="0"/>
        <v>364570</v>
      </c>
      <c r="F8" s="49">
        <f t="shared" si="1"/>
        <v>8.1952501569145268E-4</v>
      </c>
      <c r="G8" s="14">
        <f t="shared" si="2"/>
        <v>-96101</v>
      </c>
      <c r="H8" s="18"/>
      <c r="I8" s="18"/>
      <c r="J8" s="18"/>
      <c r="K8" s="18"/>
      <c r="L8" s="18"/>
      <c r="M8" s="18"/>
      <c r="N8" s="18"/>
      <c r="O8" s="18"/>
    </row>
    <row r="9" spans="1:15" s="90" customFormat="1" x14ac:dyDescent="0.25">
      <c r="A9" s="71" t="s">
        <v>7</v>
      </c>
      <c r="B9" s="72">
        <v>2</v>
      </c>
      <c r="C9" s="101">
        <v>620259</v>
      </c>
      <c r="D9" s="302">
        <v>11693</v>
      </c>
      <c r="E9" s="301">
        <f t="shared" si="0"/>
        <v>328308</v>
      </c>
      <c r="F9" s="49">
        <f t="shared" si="1"/>
        <v>7.3801085896159704E-4</v>
      </c>
      <c r="G9" s="14">
        <f t="shared" si="2"/>
        <v>-291951</v>
      </c>
      <c r="H9" s="18"/>
      <c r="I9" s="18"/>
      <c r="J9" s="18"/>
      <c r="K9" s="18"/>
      <c r="L9" s="18"/>
      <c r="M9" s="18"/>
      <c r="N9" s="18"/>
      <c r="O9" s="18"/>
    </row>
    <row r="10" spans="1:15" s="90" customFormat="1" x14ac:dyDescent="0.25">
      <c r="A10" s="71" t="s">
        <v>8</v>
      </c>
      <c r="B10" s="72">
        <v>2</v>
      </c>
      <c r="C10" s="101">
        <v>512702</v>
      </c>
      <c r="D10" s="302">
        <v>12910.5</v>
      </c>
      <c r="E10" s="301">
        <f t="shared" si="0"/>
        <v>362492</v>
      </c>
      <c r="F10" s="49">
        <f t="shared" si="1"/>
        <v>8.1485383325020184E-4</v>
      </c>
      <c r="G10" s="14">
        <f t="shared" si="2"/>
        <v>-150210</v>
      </c>
      <c r="H10" s="18"/>
      <c r="I10" s="18"/>
      <c r="J10" s="18"/>
      <c r="K10" s="18"/>
      <c r="L10" s="18"/>
      <c r="M10" s="18"/>
      <c r="N10" s="18"/>
      <c r="O10" s="18"/>
    </row>
    <row r="11" spans="1:15" s="90" customFormat="1" x14ac:dyDescent="0.25">
      <c r="A11" s="71" t="s">
        <v>9</v>
      </c>
      <c r="B11" s="72">
        <v>2</v>
      </c>
      <c r="C11" s="101">
        <v>498452</v>
      </c>
      <c r="D11" s="302">
        <v>12114</v>
      </c>
      <c r="E11" s="301">
        <f t="shared" si="0"/>
        <v>340129</v>
      </c>
      <c r="F11" s="49">
        <f t="shared" si="1"/>
        <v>7.6458354791156193E-4</v>
      </c>
      <c r="G11" s="14">
        <f t="shared" si="2"/>
        <v>-158323</v>
      </c>
      <c r="H11" s="18"/>
      <c r="I11" s="18"/>
      <c r="J11" s="18"/>
      <c r="K11" s="18"/>
      <c r="L11" s="18"/>
      <c r="M11" s="18"/>
      <c r="N11" s="18"/>
      <c r="O11" s="18"/>
    </row>
    <row r="12" spans="1:15" s="90" customFormat="1" x14ac:dyDescent="0.25">
      <c r="A12" s="71" t="s">
        <v>10</v>
      </c>
      <c r="B12" s="72">
        <v>2</v>
      </c>
      <c r="C12" s="101">
        <v>460067</v>
      </c>
      <c r="D12" s="302">
        <v>11742.5</v>
      </c>
      <c r="E12" s="301">
        <f t="shared" si="0"/>
        <v>329698</v>
      </c>
      <c r="F12" s="49">
        <f t="shared" si="1"/>
        <v>7.4113547089294397E-4</v>
      </c>
      <c r="G12" s="14">
        <f t="shared" si="2"/>
        <v>-130369</v>
      </c>
      <c r="H12" s="18"/>
      <c r="I12" s="18"/>
      <c r="J12" s="18"/>
      <c r="K12" s="18"/>
      <c r="L12" s="18"/>
      <c r="M12" s="18"/>
      <c r="N12" s="18"/>
      <c r="O12" s="18"/>
    </row>
    <row r="13" spans="1:15" s="90" customFormat="1" ht="12.75" customHeight="1" x14ac:dyDescent="0.25">
      <c r="A13" s="71" t="s">
        <v>11</v>
      </c>
      <c r="B13" s="72">
        <v>2</v>
      </c>
      <c r="C13" s="101">
        <v>496714</v>
      </c>
      <c r="D13" s="302">
        <v>13919.5</v>
      </c>
      <c r="E13" s="301">
        <f t="shared" si="0"/>
        <v>390822</v>
      </c>
      <c r="F13" s="49">
        <f t="shared" si="1"/>
        <v>8.7853747067110548E-4</v>
      </c>
      <c r="G13" s="14">
        <f t="shared" si="2"/>
        <v>-105892</v>
      </c>
      <c r="H13" s="18"/>
      <c r="I13" s="18"/>
      <c r="J13" s="18"/>
      <c r="K13" s="18"/>
      <c r="L13" s="18"/>
      <c r="M13" s="18"/>
      <c r="N13" s="18"/>
      <c r="O13" s="18"/>
    </row>
    <row r="14" spans="1:15" s="90" customFormat="1" x14ac:dyDescent="0.25">
      <c r="A14" s="71" t="s">
        <v>12</v>
      </c>
      <c r="B14" s="72">
        <v>2</v>
      </c>
      <c r="C14" s="101">
        <v>552802</v>
      </c>
      <c r="D14" s="302">
        <v>16302</v>
      </c>
      <c r="E14" s="301">
        <f t="shared" si="0"/>
        <v>457716</v>
      </c>
      <c r="F14" s="49">
        <f t="shared" si="1"/>
        <v>1.0289099818477357E-3</v>
      </c>
      <c r="G14" s="14">
        <f t="shared" si="2"/>
        <v>-95086</v>
      </c>
      <c r="H14" s="18"/>
      <c r="I14" s="18"/>
      <c r="J14" s="18"/>
      <c r="K14" s="18"/>
      <c r="L14" s="18"/>
      <c r="M14" s="18"/>
      <c r="N14" s="18"/>
      <c r="O14" s="18"/>
    </row>
    <row r="15" spans="1:15" s="90" customFormat="1" x14ac:dyDescent="0.25">
      <c r="A15" s="71" t="s">
        <v>13</v>
      </c>
      <c r="B15" s="72">
        <v>2</v>
      </c>
      <c r="C15" s="101">
        <v>466416</v>
      </c>
      <c r="D15" s="302">
        <v>9265</v>
      </c>
      <c r="E15" s="301">
        <f t="shared" si="0"/>
        <v>260136</v>
      </c>
      <c r="F15" s="49">
        <f t="shared" si="1"/>
        <v>5.8476550314593009E-4</v>
      </c>
      <c r="G15" s="14">
        <f t="shared" si="2"/>
        <v>-206280</v>
      </c>
      <c r="H15" s="18"/>
      <c r="I15" s="18"/>
      <c r="J15" s="18"/>
      <c r="K15" s="18"/>
      <c r="L15" s="18"/>
      <c r="M15" s="18"/>
      <c r="N15" s="18"/>
      <c r="O15" s="18"/>
    </row>
    <row r="16" spans="1:15" s="90" customFormat="1" x14ac:dyDescent="0.25">
      <c r="A16" s="71" t="s">
        <v>14</v>
      </c>
      <c r="B16" s="72">
        <v>2</v>
      </c>
      <c r="C16" s="101">
        <v>525751</v>
      </c>
      <c r="D16" s="302">
        <v>17236</v>
      </c>
      <c r="E16" s="301">
        <f t="shared" si="0"/>
        <v>483941</v>
      </c>
      <c r="F16" s="49">
        <f t="shared" si="1"/>
        <v>1.0878617429265637E-3</v>
      </c>
      <c r="G16" s="14">
        <f t="shared" si="2"/>
        <v>-41810</v>
      </c>
      <c r="H16" s="18"/>
      <c r="I16" s="18"/>
      <c r="J16" s="18"/>
      <c r="K16" s="18"/>
      <c r="L16" s="18"/>
      <c r="M16" s="18"/>
      <c r="N16" s="18"/>
      <c r="O16" s="18"/>
    </row>
    <row r="17" spans="1:15" s="90" customFormat="1" x14ac:dyDescent="0.25">
      <c r="A17" s="71" t="s">
        <v>15</v>
      </c>
      <c r="B17" s="72">
        <v>2</v>
      </c>
      <c r="C17" s="101">
        <v>741009</v>
      </c>
      <c r="D17" s="302">
        <v>16786.5</v>
      </c>
      <c r="E17" s="301">
        <f t="shared" si="0"/>
        <v>471320</v>
      </c>
      <c r="F17" s="49">
        <f t="shared" si="1"/>
        <v>1.0594907161743849E-3</v>
      </c>
      <c r="G17" s="14">
        <f t="shared" si="2"/>
        <v>-269689</v>
      </c>
      <c r="H17" s="18"/>
      <c r="I17" s="18"/>
      <c r="J17" s="18"/>
      <c r="K17" s="18"/>
      <c r="L17" s="18"/>
      <c r="M17" s="18"/>
      <c r="N17" s="18"/>
      <c r="O17" s="18"/>
    </row>
    <row r="18" spans="1:15" s="90" customFormat="1" x14ac:dyDescent="0.25">
      <c r="A18" s="71" t="s">
        <v>16</v>
      </c>
      <c r="B18" s="72">
        <v>3</v>
      </c>
      <c r="C18" s="101">
        <v>680789</v>
      </c>
      <c r="D18" s="302">
        <v>33818.5</v>
      </c>
      <c r="E18" s="301">
        <f t="shared" si="0"/>
        <v>949533</v>
      </c>
      <c r="F18" s="49">
        <f t="shared" si="1"/>
        <v>2.1344763604370961E-3</v>
      </c>
      <c r="G18" s="14">
        <f t="shared" si="2"/>
        <v>268744</v>
      </c>
      <c r="H18" s="18"/>
      <c r="I18" s="18"/>
      <c r="J18" s="18"/>
      <c r="K18" s="18"/>
      <c r="L18" s="18"/>
      <c r="M18" s="18"/>
      <c r="N18" s="18"/>
      <c r="O18" s="18"/>
    </row>
    <row r="19" spans="1:15" s="90" customFormat="1" x14ac:dyDescent="0.25">
      <c r="A19" s="71" t="s">
        <v>17</v>
      </c>
      <c r="B19" s="72">
        <v>3</v>
      </c>
      <c r="C19" s="101">
        <v>762973</v>
      </c>
      <c r="D19" s="302">
        <v>26916</v>
      </c>
      <c r="E19" s="301">
        <f t="shared" si="0"/>
        <v>755729</v>
      </c>
      <c r="F19" s="49">
        <f t="shared" si="1"/>
        <v>1.6988200361617409E-3</v>
      </c>
      <c r="G19" s="14">
        <f t="shared" si="2"/>
        <v>-7244</v>
      </c>
      <c r="H19" s="18"/>
      <c r="I19" s="18"/>
      <c r="J19" s="18"/>
      <c r="K19" s="18"/>
      <c r="L19" s="18"/>
      <c r="M19" s="18"/>
      <c r="N19" s="18"/>
      <c r="O19" s="18"/>
    </row>
    <row r="20" spans="1:15" s="90" customFormat="1" x14ac:dyDescent="0.25">
      <c r="A20" s="71" t="s">
        <v>18</v>
      </c>
      <c r="B20" s="72">
        <v>3</v>
      </c>
      <c r="C20" s="101">
        <v>1230451</v>
      </c>
      <c r="D20" s="302">
        <v>33323.5</v>
      </c>
      <c r="E20" s="301">
        <f t="shared" si="0"/>
        <v>935634</v>
      </c>
      <c r="F20" s="49">
        <f t="shared" si="1"/>
        <v>2.1032324890458806E-3</v>
      </c>
      <c r="G20" s="14">
        <f t="shared" si="2"/>
        <v>-294817</v>
      </c>
      <c r="H20" s="18"/>
      <c r="I20" s="18"/>
      <c r="J20" s="18"/>
      <c r="K20" s="18"/>
      <c r="L20" s="18"/>
      <c r="M20" s="18"/>
      <c r="N20" s="18"/>
      <c r="O20" s="18"/>
    </row>
    <row r="21" spans="1:15" s="90" customFormat="1" x14ac:dyDescent="0.25">
      <c r="A21" s="71" t="s">
        <v>19</v>
      </c>
      <c r="B21" s="72">
        <v>3</v>
      </c>
      <c r="C21" s="101">
        <v>852932</v>
      </c>
      <c r="D21" s="302">
        <v>21067</v>
      </c>
      <c r="E21" s="301">
        <f t="shared" si="0"/>
        <v>591505</v>
      </c>
      <c r="F21" s="49">
        <f t="shared" si="1"/>
        <v>1.3296572521232486E-3</v>
      </c>
      <c r="G21" s="14">
        <f t="shared" si="2"/>
        <v>-261427</v>
      </c>
      <c r="H21" s="18"/>
      <c r="I21" s="18"/>
      <c r="J21" s="18"/>
      <c r="K21" s="18"/>
      <c r="L21" s="18"/>
      <c r="M21" s="18"/>
      <c r="N21" s="18"/>
      <c r="O21" s="18"/>
    </row>
    <row r="22" spans="1:15" s="90" customFormat="1" x14ac:dyDescent="0.25">
      <c r="A22" s="71" t="s">
        <v>20</v>
      </c>
      <c r="B22" s="72">
        <v>3</v>
      </c>
      <c r="C22" s="101">
        <v>1197173</v>
      </c>
      <c r="D22" s="302">
        <v>32074</v>
      </c>
      <c r="E22" s="301">
        <f t="shared" si="0"/>
        <v>900552</v>
      </c>
      <c r="F22" s="49">
        <f t="shared" si="1"/>
        <v>2.0243708805742907E-3</v>
      </c>
      <c r="G22" s="14">
        <f t="shared" si="2"/>
        <v>-296621</v>
      </c>
      <c r="H22" s="18"/>
      <c r="I22" s="18"/>
      <c r="J22" s="18"/>
      <c r="K22" s="18"/>
      <c r="L22" s="18"/>
      <c r="M22" s="18"/>
      <c r="N22" s="18"/>
      <c r="O22" s="18"/>
    </row>
    <row r="23" spans="1:15" s="90" customFormat="1" x14ac:dyDescent="0.25">
      <c r="A23" s="71" t="s">
        <v>21</v>
      </c>
      <c r="B23" s="72">
        <v>3</v>
      </c>
      <c r="C23" s="101">
        <v>1040209</v>
      </c>
      <c r="D23" s="302">
        <v>35638.5</v>
      </c>
      <c r="E23" s="301">
        <f t="shared" si="0"/>
        <v>1000633</v>
      </c>
      <c r="F23" s="49">
        <f t="shared" si="1"/>
        <v>2.2493451875535159E-3</v>
      </c>
      <c r="G23" s="14">
        <f t="shared" si="2"/>
        <v>-39576</v>
      </c>
      <c r="H23" s="18"/>
      <c r="I23" s="18"/>
      <c r="J23" s="18"/>
      <c r="K23" s="18"/>
      <c r="L23" s="18"/>
      <c r="M23" s="18"/>
      <c r="N23" s="18"/>
      <c r="O23" s="18"/>
    </row>
    <row r="24" spans="1:15" s="90" customFormat="1" x14ac:dyDescent="0.25">
      <c r="A24" s="71" t="s">
        <v>22</v>
      </c>
      <c r="B24" s="72">
        <v>3</v>
      </c>
      <c r="C24" s="101">
        <v>1017692</v>
      </c>
      <c r="D24" s="302">
        <v>34643</v>
      </c>
      <c r="E24" s="301">
        <f t="shared" si="0"/>
        <v>972682</v>
      </c>
      <c r="F24" s="49">
        <f t="shared" si="1"/>
        <v>2.1865135126664112E-3</v>
      </c>
      <c r="G24" s="14">
        <f t="shared" si="2"/>
        <v>-45010</v>
      </c>
      <c r="H24" s="18"/>
      <c r="I24" s="18"/>
      <c r="J24" s="18"/>
      <c r="K24" s="18"/>
      <c r="L24" s="18"/>
      <c r="M24" s="18"/>
      <c r="N24" s="18"/>
      <c r="O24" s="18"/>
    </row>
    <row r="25" spans="1:15" s="90" customFormat="1" x14ac:dyDescent="0.25">
      <c r="A25" s="71" t="s">
        <v>23</v>
      </c>
      <c r="B25" s="72">
        <v>3</v>
      </c>
      <c r="C25" s="101">
        <v>524791</v>
      </c>
      <c r="D25" s="302">
        <v>23563.5</v>
      </c>
      <c r="E25" s="301">
        <f t="shared" si="0"/>
        <v>661600</v>
      </c>
      <c r="F25" s="49">
        <f t="shared" si="1"/>
        <v>1.4872253624309876E-3</v>
      </c>
      <c r="G25" s="14">
        <f t="shared" si="2"/>
        <v>136809</v>
      </c>
      <c r="H25" s="18"/>
      <c r="I25" s="18"/>
      <c r="J25" s="18"/>
      <c r="K25" s="18"/>
      <c r="L25" s="18"/>
      <c r="M25" s="18"/>
      <c r="N25" s="18"/>
      <c r="O25" s="18"/>
    </row>
    <row r="26" spans="1:15" s="90" customFormat="1" x14ac:dyDescent="0.25">
      <c r="A26" s="71" t="s">
        <v>24</v>
      </c>
      <c r="B26" s="72">
        <v>3</v>
      </c>
      <c r="C26" s="101">
        <v>1195690</v>
      </c>
      <c r="D26" s="302">
        <v>31118</v>
      </c>
      <c r="E26" s="301">
        <f t="shared" si="0"/>
        <v>873710</v>
      </c>
      <c r="F26" s="49">
        <f t="shared" si="1"/>
        <v>1.9640321514655047E-3</v>
      </c>
      <c r="G26" s="14">
        <f t="shared" si="2"/>
        <v>-321980</v>
      </c>
      <c r="H26" s="18"/>
      <c r="I26" s="18"/>
      <c r="J26" s="18"/>
      <c r="K26" s="18"/>
      <c r="L26" s="18"/>
      <c r="M26" s="18"/>
      <c r="N26" s="18"/>
      <c r="O26" s="18"/>
    </row>
    <row r="27" spans="1:15" s="90" customFormat="1" x14ac:dyDescent="0.25">
      <c r="A27" s="71" t="s">
        <v>25</v>
      </c>
      <c r="B27" s="72">
        <v>3</v>
      </c>
      <c r="C27" s="101">
        <v>1088604</v>
      </c>
      <c r="D27" s="302">
        <v>32306.5</v>
      </c>
      <c r="E27" s="301">
        <f t="shared" si="0"/>
        <v>907080</v>
      </c>
      <c r="F27" s="49">
        <f t="shared" si="1"/>
        <v>2.0390453170403568E-3</v>
      </c>
      <c r="G27" s="14">
        <f t="shared" si="2"/>
        <v>-181524</v>
      </c>
      <c r="H27" s="18"/>
      <c r="I27" s="18"/>
      <c r="J27" s="18"/>
      <c r="K27" s="18"/>
      <c r="L27" s="18"/>
      <c r="M27" s="18"/>
      <c r="N27" s="18"/>
      <c r="O27" s="18"/>
    </row>
    <row r="28" spans="1:15" s="90" customFormat="1" x14ac:dyDescent="0.25">
      <c r="A28" s="71" t="s">
        <v>26</v>
      </c>
      <c r="B28" s="72">
        <v>3</v>
      </c>
      <c r="C28" s="101">
        <v>644175</v>
      </c>
      <c r="D28" s="302">
        <v>20822.5</v>
      </c>
      <c r="E28" s="301">
        <f t="shared" si="0"/>
        <v>584640</v>
      </c>
      <c r="F28" s="49">
        <f t="shared" si="1"/>
        <v>1.3142252658579995E-3</v>
      </c>
      <c r="G28" s="14">
        <f t="shared" si="2"/>
        <v>-59535</v>
      </c>
      <c r="H28" s="18"/>
      <c r="I28" s="18"/>
      <c r="J28" s="18"/>
      <c r="K28" s="18"/>
      <c r="L28" s="18"/>
      <c r="M28" s="18"/>
      <c r="N28" s="18"/>
      <c r="O28" s="18"/>
    </row>
    <row r="29" spans="1:15" s="90" customFormat="1" x14ac:dyDescent="0.25">
      <c r="A29" s="71" t="s">
        <v>27</v>
      </c>
      <c r="B29" s="72">
        <v>4</v>
      </c>
      <c r="C29" s="101">
        <v>2712182</v>
      </c>
      <c r="D29" s="302">
        <v>88438</v>
      </c>
      <c r="E29" s="301">
        <f t="shared" si="0"/>
        <v>2483102</v>
      </c>
      <c r="F29" s="49">
        <f t="shared" si="1"/>
        <v>5.5818202416915205E-3</v>
      </c>
      <c r="G29" s="14">
        <f t="shared" si="2"/>
        <v>-229080</v>
      </c>
      <c r="H29" s="18"/>
      <c r="I29" s="18"/>
      <c r="J29" s="18"/>
      <c r="K29" s="18"/>
      <c r="L29" s="18"/>
      <c r="M29" s="18"/>
      <c r="N29" s="18"/>
      <c r="O29" s="18"/>
    </row>
    <row r="30" spans="1:15" s="90" customFormat="1" x14ac:dyDescent="0.25">
      <c r="A30" s="71" t="s">
        <v>28</v>
      </c>
      <c r="B30" s="72">
        <v>4</v>
      </c>
      <c r="C30" s="101">
        <v>1431276</v>
      </c>
      <c r="D30" s="302">
        <v>58531</v>
      </c>
      <c r="E30" s="301">
        <f t="shared" si="0"/>
        <v>1643393</v>
      </c>
      <c r="F30" s="49">
        <f t="shared" si="1"/>
        <v>3.6942196947423638E-3</v>
      </c>
      <c r="G30" s="14">
        <f t="shared" si="2"/>
        <v>212117</v>
      </c>
      <c r="H30" s="18"/>
      <c r="I30" s="18"/>
      <c r="J30" s="18"/>
      <c r="K30" s="18"/>
      <c r="L30" s="18"/>
      <c r="M30" s="18"/>
      <c r="N30" s="18"/>
      <c r="O30" s="18"/>
    </row>
    <row r="31" spans="1:15" s="90" customFormat="1" x14ac:dyDescent="0.25">
      <c r="A31" s="71" t="s">
        <v>29</v>
      </c>
      <c r="B31" s="72">
        <v>4</v>
      </c>
      <c r="C31" s="101">
        <v>1680006</v>
      </c>
      <c r="D31" s="302">
        <v>74091.5</v>
      </c>
      <c r="E31" s="301">
        <f t="shared" si="0"/>
        <v>2080291</v>
      </c>
      <c r="F31" s="49">
        <f t="shared" si="1"/>
        <v>4.6763324311319852E-3</v>
      </c>
      <c r="G31" s="14">
        <f t="shared" si="2"/>
        <v>400285</v>
      </c>
      <c r="H31" s="18"/>
      <c r="I31" s="18"/>
      <c r="J31" s="18"/>
      <c r="K31" s="18"/>
      <c r="L31" s="18"/>
      <c r="M31" s="18"/>
      <c r="N31" s="18"/>
      <c r="O31" s="18"/>
    </row>
    <row r="32" spans="1:15" s="90" customFormat="1" x14ac:dyDescent="0.25">
      <c r="A32" s="71" t="s">
        <v>30</v>
      </c>
      <c r="B32" s="72">
        <v>4</v>
      </c>
      <c r="C32" s="101">
        <v>1823314</v>
      </c>
      <c r="D32" s="302">
        <v>55900</v>
      </c>
      <c r="E32" s="301">
        <f t="shared" si="0"/>
        <v>1569522</v>
      </c>
      <c r="F32" s="49">
        <f t="shared" si="1"/>
        <v>3.5281634300081744E-3</v>
      </c>
      <c r="G32" s="14">
        <f t="shared" si="2"/>
        <v>-253792</v>
      </c>
      <c r="H32" s="18"/>
      <c r="I32" s="18"/>
      <c r="J32" s="18"/>
      <c r="K32" s="18"/>
      <c r="L32" s="18"/>
      <c r="M32" s="18"/>
      <c r="N32" s="18"/>
      <c r="O32" s="18"/>
    </row>
    <row r="33" spans="1:15" s="90" customFormat="1" x14ac:dyDescent="0.25">
      <c r="A33" s="71" t="s">
        <v>31</v>
      </c>
      <c r="B33" s="72">
        <v>4</v>
      </c>
      <c r="C33" s="101">
        <v>2754925</v>
      </c>
      <c r="D33" s="302">
        <v>87051.5</v>
      </c>
      <c r="E33" s="301">
        <f t="shared" si="0"/>
        <v>2444173</v>
      </c>
      <c r="F33" s="49">
        <f t="shared" si="1"/>
        <v>5.4943108763135335E-3</v>
      </c>
      <c r="G33" s="14">
        <f t="shared" si="2"/>
        <v>-310752</v>
      </c>
      <c r="H33" s="18"/>
      <c r="I33" s="18"/>
      <c r="J33" s="18"/>
      <c r="K33" s="18"/>
      <c r="L33" s="18"/>
      <c r="M33" s="18"/>
      <c r="N33" s="18"/>
      <c r="O33" s="18"/>
    </row>
    <row r="34" spans="1:15" s="90" customFormat="1" x14ac:dyDescent="0.25">
      <c r="A34" s="71" t="s">
        <v>32</v>
      </c>
      <c r="B34" s="72">
        <v>4</v>
      </c>
      <c r="C34" s="101">
        <v>1439667</v>
      </c>
      <c r="D34" s="302">
        <v>58933</v>
      </c>
      <c r="E34" s="301">
        <f t="shared" si="0"/>
        <v>1654681</v>
      </c>
      <c r="F34" s="49">
        <f t="shared" si="1"/>
        <v>3.7195942411316035E-3</v>
      </c>
      <c r="G34" s="14">
        <f t="shared" si="2"/>
        <v>215014</v>
      </c>
      <c r="H34" s="18"/>
      <c r="I34" s="18"/>
      <c r="J34" s="18"/>
      <c r="K34" s="18"/>
      <c r="L34" s="18"/>
      <c r="M34" s="18"/>
      <c r="N34" s="18"/>
      <c r="O34" s="18"/>
    </row>
    <row r="35" spans="1:15" s="90" customFormat="1" x14ac:dyDescent="0.25">
      <c r="A35" s="71" t="s">
        <v>33</v>
      </c>
      <c r="B35" s="72">
        <v>4</v>
      </c>
      <c r="C35" s="101">
        <v>1995899</v>
      </c>
      <c r="D35" s="302">
        <v>57497</v>
      </c>
      <c r="E35" s="301">
        <f t="shared" ref="E35:E64" si="3">ROUND((D35/$D$71*$D$1),0)</f>
        <v>1614362</v>
      </c>
      <c r="F35" s="49">
        <f t="shared" ref="F35:F66" si="4">E35/$D$1</f>
        <v>3.6289602638222701E-3</v>
      </c>
      <c r="G35" s="14">
        <f t="shared" ref="G35:G69" si="5">E35-C35</f>
        <v>-381537</v>
      </c>
      <c r="H35" s="18"/>
      <c r="I35" s="18"/>
      <c r="J35" s="18"/>
      <c r="K35" s="18"/>
      <c r="L35" s="18"/>
      <c r="M35" s="18"/>
      <c r="N35" s="18"/>
      <c r="O35" s="18"/>
    </row>
    <row r="36" spans="1:15" s="90" customFormat="1" x14ac:dyDescent="0.25">
      <c r="A36" s="71" t="s">
        <v>34</v>
      </c>
      <c r="B36" s="72">
        <v>4</v>
      </c>
      <c r="C36" s="101">
        <v>1725333</v>
      </c>
      <c r="D36" s="302">
        <v>66515.5</v>
      </c>
      <c r="E36" s="301">
        <f t="shared" si="3"/>
        <v>1867577</v>
      </c>
      <c r="F36" s="49">
        <f t="shared" si="4"/>
        <v>4.1981678970567961E-3</v>
      </c>
      <c r="G36" s="14">
        <f t="shared" si="5"/>
        <v>142244</v>
      </c>
      <c r="H36" s="18"/>
      <c r="I36" s="18"/>
      <c r="J36" s="18"/>
      <c r="K36" s="18"/>
      <c r="L36" s="18"/>
      <c r="M36" s="18"/>
      <c r="N36" s="18"/>
      <c r="O36" s="18"/>
    </row>
    <row r="37" spans="1:15" s="90" customFormat="1" x14ac:dyDescent="0.25">
      <c r="A37" s="71" t="s">
        <v>35</v>
      </c>
      <c r="B37" s="72">
        <v>4</v>
      </c>
      <c r="C37" s="101">
        <v>1497855</v>
      </c>
      <c r="D37" s="302">
        <v>51784</v>
      </c>
      <c r="E37" s="301">
        <f t="shared" si="3"/>
        <v>1453956</v>
      </c>
      <c r="F37" s="49">
        <f t="shared" si="4"/>
        <v>3.2683800469448438E-3</v>
      </c>
      <c r="G37" s="14">
        <f t="shared" si="5"/>
        <v>-43899</v>
      </c>
      <c r="H37" s="18"/>
      <c r="I37" s="18"/>
      <c r="J37" s="18"/>
      <c r="K37" s="18"/>
      <c r="L37" s="18"/>
      <c r="M37" s="18"/>
      <c r="N37" s="18"/>
      <c r="O37" s="18"/>
    </row>
    <row r="38" spans="1:15" s="90" customFormat="1" x14ac:dyDescent="0.25">
      <c r="A38" s="71" t="s">
        <v>36</v>
      </c>
      <c r="B38" s="72">
        <v>5</v>
      </c>
      <c r="C38" s="101">
        <v>5388520</v>
      </c>
      <c r="D38" s="302">
        <v>177145</v>
      </c>
      <c r="E38" s="301">
        <f t="shared" si="3"/>
        <v>4973756</v>
      </c>
      <c r="F38" s="49">
        <f t="shared" si="4"/>
        <v>1.1180616792235941E-2</v>
      </c>
      <c r="G38" s="14">
        <f t="shared" si="5"/>
        <v>-414764</v>
      </c>
      <c r="H38" s="18"/>
      <c r="I38" s="18"/>
      <c r="J38" s="18"/>
      <c r="K38" s="18"/>
      <c r="L38" s="18"/>
      <c r="M38" s="18"/>
      <c r="N38" s="18"/>
      <c r="O38" s="18"/>
    </row>
    <row r="39" spans="1:15" s="90" customFormat="1" x14ac:dyDescent="0.25">
      <c r="A39" s="71" t="s">
        <v>37</v>
      </c>
      <c r="B39" s="72">
        <v>5</v>
      </c>
      <c r="C39" s="101">
        <v>3263255</v>
      </c>
      <c r="D39" s="302">
        <v>120696.5</v>
      </c>
      <c r="E39" s="301">
        <f t="shared" si="3"/>
        <v>3388834</v>
      </c>
      <c r="F39" s="49">
        <f t="shared" si="4"/>
        <v>7.6178353595351463E-3</v>
      </c>
      <c r="G39" s="14">
        <f t="shared" si="5"/>
        <v>125579</v>
      </c>
      <c r="H39" s="18"/>
      <c r="I39" s="18"/>
      <c r="J39" s="18"/>
      <c r="K39" s="18"/>
      <c r="L39" s="18"/>
      <c r="M39" s="18"/>
      <c r="N39" s="18"/>
      <c r="O39" s="18"/>
    </row>
    <row r="40" spans="1:15" s="90" customFormat="1" x14ac:dyDescent="0.25">
      <c r="A40" s="71" t="s">
        <v>38</v>
      </c>
      <c r="B40" s="72">
        <v>5</v>
      </c>
      <c r="C40" s="101">
        <v>3368613</v>
      </c>
      <c r="D40" s="302">
        <v>144940</v>
      </c>
      <c r="E40" s="301">
        <f>ROUND((D40/$D$71*$D$1),0)</f>
        <v>4069526</v>
      </c>
      <c r="F40" s="49">
        <f t="shared" si="4"/>
        <v>9.1479780536159721E-3</v>
      </c>
      <c r="G40" s="14">
        <f t="shared" si="5"/>
        <v>700913</v>
      </c>
      <c r="H40" s="18"/>
      <c r="I40" s="18"/>
      <c r="J40" s="18"/>
      <c r="K40" s="18"/>
      <c r="L40" s="18"/>
      <c r="M40" s="18"/>
      <c r="N40" s="18"/>
      <c r="O40" s="18"/>
    </row>
    <row r="41" spans="1:15" s="90" customFormat="1" x14ac:dyDescent="0.25">
      <c r="A41" s="71" t="s">
        <v>39</v>
      </c>
      <c r="B41" s="72">
        <v>5</v>
      </c>
      <c r="C41" s="101">
        <v>3138208</v>
      </c>
      <c r="D41" s="302">
        <v>129443</v>
      </c>
      <c r="E41" s="301">
        <f t="shared" si="3"/>
        <v>3634412</v>
      </c>
      <c r="F41" s="49">
        <f t="shared" si="4"/>
        <v>8.1698756105252866E-3</v>
      </c>
      <c r="G41" s="14">
        <f t="shared" si="5"/>
        <v>496204</v>
      </c>
      <c r="H41" s="18"/>
      <c r="I41" s="18"/>
      <c r="J41" s="18"/>
      <c r="K41" s="18"/>
      <c r="L41" s="18"/>
      <c r="M41" s="18"/>
      <c r="N41" s="18"/>
      <c r="O41" s="18"/>
    </row>
    <row r="42" spans="1:15" s="90" customFormat="1" x14ac:dyDescent="0.25">
      <c r="A42" s="71" t="s">
        <v>40</v>
      </c>
      <c r="B42" s="72">
        <v>5</v>
      </c>
      <c r="C42" s="101">
        <v>3270896</v>
      </c>
      <c r="D42" s="302">
        <v>103754.5</v>
      </c>
      <c r="E42" s="301">
        <f t="shared" si="3"/>
        <v>2913148</v>
      </c>
      <c r="F42" s="49">
        <f t="shared" si="4"/>
        <v>6.5485302148051792E-3</v>
      </c>
      <c r="G42" s="14">
        <f t="shared" si="5"/>
        <v>-357748</v>
      </c>
      <c r="H42" s="18"/>
      <c r="I42" s="18"/>
      <c r="J42" s="18"/>
      <c r="K42" s="18"/>
      <c r="L42" s="18"/>
      <c r="M42" s="18"/>
      <c r="N42" s="18"/>
      <c r="O42" s="18"/>
    </row>
    <row r="43" spans="1:15" s="90" customFormat="1" x14ac:dyDescent="0.25">
      <c r="A43" s="71" t="s">
        <v>41</v>
      </c>
      <c r="B43" s="72">
        <v>5</v>
      </c>
      <c r="C43" s="101">
        <v>3209897</v>
      </c>
      <c r="D43" s="302">
        <v>94511</v>
      </c>
      <c r="E43" s="301">
        <f t="shared" si="3"/>
        <v>2653615</v>
      </c>
      <c r="F43" s="49">
        <f t="shared" si="4"/>
        <v>5.9651202087776679E-3</v>
      </c>
      <c r="G43" s="14">
        <f t="shared" si="5"/>
        <v>-556282</v>
      </c>
      <c r="H43" s="18"/>
      <c r="I43" s="18"/>
      <c r="J43" s="18"/>
      <c r="K43" s="18"/>
      <c r="L43" s="18"/>
      <c r="M43" s="18"/>
      <c r="N43" s="18"/>
      <c r="O43" s="18"/>
    </row>
    <row r="44" spans="1:15" s="90" customFormat="1" x14ac:dyDescent="0.25">
      <c r="A44" s="71" t="s">
        <v>42</v>
      </c>
      <c r="B44" s="72">
        <v>5</v>
      </c>
      <c r="C44" s="101">
        <v>3358182</v>
      </c>
      <c r="D44" s="302">
        <v>159432</v>
      </c>
      <c r="E44" s="301">
        <f t="shared" si="3"/>
        <v>4476423</v>
      </c>
      <c r="F44" s="49">
        <f t="shared" si="4"/>
        <v>1.0062650874500315E-2</v>
      </c>
      <c r="G44" s="14">
        <f t="shared" si="5"/>
        <v>1118241</v>
      </c>
      <c r="H44" s="18"/>
      <c r="I44" s="18"/>
      <c r="J44" s="18"/>
      <c r="K44" s="18"/>
      <c r="L44" s="18"/>
      <c r="M44" s="18"/>
      <c r="N44" s="18"/>
      <c r="O44" s="18"/>
    </row>
    <row r="45" spans="1:15" s="90" customFormat="1" x14ac:dyDescent="0.25">
      <c r="A45" s="71" t="s">
        <v>43</v>
      </c>
      <c r="B45" s="72">
        <v>5</v>
      </c>
      <c r="C45" s="101">
        <v>3256170</v>
      </c>
      <c r="D45" s="302">
        <v>128052.5</v>
      </c>
      <c r="E45" s="301">
        <f t="shared" si="3"/>
        <v>3595371</v>
      </c>
      <c r="F45" s="49">
        <f t="shared" si="4"/>
        <v>8.0821144778549913E-3</v>
      </c>
      <c r="G45" s="14">
        <f t="shared" si="5"/>
        <v>339201</v>
      </c>
      <c r="H45" s="18"/>
      <c r="I45" s="18"/>
      <c r="J45" s="18"/>
      <c r="K45" s="18"/>
      <c r="L45" s="18"/>
      <c r="M45" s="18"/>
      <c r="N45" s="18"/>
      <c r="O45" s="18"/>
    </row>
    <row r="46" spans="1:15" s="90" customFormat="1" x14ac:dyDescent="0.25">
      <c r="A46" s="71" t="s">
        <v>44</v>
      </c>
      <c r="B46" s="72">
        <v>5</v>
      </c>
      <c r="C46" s="101">
        <v>2904913</v>
      </c>
      <c r="D46" s="302">
        <v>108560</v>
      </c>
      <c r="E46" s="301">
        <f t="shared" si="3"/>
        <v>3048074</v>
      </c>
      <c r="F46" s="49">
        <f t="shared" si="4"/>
        <v>6.8518333726820882E-3</v>
      </c>
      <c r="G46" s="14">
        <f t="shared" si="5"/>
        <v>143161</v>
      </c>
      <c r="H46" s="18"/>
      <c r="I46" s="18"/>
      <c r="J46" s="18"/>
      <c r="K46" s="18"/>
      <c r="L46" s="18"/>
      <c r="M46" s="18"/>
      <c r="N46" s="18"/>
      <c r="O46" s="18"/>
    </row>
    <row r="47" spans="1:15" s="90" customFormat="1" x14ac:dyDescent="0.25">
      <c r="A47" s="71" t="s">
        <v>45</v>
      </c>
      <c r="B47" s="72">
        <v>6</v>
      </c>
      <c r="C47" s="101">
        <v>3437112</v>
      </c>
      <c r="D47" s="302">
        <v>219287</v>
      </c>
      <c r="E47" s="301">
        <f t="shared" si="3"/>
        <v>6156991</v>
      </c>
      <c r="F47" s="49">
        <f t="shared" si="4"/>
        <v>1.384043707898931E-2</v>
      </c>
      <c r="G47" s="14">
        <f t="shared" si="5"/>
        <v>2719879</v>
      </c>
      <c r="H47" s="18"/>
      <c r="I47" s="18"/>
      <c r="J47" s="18"/>
      <c r="K47" s="18"/>
      <c r="L47" s="18"/>
      <c r="M47" s="18"/>
      <c r="N47" s="18"/>
      <c r="O47" s="18"/>
    </row>
    <row r="48" spans="1:15" s="90" customFormat="1" x14ac:dyDescent="0.25">
      <c r="A48" s="71" t="s">
        <v>46</v>
      </c>
      <c r="B48" s="72">
        <v>6</v>
      </c>
      <c r="C48" s="101">
        <v>10485055</v>
      </c>
      <c r="D48" s="302">
        <v>387079.5</v>
      </c>
      <c r="E48" s="301">
        <f t="shared" si="3"/>
        <v>10868154</v>
      </c>
      <c r="F48" s="49">
        <f t="shared" si="4"/>
        <v>2.4430765223104271E-2</v>
      </c>
      <c r="G48" s="14">
        <f t="shared" si="5"/>
        <v>383099</v>
      </c>
      <c r="H48" s="18"/>
      <c r="I48" s="18"/>
      <c r="J48" s="18"/>
      <c r="K48" s="18"/>
      <c r="L48" s="18"/>
      <c r="M48" s="18"/>
      <c r="N48" s="18"/>
      <c r="O48" s="18"/>
    </row>
    <row r="49" spans="1:15" s="90" customFormat="1" x14ac:dyDescent="0.25">
      <c r="A49" s="71" t="s">
        <v>47</v>
      </c>
      <c r="B49" s="72">
        <v>6</v>
      </c>
      <c r="C49" s="101">
        <v>5958891</v>
      </c>
      <c r="D49" s="302">
        <v>207586</v>
      </c>
      <c r="E49" s="301">
        <f t="shared" si="3"/>
        <v>5828458</v>
      </c>
      <c r="F49" s="49">
        <f t="shared" si="4"/>
        <v>1.310192043752084E-2</v>
      </c>
      <c r="G49" s="14">
        <f t="shared" si="5"/>
        <v>-130433</v>
      </c>
      <c r="H49" s="18"/>
      <c r="I49" s="18"/>
      <c r="J49" s="18"/>
      <c r="K49" s="18"/>
      <c r="L49" s="18"/>
      <c r="M49" s="18"/>
      <c r="N49" s="18"/>
      <c r="O49" s="18"/>
    </row>
    <row r="50" spans="1:15" s="90" customFormat="1" x14ac:dyDescent="0.25">
      <c r="A50" s="71" t="s">
        <v>48</v>
      </c>
      <c r="B50" s="72">
        <v>6</v>
      </c>
      <c r="C50" s="101">
        <v>6399841</v>
      </c>
      <c r="D50" s="302">
        <v>232430</v>
      </c>
      <c r="E50" s="301">
        <f t="shared" si="3"/>
        <v>6526011</v>
      </c>
      <c r="F50" s="49">
        <f t="shared" si="4"/>
        <v>1.4669965348705578E-2</v>
      </c>
      <c r="G50" s="14">
        <f t="shared" si="5"/>
        <v>126170</v>
      </c>
      <c r="H50" s="18"/>
      <c r="I50" s="18"/>
      <c r="J50" s="18"/>
      <c r="K50" s="18"/>
      <c r="L50" s="18"/>
      <c r="M50" s="18"/>
      <c r="N50" s="18"/>
      <c r="O50" s="18"/>
    </row>
    <row r="51" spans="1:15" s="90" customFormat="1" x14ac:dyDescent="0.25">
      <c r="A51" s="71" t="s">
        <v>49</v>
      </c>
      <c r="B51" s="72">
        <v>6</v>
      </c>
      <c r="C51" s="101">
        <v>5662266</v>
      </c>
      <c r="D51" s="302">
        <v>204162</v>
      </c>
      <c r="E51" s="301">
        <f t="shared" si="3"/>
        <v>5732321</v>
      </c>
      <c r="F51" s="49">
        <f t="shared" si="4"/>
        <v>1.288581193590653E-2</v>
      </c>
      <c r="G51" s="14">
        <f t="shared" si="5"/>
        <v>70055</v>
      </c>
      <c r="H51" s="18"/>
      <c r="I51" s="18"/>
      <c r="J51" s="18"/>
      <c r="K51" s="18"/>
      <c r="L51" s="18"/>
      <c r="M51" s="18"/>
      <c r="N51" s="18"/>
      <c r="O51" s="18"/>
    </row>
    <row r="52" spans="1:15" s="90" customFormat="1" x14ac:dyDescent="0.25">
      <c r="A52" s="71" t="s">
        <v>50</v>
      </c>
      <c r="B52" s="72">
        <v>6</v>
      </c>
      <c r="C52" s="101">
        <v>5464578</v>
      </c>
      <c r="D52" s="302">
        <v>172250</v>
      </c>
      <c r="E52" s="301">
        <f t="shared" si="3"/>
        <v>4836318</v>
      </c>
      <c r="F52" s="49">
        <f t="shared" si="4"/>
        <v>1.0871666853660079E-2</v>
      </c>
      <c r="G52" s="14">
        <f t="shared" si="5"/>
        <v>-628260</v>
      </c>
      <c r="H52" s="18"/>
      <c r="I52" s="18"/>
      <c r="J52" s="18"/>
      <c r="K52" s="18"/>
      <c r="L52" s="18"/>
      <c r="M52" s="18"/>
      <c r="N52" s="18"/>
      <c r="O52" s="18"/>
    </row>
    <row r="53" spans="1:15" s="90" customFormat="1" x14ac:dyDescent="0.25">
      <c r="A53" s="71" t="s">
        <v>51</v>
      </c>
      <c r="B53" s="72">
        <v>6</v>
      </c>
      <c r="C53" s="101">
        <v>5474546</v>
      </c>
      <c r="D53" s="302">
        <v>223721</v>
      </c>
      <c r="E53" s="301">
        <f t="shared" si="3"/>
        <v>6281485</v>
      </c>
      <c r="F53" s="49">
        <f t="shared" si="4"/>
        <v>1.4120289911925349E-2</v>
      </c>
      <c r="G53" s="14">
        <f t="shared" si="5"/>
        <v>806939</v>
      </c>
      <c r="H53" s="18"/>
      <c r="I53" s="18"/>
      <c r="J53" s="18"/>
      <c r="K53" s="18"/>
      <c r="L53" s="18"/>
      <c r="M53" s="18"/>
      <c r="N53" s="18"/>
      <c r="O53" s="18"/>
    </row>
    <row r="54" spans="1:15" s="90" customFormat="1" x14ac:dyDescent="0.25">
      <c r="A54" s="71" t="s">
        <v>52</v>
      </c>
      <c r="B54" s="72">
        <v>6</v>
      </c>
      <c r="C54" s="101">
        <v>6068963</v>
      </c>
      <c r="D54" s="302">
        <v>237481</v>
      </c>
      <c r="E54" s="301">
        <f t="shared" si="3"/>
        <v>6667829</v>
      </c>
      <c r="F54" s="49">
        <f t="shared" si="4"/>
        <v>1.4988761186748563E-2</v>
      </c>
      <c r="G54" s="14">
        <f t="shared" si="5"/>
        <v>598866</v>
      </c>
      <c r="H54" s="18"/>
      <c r="I54" s="18"/>
      <c r="J54" s="18"/>
      <c r="K54" s="18"/>
      <c r="L54" s="18"/>
      <c r="M54" s="18"/>
      <c r="N54" s="18"/>
      <c r="O54" s="18"/>
    </row>
    <row r="55" spans="1:15" s="90" customFormat="1" x14ac:dyDescent="0.25">
      <c r="A55" s="71" t="s">
        <v>53</v>
      </c>
      <c r="B55" s="72">
        <v>6</v>
      </c>
      <c r="C55" s="101">
        <v>6760921</v>
      </c>
      <c r="D55" s="302">
        <v>273545.5</v>
      </c>
      <c r="E55" s="301">
        <f t="shared" si="3"/>
        <v>7680424</v>
      </c>
      <c r="F55" s="49">
        <f t="shared" si="4"/>
        <v>1.7264996020289684E-2</v>
      </c>
      <c r="G55" s="14">
        <f t="shared" si="5"/>
        <v>919503</v>
      </c>
      <c r="H55" s="18"/>
      <c r="I55" s="18"/>
      <c r="J55" s="18"/>
      <c r="K55" s="18"/>
      <c r="L55" s="18"/>
      <c r="M55" s="18"/>
      <c r="N55" s="18"/>
      <c r="O55" s="18"/>
    </row>
    <row r="56" spans="1:15" s="90" customFormat="1" x14ac:dyDescent="0.25">
      <c r="A56" s="71" t="s">
        <v>54</v>
      </c>
      <c r="B56" s="72">
        <v>6</v>
      </c>
      <c r="C56" s="101">
        <v>10766297</v>
      </c>
      <c r="D56" s="302">
        <v>326077</v>
      </c>
      <c r="E56" s="301">
        <f t="shared" si="3"/>
        <v>9155367</v>
      </c>
      <c r="F56" s="49">
        <f t="shared" si="4"/>
        <v>2.058055321155336E-2</v>
      </c>
      <c r="G56" s="14">
        <f t="shared" si="5"/>
        <v>-1610930</v>
      </c>
      <c r="H56" s="18"/>
      <c r="I56" s="18"/>
      <c r="J56" s="18"/>
      <c r="K56" s="18"/>
      <c r="L56" s="18"/>
      <c r="M56" s="18"/>
      <c r="N56" s="18"/>
      <c r="O56" s="18"/>
    </row>
    <row r="57" spans="1:15" s="90" customFormat="1" x14ac:dyDescent="0.25">
      <c r="A57" s="71" t="s">
        <v>55</v>
      </c>
      <c r="B57" s="72">
        <v>6</v>
      </c>
      <c r="C57" s="101">
        <v>6162040</v>
      </c>
      <c r="D57" s="302">
        <v>215125.5</v>
      </c>
      <c r="E57" s="301">
        <f t="shared" si="3"/>
        <v>6040147</v>
      </c>
      <c r="F57" s="49">
        <f t="shared" si="4"/>
        <v>1.3577780851286943E-2</v>
      </c>
      <c r="G57" s="14">
        <f t="shared" si="5"/>
        <v>-121893</v>
      </c>
      <c r="H57" s="18"/>
      <c r="I57" s="18"/>
      <c r="J57" s="18"/>
      <c r="K57" s="18"/>
      <c r="L57" s="18"/>
      <c r="M57" s="18"/>
      <c r="N57" s="18"/>
      <c r="O57" s="18"/>
    </row>
    <row r="58" spans="1:15" s="90" customFormat="1" x14ac:dyDescent="0.25">
      <c r="A58" s="71" t="s">
        <v>56</v>
      </c>
      <c r="B58" s="72">
        <v>6</v>
      </c>
      <c r="C58" s="101">
        <v>7549352</v>
      </c>
      <c r="D58" s="302">
        <v>261891.5</v>
      </c>
      <c r="E58" s="301">
        <f t="shared" si="3"/>
        <v>7353211</v>
      </c>
      <c r="F58" s="49">
        <f t="shared" si="4"/>
        <v>1.6529446636194867E-2</v>
      </c>
      <c r="G58" s="14">
        <f t="shared" si="5"/>
        <v>-196141</v>
      </c>
      <c r="H58" s="18"/>
      <c r="I58" s="18"/>
      <c r="J58" s="18"/>
      <c r="K58" s="18"/>
      <c r="L58" s="18"/>
      <c r="M58" s="18"/>
      <c r="N58" s="18"/>
      <c r="O58" s="18"/>
    </row>
    <row r="59" spans="1:15" s="90" customFormat="1" x14ac:dyDescent="0.25">
      <c r="A59" s="71" t="s">
        <v>57</v>
      </c>
      <c r="B59" s="72">
        <v>6</v>
      </c>
      <c r="C59" s="101">
        <v>8135019</v>
      </c>
      <c r="D59" s="302">
        <v>270628.5</v>
      </c>
      <c r="E59" s="301">
        <f t="shared" si="3"/>
        <v>7598522</v>
      </c>
      <c r="F59" s="49">
        <f t="shared" si="4"/>
        <v>1.708088669194352E-2</v>
      </c>
      <c r="G59" s="14">
        <f t="shared" si="5"/>
        <v>-536497</v>
      </c>
      <c r="H59" s="18"/>
      <c r="I59" s="18"/>
      <c r="J59" s="18"/>
      <c r="K59" s="18"/>
      <c r="L59" s="18"/>
      <c r="M59" s="18"/>
      <c r="N59" s="18"/>
      <c r="O59" s="18"/>
    </row>
    <row r="60" spans="1:15" s="90" customFormat="1" x14ac:dyDescent="0.25">
      <c r="A60" s="71" t="s">
        <v>58</v>
      </c>
      <c r="B60" s="72">
        <v>7</v>
      </c>
      <c r="C60" s="101">
        <v>17962793</v>
      </c>
      <c r="D60" s="302">
        <v>881667</v>
      </c>
      <c r="E60" s="301">
        <f t="shared" si="3"/>
        <v>24754844</v>
      </c>
      <c r="F60" s="49">
        <f t="shared" si="4"/>
        <v>5.5646964691388384E-2</v>
      </c>
      <c r="G60" s="14">
        <f t="shared" si="5"/>
        <v>6792051</v>
      </c>
      <c r="H60" s="18"/>
      <c r="I60" s="18"/>
      <c r="J60" s="18"/>
      <c r="K60" s="18"/>
      <c r="L60" s="18"/>
      <c r="M60" s="18"/>
      <c r="N60" s="18"/>
      <c r="O60" s="18"/>
    </row>
    <row r="61" spans="1:15" s="90" customFormat="1" x14ac:dyDescent="0.25">
      <c r="A61" s="71" t="s">
        <v>59</v>
      </c>
      <c r="B61" s="72">
        <v>7</v>
      </c>
      <c r="C61" s="101">
        <v>10708892</v>
      </c>
      <c r="D61" s="302">
        <v>481609.5</v>
      </c>
      <c r="E61" s="301">
        <f>ROUND((D61/$D$71*$D$1),0)</f>
        <v>13522303</v>
      </c>
      <c r="F61" s="49">
        <f t="shared" si="4"/>
        <v>3.0397085822364917E-2</v>
      </c>
      <c r="G61" s="14">
        <f t="shared" si="5"/>
        <v>2813411</v>
      </c>
      <c r="H61" s="18"/>
      <c r="I61" s="18"/>
      <c r="J61" s="18"/>
      <c r="K61" s="18"/>
      <c r="L61" s="18"/>
      <c r="M61" s="18"/>
      <c r="N61" s="18"/>
      <c r="O61" s="18"/>
    </row>
    <row r="62" spans="1:15" s="90" customFormat="1" x14ac:dyDescent="0.25">
      <c r="A62" s="71" t="s">
        <v>60</v>
      </c>
      <c r="B62" s="72">
        <v>7</v>
      </c>
      <c r="C62" s="101">
        <v>21039506</v>
      </c>
      <c r="D62" s="302">
        <v>675514.5</v>
      </c>
      <c r="E62" s="301">
        <f>ROUND((D62/$D$71*$D$1),0)</f>
        <v>18966635</v>
      </c>
      <c r="F62" s="49">
        <f t="shared" si="4"/>
        <v>4.2635520876619183E-2</v>
      </c>
      <c r="G62" s="14">
        <f t="shared" si="5"/>
        <v>-2072871</v>
      </c>
      <c r="H62" s="18"/>
      <c r="I62" s="18"/>
      <c r="J62" s="18"/>
      <c r="K62" s="18"/>
      <c r="L62" s="18"/>
      <c r="M62" s="18"/>
      <c r="N62" s="18"/>
      <c r="O62" s="18"/>
    </row>
    <row r="63" spans="1:15" s="90" customFormat="1" x14ac:dyDescent="0.25">
      <c r="A63" s="71" t="s">
        <v>61</v>
      </c>
      <c r="B63" s="72">
        <v>7</v>
      </c>
      <c r="C63" s="101">
        <v>11472659</v>
      </c>
      <c r="D63" s="302">
        <v>513840</v>
      </c>
      <c r="E63" s="301">
        <f t="shared" si="3"/>
        <v>14427249</v>
      </c>
      <c r="F63" s="49">
        <f t="shared" si="4"/>
        <v>3.2431334073317865E-2</v>
      </c>
      <c r="G63" s="14">
        <f t="shared" si="5"/>
        <v>2954590</v>
      </c>
      <c r="H63" s="18"/>
      <c r="I63" s="18"/>
      <c r="J63" s="18"/>
      <c r="K63" s="18"/>
      <c r="L63" s="18"/>
      <c r="M63" s="18"/>
      <c r="N63" s="18"/>
      <c r="O63" s="18"/>
    </row>
    <row r="64" spans="1:15" s="90" customFormat="1" x14ac:dyDescent="0.25">
      <c r="A64" s="71" t="s">
        <v>62</v>
      </c>
      <c r="B64" s="72">
        <v>7</v>
      </c>
      <c r="C64" s="101">
        <v>10757055</v>
      </c>
      <c r="D64" s="302">
        <v>491586.5</v>
      </c>
      <c r="E64" s="301">
        <f t="shared" si="3"/>
        <v>13802430</v>
      </c>
      <c r="F64" s="49">
        <f t="shared" si="4"/>
        <v>3.1026789539265923E-2</v>
      </c>
      <c r="G64" s="14">
        <f t="shared" si="5"/>
        <v>3045375</v>
      </c>
      <c r="H64" s="18"/>
      <c r="I64" s="18"/>
      <c r="J64" s="18"/>
      <c r="K64" s="18"/>
      <c r="L64" s="18"/>
      <c r="M64" s="18"/>
      <c r="N64" s="18"/>
      <c r="O64" s="18"/>
    </row>
    <row r="65" spans="1:15" s="90" customFormat="1" x14ac:dyDescent="0.25">
      <c r="A65" s="71" t="s">
        <v>63</v>
      </c>
      <c r="B65" s="72">
        <v>8</v>
      </c>
      <c r="C65" s="101">
        <v>35887933</v>
      </c>
      <c r="D65" s="302">
        <v>1489769.5</v>
      </c>
      <c r="E65" s="301">
        <f>ROUND((D65/$D$71*$D$1),0)-1</f>
        <v>41828730</v>
      </c>
      <c r="F65" s="49">
        <f t="shared" si="4"/>
        <v>9.4027732972004105E-2</v>
      </c>
      <c r="G65" s="14">
        <f t="shared" si="5"/>
        <v>5940797</v>
      </c>
      <c r="H65" s="18"/>
      <c r="I65" s="18"/>
      <c r="J65" s="18"/>
      <c r="K65" s="18"/>
      <c r="L65" s="18"/>
      <c r="M65" s="18"/>
      <c r="N65" s="18"/>
      <c r="O65" s="18"/>
    </row>
    <row r="66" spans="1:15" s="90" customFormat="1" x14ac:dyDescent="0.25">
      <c r="A66" s="71" t="s">
        <v>64</v>
      </c>
      <c r="B66" s="72">
        <v>8</v>
      </c>
      <c r="C66" s="101">
        <v>27528201</v>
      </c>
      <c r="D66" s="302">
        <v>1204098.5</v>
      </c>
      <c r="E66" s="301">
        <f>ROUND((D66/$D$71*$D$1),0)-1</f>
        <v>33807854</v>
      </c>
      <c r="F66" s="49">
        <f t="shared" si="4"/>
        <v>7.5997427324915226E-2</v>
      </c>
      <c r="G66" s="14">
        <f t="shared" si="5"/>
        <v>6279653</v>
      </c>
      <c r="H66" s="18"/>
      <c r="I66" s="18"/>
      <c r="J66" s="18"/>
      <c r="K66" s="18"/>
      <c r="L66" s="18"/>
      <c r="M66" s="18"/>
      <c r="N66" s="18"/>
      <c r="O66" s="18"/>
    </row>
    <row r="67" spans="1:15" s="90" customFormat="1" x14ac:dyDescent="0.25">
      <c r="A67" s="71" t="s">
        <v>65</v>
      </c>
      <c r="B67" s="72">
        <v>8</v>
      </c>
      <c r="C67" s="101">
        <v>65681042</v>
      </c>
      <c r="D67" s="302">
        <v>2357985</v>
      </c>
      <c r="E67" s="301">
        <f>ROUND((D67/$D$71*$D$1),0)-1</f>
        <v>66205892</v>
      </c>
      <c r="F67" s="49">
        <f t="shared" ref="F67:F69" si="6">E67/$D$1</f>
        <v>0.14882569789112277</v>
      </c>
      <c r="G67" s="14">
        <f t="shared" si="5"/>
        <v>524850</v>
      </c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71" t="s">
        <v>66</v>
      </c>
      <c r="B68" s="72">
        <v>8</v>
      </c>
      <c r="C68" s="101">
        <v>26657769</v>
      </c>
      <c r="D68" s="302">
        <v>1260504.5</v>
      </c>
      <c r="E68" s="301">
        <f>ROUND((D68/$D$71*$D$1),0)-1</f>
        <v>35391584</v>
      </c>
      <c r="F68" s="49">
        <f t="shared" si="6"/>
        <v>7.9557529234290714E-2</v>
      </c>
      <c r="G68" s="14">
        <f t="shared" si="5"/>
        <v>8733815</v>
      </c>
    </row>
    <row r="69" spans="1:15" ht="14.25" thickBot="1" x14ac:dyDescent="0.3">
      <c r="A69" s="74" t="s">
        <v>67</v>
      </c>
      <c r="B69" s="75">
        <v>8</v>
      </c>
      <c r="C69" s="98">
        <v>28065385</v>
      </c>
      <c r="D69" s="300">
        <v>983635</v>
      </c>
      <c r="E69" s="299">
        <f>ROUND((D69/$D$71*$D$1),0)</f>
        <v>27617832</v>
      </c>
      <c r="F69" s="50">
        <f t="shared" si="6"/>
        <v>6.2082739125994747E-2</v>
      </c>
      <c r="G69" s="34">
        <f t="shared" si="5"/>
        <v>-447553</v>
      </c>
    </row>
    <row r="70" spans="1:15" ht="14.25" thickBot="1" x14ac:dyDescent="0.3">
      <c r="A70" s="78"/>
      <c r="B70" s="79"/>
      <c r="C70" s="3"/>
      <c r="D70" s="31"/>
      <c r="E70" s="32"/>
      <c r="F70" s="51"/>
      <c r="G70" s="33"/>
    </row>
    <row r="71" spans="1:15" s="90" customFormat="1" ht="14.25" thickBot="1" x14ac:dyDescent="0.3">
      <c r="A71" s="416" t="s">
        <v>144</v>
      </c>
      <c r="B71" s="416"/>
      <c r="C71" s="298">
        <f>SUM(C3:C69)</f>
        <v>410000000</v>
      </c>
      <c r="D71" s="297">
        <f>SUM(D3:D70)</f>
        <v>15843937</v>
      </c>
      <c r="E71" s="30">
        <f>SUM(E3:E69)</f>
        <v>444855243</v>
      </c>
      <c r="F71" s="52">
        <f>SUM(F3:F69)</f>
        <v>1</v>
      </c>
      <c r="G71" s="28">
        <f>SUM(G3:G69)</f>
        <v>34855243</v>
      </c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C72" s="17"/>
    </row>
    <row r="73" spans="1:15" x14ac:dyDescent="0.25">
      <c r="C73" s="17"/>
      <c r="G73" s="296">
        <f>COUNTIF(G3:G69,"&lt;0")</f>
        <v>40</v>
      </c>
    </row>
    <row r="74" spans="1:15" s="13" customFormat="1" x14ac:dyDescent="0.25">
      <c r="A74" s="18"/>
      <c r="B74" s="18"/>
      <c r="C74" s="18"/>
      <c r="D74" s="12"/>
      <c r="E74" s="18"/>
      <c r="F74" s="53"/>
      <c r="H74" s="18"/>
      <c r="I74" s="18"/>
      <c r="J74" s="18"/>
      <c r="K74" s="18"/>
      <c r="L74" s="18"/>
      <c r="M74" s="18"/>
      <c r="N74" s="18"/>
      <c r="O74" s="18"/>
    </row>
    <row r="75" spans="1:15" s="13" customFormat="1" x14ac:dyDescent="0.25">
      <c r="A75" s="18"/>
      <c r="B75" s="18"/>
      <c r="C75" s="83"/>
      <c r="D75" s="85"/>
      <c r="E75" s="83"/>
      <c r="F75" s="84"/>
      <c r="G75" s="61"/>
      <c r="H75" s="18"/>
      <c r="I75" s="18"/>
      <c r="J75" s="18"/>
      <c r="K75" s="18"/>
      <c r="L75" s="18"/>
      <c r="M75" s="18"/>
      <c r="N75" s="18"/>
      <c r="O75" s="18"/>
    </row>
  </sheetData>
  <autoFilter ref="A2:G69" xr:uid="{4EC7684B-053D-43A3-8CD8-BE9A689EFD27}"/>
  <mergeCells count="1">
    <mergeCell ref="A71:B71"/>
  </mergeCells>
  <pageMargins left="0.25" right="0.25" top="0.5" bottom="1.0462499999999999" header="0.25" footer="0.25"/>
  <pageSetup paperSize="5" scale="65" fitToHeight="0" pageOrder="overThenDown" orientation="landscape" r:id="rId1"/>
  <headerFooter>
    <oddFooter>&amp;C&amp;G&amp;R&amp;P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6EB-2EB7-4FA2-8ED1-0186626764D2}">
  <sheetPr>
    <pageSetUpPr fitToPage="1"/>
  </sheetPr>
  <dimension ref="A1:D94"/>
  <sheetViews>
    <sheetView zoomScale="120" zoomScaleNormal="120" workbookViewId="0">
      <selection activeCell="O33" sqref="O33"/>
    </sheetView>
  </sheetViews>
  <sheetFormatPr defaultColWidth="9.140625" defaultRowHeight="13.5" outlineLevelRow="2" x14ac:dyDescent="0.25"/>
  <cols>
    <col min="1" max="1" width="18.5703125" style="221" customWidth="1"/>
    <col min="2" max="2" width="10.28515625" style="224" customWidth="1"/>
    <col min="3" max="3" width="20.42578125" style="223" customWidth="1"/>
    <col min="4" max="4" width="18.85546875" style="222" customWidth="1"/>
    <col min="5" max="16384" width="9.140625" style="221"/>
  </cols>
  <sheetData>
    <row r="1" spans="1:4" ht="28.5" customHeight="1" thickBot="1" x14ac:dyDescent="0.3">
      <c r="A1" s="431" t="s">
        <v>141</v>
      </c>
      <c r="B1" s="432"/>
      <c r="C1" s="432"/>
      <c r="D1" s="433"/>
    </row>
    <row r="2" spans="1:4" ht="27.75" thickBot="1" x14ac:dyDescent="0.3">
      <c r="A2" s="259" t="s">
        <v>0</v>
      </c>
      <c r="B2" s="258" t="s">
        <v>140</v>
      </c>
      <c r="C2" s="257" t="s">
        <v>139</v>
      </c>
      <c r="D2" s="256" t="s">
        <v>138</v>
      </c>
    </row>
    <row r="3" spans="1:4" outlineLevel="2" x14ac:dyDescent="0.25">
      <c r="A3" s="249" t="s">
        <v>1</v>
      </c>
      <c r="B3" s="248">
        <v>1</v>
      </c>
      <c r="C3" s="243">
        <v>448250</v>
      </c>
      <c r="D3" s="252">
        <f>C3/$C$7-1</f>
        <v>0.1582919296187455</v>
      </c>
    </row>
    <row r="4" spans="1:4" outlineLevel="2" x14ac:dyDescent="0.25">
      <c r="A4" s="245" t="s">
        <v>2</v>
      </c>
      <c r="B4" s="244">
        <v>1</v>
      </c>
      <c r="C4" s="243">
        <v>305347</v>
      </c>
      <c r="D4" s="247">
        <f>C4/$C$7-1</f>
        <v>-0.21097386317167854</v>
      </c>
    </row>
    <row r="5" spans="1:4" outlineLevel="2" x14ac:dyDescent="0.25">
      <c r="A5" s="245" t="s">
        <v>3</v>
      </c>
      <c r="B5" s="244">
        <v>1</v>
      </c>
      <c r="C5" s="243">
        <v>311620</v>
      </c>
      <c r="D5" s="247">
        <f>C5/$C$7-1</f>
        <v>-0.19476423623470496</v>
      </c>
    </row>
    <row r="6" spans="1:4" ht="14.25" outlineLevel="2" thickBot="1" x14ac:dyDescent="0.3">
      <c r="A6" s="241" t="s">
        <v>4</v>
      </c>
      <c r="B6" s="240">
        <v>1</v>
      </c>
      <c r="C6" s="239">
        <v>482752</v>
      </c>
      <c r="D6" s="255">
        <f>C6/$C$7-1</f>
        <v>0.24744616978763778</v>
      </c>
    </row>
    <row r="7" spans="1:4" ht="15" customHeight="1" outlineLevel="1" thickBot="1" x14ac:dyDescent="0.3">
      <c r="A7" s="426" t="s">
        <v>137</v>
      </c>
      <c r="B7" s="427"/>
      <c r="C7" s="251">
        <f>SUBTOTAL(1,C3:C6)</f>
        <v>386992.25</v>
      </c>
      <c r="D7" s="250"/>
    </row>
    <row r="8" spans="1:4" outlineLevel="2" x14ac:dyDescent="0.25">
      <c r="A8" s="249" t="s">
        <v>5</v>
      </c>
      <c r="B8" s="248">
        <v>2</v>
      </c>
      <c r="C8" s="243">
        <v>707882</v>
      </c>
      <c r="D8" s="252">
        <f t="shared" ref="D8:D18" si="0">C8/$C$19-1</f>
        <v>0.19732785927361074</v>
      </c>
    </row>
    <row r="9" spans="1:4" outlineLevel="2" x14ac:dyDescent="0.25">
      <c r="A9" s="245" t="s">
        <v>6</v>
      </c>
      <c r="B9" s="244">
        <v>2</v>
      </c>
      <c r="C9" s="243">
        <v>492111</v>
      </c>
      <c r="D9" s="242">
        <f t="shared" si="0"/>
        <v>-0.16763216163852745</v>
      </c>
    </row>
    <row r="10" spans="1:4" outlineLevel="2" x14ac:dyDescent="0.25">
      <c r="A10" s="245" t="s">
        <v>7</v>
      </c>
      <c r="B10" s="244">
        <v>2</v>
      </c>
      <c r="C10" s="243">
        <v>656030</v>
      </c>
      <c r="D10" s="246">
        <f t="shared" si="0"/>
        <v>0.10962419657409983</v>
      </c>
    </row>
    <row r="11" spans="1:4" outlineLevel="2" x14ac:dyDescent="0.25">
      <c r="A11" s="245" t="s">
        <v>8</v>
      </c>
      <c r="B11" s="244">
        <v>2</v>
      </c>
      <c r="C11" s="243">
        <v>546091</v>
      </c>
      <c r="D11" s="242">
        <f t="shared" si="0"/>
        <v>-7.6329150905680043E-2</v>
      </c>
    </row>
    <row r="12" spans="1:4" outlineLevel="2" x14ac:dyDescent="0.25">
      <c r="A12" s="245" t="s">
        <v>9</v>
      </c>
      <c r="B12" s="244">
        <v>2</v>
      </c>
      <c r="C12" s="243">
        <v>568261</v>
      </c>
      <c r="D12" s="242">
        <f t="shared" si="0"/>
        <v>-3.8830304148599115E-2</v>
      </c>
    </row>
    <row r="13" spans="1:4" outlineLevel="2" x14ac:dyDescent="0.25">
      <c r="A13" s="245" t="s">
        <v>10</v>
      </c>
      <c r="B13" s="244">
        <v>2</v>
      </c>
      <c r="C13" s="243">
        <v>490063</v>
      </c>
      <c r="D13" s="242">
        <f t="shared" si="0"/>
        <v>-0.1710961958360242</v>
      </c>
    </row>
    <row r="14" spans="1:4" outlineLevel="2" x14ac:dyDescent="0.25">
      <c r="A14" s="245" t="s">
        <v>11</v>
      </c>
      <c r="B14" s="244">
        <v>2</v>
      </c>
      <c r="C14" s="243">
        <v>598268</v>
      </c>
      <c r="D14" s="242">
        <f t="shared" si="0"/>
        <v>1.192422425192996E-2</v>
      </c>
    </row>
    <row r="15" spans="1:4" outlineLevel="2" x14ac:dyDescent="0.25">
      <c r="A15" s="245" t="s">
        <v>12</v>
      </c>
      <c r="B15" s="244">
        <v>2</v>
      </c>
      <c r="C15" s="243">
        <v>589724</v>
      </c>
      <c r="D15" s="242">
        <f t="shared" si="0"/>
        <v>-2.5272934157516413E-3</v>
      </c>
    </row>
    <row r="16" spans="1:4" outlineLevel="2" x14ac:dyDescent="0.25">
      <c r="A16" s="245" t="s">
        <v>13</v>
      </c>
      <c r="B16" s="244">
        <v>2</v>
      </c>
      <c r="C16" s="243">
        <v>500265</v>
      </c>
      <c r="D16" s="242">
        <f t="shared" si="0"/>
        <v>-0.1538402989205645</v>
      </c>
    </row>
    <row r="17" spans="1:4" outlineLevel="2" x14ac:dyDescent="0.25">
      <c r="A17" s="245" t="s">
        <v>14</v>
      </c>
      <c r="B17" s="244">
        <v>2</v>
      </c>
      <c r="C17" s="243">
        <v>568394</v>
      </c>
      <c r="D17" s="242">
        <f t="shared" si="0"/>
        <v>-3.860534489651557E-2</v>
      </c>
    </row>
    <row r="18" spans="1:4" ht="14.25" outlineLevel="2" thickBot="1" x14ac:dyDescent="0.3">
      <c r="A18" s="241" t="s">
        <v>15</v>
      </c>
      <c r="B18" s="240">
        <v>2</v>
      </c>
      <c r="C18" s="239">
        <v>786311</v>
      </c>
      <c r="D18" s="253">
        <f t="shared" si="0"/>
        <v>0.32998446966202311</v>
      </c>
    </row>
    <row r="19" spans="1:4" ht="14.25" outlineLevel="1" thickBot="1" x14ac:dyDescent="0.3">
      <c r="A19" s="426" t="s">
        <v>136</v>
      </c>
      <c r="B19" s="427" t="s">
        <v>135</v>
      </c>
      <c r="C19" s="251">
        <f>SUBTOTAL(1,C8:C18)</f>
        <v>591218.18181818177</v>
      </c>
      <c r="D19" s="250"/>
    </row>
    <row r="20" spans="1:4" outlineLevel="2" x14ac:dyDescent="0.25">
      <c r="A20" s="249" t="s">
        <v>16</v>
      </c>
      <c r="B20" s="248">
        <v>3</v>
      </c>
      <c r="C20" s="243">
        <v>866845</v>
      </c>
      <c r="D20" s="247">
        <f t="shared" ref="D20:D30" si="1">C20/$C$31-1</f>
        <v>-0.14628826844772791</v>
      </c>
    </row>
    <row r="21" spans="1:4" outlineLevel="2" x14ac:dyDescent="0.25">
      <c r="A21" s="245" t="s">
        <v>17</v>
      </c>
      <c r="B21" s="244">
        <v>3</v>
      </c>
      <c r="C21" s="243">
        <v>816094</v>
      </c>
      <c r="D21" s="242">
        <f t="shared" si="1"/>
        <v>-0.19627035761938993</v>
      </c>
    </row>
    <row r="22" spans="1:4" outlineLevel="2" x14ac:dyDescent="0.25">
      <c r="A22" s="245" t="s">
        <v>18</v>
      </c>
      <c r="B22" s="244">
        <v>3</v>
      </c>
      <c r="C22" s="243">
        <v>1334637</v>
      </c>
      <c r="D22" s="246">
        <f t="shared" si="1"/>
        <v>0.31441637693443436</v>
      </c>
    </row>
    <row r="23" spans="1:4" outlineLevel="2" x14ac:dyDescent="0.25">
      <c r="A23" s="245" t="s">
        <v>19</v>
      </c>
      <c r="B23" s="244">
        <v>3</v>
      </c>
      <c r="C23" s="243">
        <v>909962</v>
      </c>
      <c r="D23" s="242">
        <f t="shared" si="1"/>
        <v>-0.10382451918535773</v>
      </c>
    </row>
    <row r="24" spans="1:4" outlineLevel="2" x14ac:dyDescent="0.25">
      <c r="A24" s="245" t="s">
        <v>20</v>
      </c>
      <c r="B24" s="244">
        <v>3</v>
      </c>
      <c r="C24" s="243">
        <v>1280929</v>
      </c>
      <c r="D24" s="246">
        <f t="shared" si="1"/>
        <v>0.26152208824590351</v>
      </c>
    </row>
    <row r="25" spans="1:4" outlineLevel="2" x14ac:dyDescent="0.25">
      <c r="A25" s="245" t="s">
        <v>21</v>
      </c>
      <c r="B25" s="244">
        <v>3</v>
      </c>
      <c r="C25" s="243">
        <v>1115002</v>
      </c>
      <c r="D25" s="242">
        <f t="shared" si="1"/>
        <v>9.8108990770260585E-2</v>
      </c>
    </row>
    <row r="26" spans="1:4" outlineLevel="2" x14ac:dyDescent="0.25">
      <c r="A26" s="245" t="s">
        <v>22</v>
      </c>
      <c r="B26" s="244">
        <v>3</v>
      </c>
      <c r="C26" s="243">
        <v>1132687</v>
      </c>
      <c r="D26" s="246">
        <f t="shared" si="1"/>
        <v>0.1155260514587364</v>
      </c>
    </row>
    <row r="27" spans="1:4" outlineLevel="2" x14ac:dyDescent="0.25">
      <c r="A27" s="245" t="s">
        <v>23</v>
      </c>
      <c r="B27" s="244">
        <v>3</v>
      </c>
      <c r="C27" s="243">
        <v>566835</v>
      </c>
      <c r="D27" s="242">
        <f t="shared" si="1"/>
        <v>-0.44175292081694861</v>
      </c>
    </row>
    <row r="28" spans="1:4" outlineLevel="2" x14ac:dyDescent="0.25">
      <c r="A28" s="245" t="s">
        <v>24</v>
      </c>
      <c r="B28" s="244">
        <v>3</v>
      </c>
      <c r="C28" s="243">
        <v>1275691</v>
      </c>
      <c r="D28" s="246">
        <f t="shared" si="1"/>
        <v>0.25636344737023298</v>
      </c>
    </row>
    <row r="29" spans="1:4" outlineLevel="2" x14ac:dyDescent="0.25">
      <c r="A29" s="245" t="s">
        <v>25</v>
      </c>
      <c r="B29" s="244">
        <v>3</v>
      </c>
      <c r="C29" s="243">
        <v>1175723</v>
      </c>
      <c r="D29" s="246">
        <f t="shared" si="1"/>
        <v>0.15791002792406017</v>
      </c>
    </row>
    <row r="30" spans="1:4" ht="14.25" outlineLevel="2" thickBot="1" x14ac:dyDescent="0.3">
      <c r="A30" s="241" t="s">
        <v>26</v>
      </c>
      <c r="B30" s="240">
        <v>3</v>
      </c>
      <c r="C30" s="239">
        <v>694816</v>
      </c>
      <c r="D30" s="238">
        <f t="shared" si="1"/>
        <v>-0.31571091663420392</v>
      </c>
    </row>
    <row r="31" spans="1:4" ht="15" customHeight="1" outlineLevel="1" thickBot="1" x14ac:dyDescent="0.3">
      <c r="A31" s="426" t="s">
        <v>134</v>
      </c>
      <c r="B31" s="427"/>
      <c r="C31" s="251">
        <f>SUBTOTAL(1,C20:C30)</f>
        <v>1015383.7272727273</v>
      </c>
      <c r="D31" s="250"/>
    </row>
    <row r="32" spans="1:4" outlineLevel="2" x14ac:dyDescent="0.25">
      <c r="A32" s="249" t="s">
        <v>27</v>
      </c>
      <c r="B32" s="248">
        <v>4</v>
      </c>
      <c r="C32" s="243">
        <v>2986650</v>
      </c>
      <c r="D32" s="252">
        <f t="shared" ref="D32:D40" si="2">C32/$C$41-1</f>
        <v>0.44988225843939467</v>
      </c>
    </row>
    <row r="33" spans="1:4" outlineLevel="2" x14ac:dyDescent="0.25">
      <c r="A33" s="245" t="s">
        <v>28</v>
      </c>
      <c r="B33" s="244">
        <v>4</v>
      </c>
      <c r="C33" s="243">
        <v>1549221</v>
      </c>
      <c r="D33" s="242">
        <f t="shared" si="2"/>
        <v>-0.24792391398331326</v>
      </c>
    </row>
    <row r="34" spans="1:4" outlineLevel="2" x14ac:dyDescent="0.25">
      <c r="A34" s="245" t="s">
        <v>29</v>
      </c>
      <c r="B34" s="244">
        <v>4</v>
      </c>
      <c r="C34" s="243">
        <v>1821847</v>
      </c>
      <c r="D34" s="242">
        <f t="shared" si="2"/>
        <v>-0.1155764341683706</v>
      </c>
    </row>
    <row r="35" spans="1:4" outlineLevel="2" x14ac:dyDescent="0.25">
      <c r="A35" s="245" t="s">
        <v>30</v>
      </c>
      <c r="B35" s="244">
        <v>4</v>
      </c>
      <c r="C35" s="243">
        <v>1966713</v>
      </c>
      <c r="D35" s="242">
        <f t="shared" si="2"/>
        <v>-4.5250603136585354E-2</v>
      </c>
    </row>
    <row r="36" spans="1:4" outlineLevel="2" x14ac:dyDescent="0.25">
      <c r="A36" s="245" t="s">
        <v>31</v>
      </c>
      <c r="B36" s="244">
        <v>4</v>
      </c>
      <c r="C36" s="243">
        <v>2959031</v>
      </c>
      <c r="D36" s="246">
        <f t="shared" si="2"/>
        <v>0.436474494524695</v>
      </c>
    </row>
    <row r="37" spans="1:4" outlineLevel="2" x14ac:dyDescent="0.25">
      <c r="A37" s="245" t="s">
        <v>32</v>
      </c>
      <c r="B37" s="244">
        <v>4</v>
      </c>
      <c r="C37" s="243">
        <v>1564297</v>
      </c>
      <c r="D37" s="242">
        <f t="shared" si="2"/>
        <v>-0.2406052040815061</v>
      </c>
    </row>
    <row r="38" spans="1:4" outlineLevel="2" x14ac:dyDescent="0.25">
      <c r="A38" s="245" t="s">
        <v>33</v>
      </c>
      <c r="B38" s="244">
        <v>4</v>
      </c>
      <c r="C38" s="243">
        <v>2149112</v>
      </c>
      <c r="D38" s="242">
        <f t="shared" si="2"/>
        <v>4.3295786315505458E-2</v>
      </c>
    </row>
    <row r="39" spans="1:4" outlineLevel="2" x14ac:dyDescent="0.25">
      <c r="A39" s="245" t="s">
        <v>34</v>
      </c>
      <c r="B39" s="244">
        <v>4</v>
      </c>
      <c r="C39" s="243">
        <v>1896199</v>
      </c>
      <c r="D39" s="242">
        <f t="shared" si="2"/>
        <v>-7.9481931739399769E-2</v>
      </c>
    </row>
    <row r="40" spans="1:4" ht="14.25" outlineLevel="2" thickBot="1" x14ac:dyDescent="0.3">
      <c r="A40" s="241" t="s">
        <v>35</v>
      </c>
      <c r="B40" s="240">
        <v>4</v>
      </c>
      <c r="C40" s="239">
        <v>1646263</v>
      </c>
      <c r="D40" s="238">
        <f t="shared" si="2"/>
        <v>-0.2008144521704206</v>
      </c>
    </row>
    <row r="41" spans="1:4" ht="15" customHeight="1" outlineLevel="1" thickBot="1" x14ac:dyDescent="0.3">
      <c r="A41" s="426" t="s">
        <v>133</v>
      </c>
      <c r="B41" s="427"/>
      <c r="C41" s="251">
        <f>SUBTOTAL(1,C32:C40)</f>
        <v>2059925.888888889</v>
      </c>
      <c r="D41" s="250"/>
    </row>
    <row r="42" spans="1:4" outlineLevel="2" x14ac:dyDescent="0.25">
      <c r="A42" s="249" t="s">
        <v>36</v>
      </c>
      <c r="B42" s="248">
        <v>5</v>
      </c>
      <c r="C42" s="243">
        <v>5796901</v>
      </c>
      <c r="D42" s="252">
        <f t="shared" ref="D42:D50" si="3">C42/$C$51-1</f>
        <v>0.54312801913791819</v>
      </c>
    </row>
    <row r="43" spans="1:4" outlineLevel="2" x14ac:dyDescent="0.25">
      <c r="A43" s="245" t="s">
        <v>37</v>
      </c>
      <c r="B43" s="244">
        <v>5</v>
      </c>
      <c r="C43" s="243">
        <v>3533986</v>
      </c>
      <c r="D43" s="242">
        <f t="shared" si="3"/>
        <v>-5.9257210733608345E-2</v>
      </c>
    </row>
    <row r="44" spans="1:4" outlineLevel="2" x14ac:dyDescent="0.25">
      <c r="A44" s="245" t="s">
        <v>38</v>
      </c>
      <c r="B44" s="244">
        <v>5</v>
      </c>
      <c r="C44" s="243">
        <v>3661788</v>
      </c>
      <c r="D44" s="242">
        <f t="shared" si="3"/>
        <v>-2.5236473256486591E-2</v>
      </c>
    </row>
    <row r="45" spans="1:4" outlineLevel="2" x14ac:dyDescent="0.25">
      <c r="A45" s="245" t="s">
        <v>39</v>
      </c>
      <c r="B45" s="244">
        <v>5</v>
      </c>
      <c r="C45" s="243">
        <v>3419835</v>
      </c>
      <c r="D45" s="242">
        <f t="shared" si="3"/>
        <v>-8.9644068558610401E-2</v>
      </c>
    </row>
    <row r="46" spans="1:4" outlineLevel="2" x14ac:dyDescent="0.25">
      <c r="A46" s="245" t="s">
        <v>40</v>
      </c>
      <c r="B46" s="244">
        <v>5</v>
      </c>
      <c r="C46" s="243">
        <v>3494089</v>
      </c>
      <c r="D46" s="242">
        <f t="shared" si="3"/>
        <v>-6.9877743770061063E-2</v>
      </c>
    </row>
    <row r="47" spans="1:4" outlineLevel="2" x14ac:dyDescent="0.25">
      <c r="A47" s="245" t="s">
        <v>41</v>
      </c>
      <c r="B47" s="244">
        <v>5</v>
      </c>
      <c r="C47" s="243">
        <v>3493792</v>
      </c>
      <c r="D47" s="242">
        <f t="shared" si="3"/>
        <v>-6.9956804810034634E-2</v>
      </c>
    </row>
    <row r="48" spans="1:4" outlineLevel="2" x14ac:dyDescent="0.25">
      <c r="A48" s="245" t="s">
        <v>42</v>
      </c>
      <c r="B48" s="244">
        <v>5</v>
      </c>
      <c r="C48" s="243">
        <v>3651945</v>
      </c>
      <c r="D48" s="242">
        <f t="shared" si="3"/>
        <v>-2.7856667924702427E-2</v>
      </c>
    </row>
    <row r="49" spans="1:4" outlineLevel="2" x14ac:dyDescent="0.25">
      <c r="A49" s="245" t="s">
        <v>43</v>
      </c>
      <c r="B49" s="244">
        <v>5</v>
      </c>
      <c r="C49" s="243">
        <v>3581756</v>
      </c>
      <c r="D49" s="242">
        <f t="shared" si="3"/>
        <v>-4.6540894640885955E-2</v>
      </c>
    </row>
    <row r="50" spans="1:4" ht="14.25" outlineLevel="2" thickBot="1" x14ac:dyDescent="0.3">
      <c r="A50" s="241" t="s">
        <v>44</v>
      </c>
      <c r="B50" s="240">
        <v>5</v>
      </c>
      <c r="C50" s="239">
        <v>3175228</v>
      </c>
      <c r="D50" s="238">
        <f t="shared" si="3"/>
        <v>-0.15475815544352856</v>
      </c>
    </row>
    <row r="51" spans="1:4" ht="15" customHeight="1" outlineLevel="1" thickBot="1" x14ac:dyDescent="0.3">
      <c r="A51" s="426" t="s">
        <v>132</v>
      </c>
      <c r="B51" s="427"/>
      <c r="C51" s="251">
        <f>SUBTOTAL(1,C42:C50)</f>
        <v>3756591.111111111</v>
      </c>
      <c r="D51" s="250"/>
    </row>
    <row r="52" spans="1:4" outlineLevel="2" x14ac:dyDescent="0.25">
      <c r="A52" s="249" t="s">
        <v>45</v>
      </c>
      <c r="B52" s="248">
        <v>6</v>
      </c>
      <c r="C52" s="243">
        <v>3902845</v>
      </c>
      <c r="D52" s="247">
        <f t="shared" ref="D52:D64" si="4">C52/$C$65-1</f>
        <v>-0.4716560963664076</v>
      </c>
    </row>
    <row r="53" spans="1:4" outlineLevel="2" x14ac:dyDescent="0.25">
      <c r="A53" s="245" t="s">
        <v>46</v>
      </c>
      <c r="B53" s="244">
        <v>6</v>
      </c>
      <c r="C53" s="243">
        <v>11299611</v>
      </c>
      <c r="D53" s="246">
        <f t="shared" si="4"/>
        <v>0.52967401607829179</v>
      </c>
    </row>
    <row r="54" spans="1:4" outlineLevel="2" x14ac:dyDescent="0.25">
      <c r="A54" s="245" t="s">
        <v>47</v>
      </c>
      <c r="B54" s="244">
        <v>6</v>
      </c>
      <c r="C54" s="243">
        <v>6416935</v>
      </c>
      <c r="D54" s="242">
        <f t="shared" si="4"/>
        <v>-0.13131357067395033</v>
      </c>
    </row>
    <row r="55" spans="1:4" outlineLevel="2" x14ac:dyDescent="0.25">
      <c r="A55" s="245" t="s">
        <v>48</v>
      </c>
      <c r="B55" s="244">
        <v>6</v>
      </c>
      <c r="C55" s="243">
        <v>6968762</v>
      </c>
      <c r="D55" s="242">
        <f t="shared" si="4"/>
        <v>-5.6610519102490486E-2</v>
      </c>
    </row>
    <row r="56" spans="1:4" outlineLevel="2" x14ac:dyDescent="0.25">
      <c r="A56" s="245" t="s">
        <v>49</v>
      </c>
      <c r="B56" s="244">
        <v>6</v>
      </c>
      <c r="C56" s="243">
        <v>6128546</v>
      </c>
      <c r="D56" s="242">
        <f t="shared" si="4"/>
        <v>-0.17035395532283804</v>
      </c>
    </row>
    <row r="57" spans="1:4" outlineLevel="2" x14ac:dyDescent="0.25">
      <c r="A57" s="245" t="s">
        <v>50</v>
      </c>
      <c r="B57" s="244">
        <v>6</v>
      </c>
      <c r="C57" s="243">
        <v>5886462</v>
      </c>
      <c r="D57" s="242">
        <f t="shared" si="4"/>
        <v>-0.20312584494879926</v>
      </c>
    </row>
    <row r="58" spans="1:4" outlineLevel="2" x14ac:dyDescent="0.25">
      <c r="A58" s="245" t="s">
        <v>51</v>
      </c>
      <c r="B58" s="244">
        <v>6</v>
      </c>
      <c r="C58" s="243">
        <v>5942858</v>
      </c>
      <c r="D58" s="242">
        <f t="shared" si="4"/>
        <v>-0.195491290466282</v>
      </c>
    </row>
    <row r="59" spans="1:4" outlineLevel="2" x14ac:dyDescent="0.25">
      <c r="A59" s="245" t="s">
        <v>52</v>
      </c>
      <c r="B59" s="244">
        <v>6</v>
      </c>
      <c r="C59" s="243">
        <v>6558020</v>
      </c>
      <c r="D59" s="242">
        <f t="shared" si="4"/>
        <v>-0.11221432393365049</v>
      </c>
    </row>
    <row r="60" spans="1:4" outlineLevel="2" x14ac:dyDescent="0.25">
      <c r="A60" s="245" t="s">
        <v>53</v>
      </c>
      <c r="B60" s="244">
        <v>6</v>
      </c>
      <c r="C60" s="243">
        <v>7747518</v>
      </c>
      <c r="D60" s="242">
        <f t="shared" si="4"/>
        <v>4.8812828485764292E-2</v>
      </c>
    </row>
    <row r="61" spans="1:4" outlineLevel="2" x14ac:dyDescent="0.25">
      <c r="A61" s="245" t="s">
        <v>54</v>
      </c>
      <c r="B61" s="244">
        <v>6</v>
      </c>
      <c r="C61" s="243">
        <v>11560626</v>
      </c>
      <c r="D61" s="246">
        <f t="shared" si="4"/>
        <v>0.56500867169667335</v>
      </c>
    </row>
    <row r="62" spans="1:4" outlineLevel="2" x14ac:dyDescent="0.25">
      <c r="A62" s="245" t="s">
        <v>55</v>
      </c>
      <c r="B62" s="244">
        <v>6</v>
      </c>
      <c r="C62" s="243">
        <v>6672069</v>
      </c>
      <c r="D62" s="242">
        <f t="shared" si="4"/>
        <v>-9.6775049797601653E-2</v>
      </c>
    </row>
    <row r="63" spans="1:4" outlineLevel="2" x14ac:dyDescent="0.25">
      <c r="A63" s="245" t="s">
        <v>56</v>
      </c>
      <c r="B63" s="244">
        <v>6</v>
      </c>
      <c r="C63" s="243">
        <v>8107583</v>
      </c>
      <c r="D63" s="254">
        <f t="shared" si="4"/>
        <v>9.7556282981607456E-2</v>
      </c>
    </row>
    <row r="64" spans="1:4" ht="14.25" outlineLevel="2" thickBot="1" x14ac:dyDescent="0.3">
      <c r="A64" s="241" t="s">
        <v>57</v>
      </c>
      <c r="B64" s="240">
        <v>6</v>
      </c>
      <c r="C64" s="239">
        <v>8838392</v>
      </c>
      <c r="D64" s="253">
        <f t="shared" si="4"/>
        <v>0.19648885136968386</v>
      </c>
    </row>
    <row r="65" spans="1:4" ht="15" customHeight="1" outlineLevel="1" thickBot="1" x14ac:dyDescent="0.3">
      <c r="A65" s="426" t="s">
        <v>131</v>
      </c>
      <c r="B65" s="427"/>
      <c r="C65" s="251">
        <f>SUBTOTAL(1,C52:C64)</f>
        <v>7386940.538461538</v>
      </c>
      <c r="D65" s="250"/>
    </row>
    <row r="66" spans="1:4" outlineLevel="2" x14ac:dyDescent="0.25">
      <c r="A66" s="249" t="s">
        <v>58</v>
      </c>
      <c r="B66" s="248">
        <v>7</v>
      </c>
      <c r="C66" s="243">
        <v>19660841</v>
      </c>
      <c r="D66" s="252">
        <f>C66/$C$71-1</f>
        <v>0.25962623042631949</v>
      </c>
    </row>
    <row r="67" spans="1:4" outlineLevel="2" x14ac:dyDescent="0.25">
      <c r="A67" s="245" t="s">
        <v>59</v>
      </c>
      <c r="B67" s="244">
        <v>7</v>
      </c>
      <c r="C67" s="243">
        <v>11716737</v>
      </c>
      <c r="D67" s="242">
        <f>C67/$C$71-1</f>
        <v>-0.24933479395888591</v>
      </c>
    </row>
    <row r="68" spans="1:4" outlineLevel="2" x14ac:dyDescent="0.25">
      <c r="A68" s="245" t="s">
        <v>60</v>
      </c>
      <c r="B68" s="244">
        <v>7</v>
      </c>
      <c r="C68" s="243">
        <v>22579656</v>
      </c>
      <c r="D68" s="246">
        <f>C68/$C$71-1</f>
        <v>0.44662819721714997</v>
      </c>
    </row>
    <row r="69" spans="1:4" outlineLevel="2" x14ac:dyDescent="0.25">
      <c r="A69" s="245" t="s">
        <v>61</v>
      </c>
      <c r="B69" s="244">
        <v>7</v>
      </c>
      <c r="C69" s="243">
        <v>12427174</v>
      </c>
      <c r="D69" s="242">
        <f>C69/$C$71-1</f>
        <v>-0.2038186799602334</v>
      </c>
    </row>
    <row r="70" spans="1:4" ht="14.25" outlineLevel="2" thickBot="1" x14ac:dyDescent="0.3">
      <c r="A70" s="241" t="s">
        <v>62</v>
      </c>
      <c r="B70" s="240">
        <v>7</v>
      </c>
      <c r="C70" s="239">
        <v>11657953</v>
      </c>
      <c r="D70" s="238">
        <f>C70/$C$71-1</f>
        <v>-0.25310095372434971</v>
      </c>
    </row>
    <row r="71" spans="1:4" ht="15" customHeight="1" outlineLevel="1" thickBot="1" x14ac:dyDescent="0.3">
      <c r="A71" s="426" t="s">
        <v>130</v>
      </c>
      <c r="B71" s="427"/>
      <c r="C71" s="251">
        <f>SUBTOTAL(1,C66:C70)</f>
        <v>15608472.199999999</v>
      </c>
      <c r="D71" s="250"/>
    </row>
    <row r="72" spans="1:4" outlineLevel="2" x14ac:dyDescent="0.25">
      <c r="A72" s="249" t="s">
        <v>63</v>
      </c>
      <c r="B72" s="248">
        <v>8</v>
      </c>
      <c r="C72" s="243">
        <v>38964672</v>
      </c>
      <c r="D72" s="247">
        <f>C72/$C$77-1</f>
        <v>-2.2036929923171966E-2</v>
      </c>
    </row>
    <row r="73" spans="1:4" outlineLevel="2" x14ac:dyDescent="0.25">
      <c r="A73" s="245" t="s">
        <v>64</v>
      </c>
      <c r="B73" s="244">
        <v>8</v>
      </c>
      <c r="C73" s="243">
        <v>30339359</v>
      </c>
      <c r="D73" s="242">
        <f>C73/$C$77-1</f>
        <v>-0.23852117446791177</v>
      </c>
    </row>
    <row r="74" spans="1:4" outlineLevel="2" x14ac:dyDescent="0.25">
      <c r="A74" s="245" t="s">
        <v>65</v>
      </c>
      <c r="B74" s="244">
        <v>8</v>
      </c>
      <c r="C74" s="243">
        <v>70643473</v>
      </c>
      <c r="D74" s="246">
        <f>C74/$C$77-1</f>
        <v>0.77306016424235535</v>
      </c>
    </row>
    <row r="75" spans="1:4" outlineLevel="2" x14ac:dyDescent="0.25">
      <c r="A75" s="245" t="s">
        <v>66</v>
      </c>
      <c r="B75" s="244">
        <v>8</v>
      </c>
      <c r="C75" s="243">
        <v>29080810</v>
      </c>
      <c r="D75" s="242">
        <f>C75/$C$77-1</f>
        <v>-0.2701091330135944</v>
      </c>
    </row>
    <row r="76" spans="1:4" ht="14.25" outlineLevel="2" thickBot="1" x14ac:dyDescent="0.3">
      <c r="A76" s="241" t="s">
        <v>67</v>
      </c>
      <c r="B76" s="240">
        <v>8</v>
      </c>
      <c r="C76" s="239">
        <v>30185098</v>
      </c>
      <c r="D76" s="238">
        <f>C76/$C$77-1</f>
        <v>-0.24239292683767699</v>
      </c>
    </row>
    <row r="77" spans="1:4" ht="15" customHeight="1" outlineLevel="1" thickBot="1" x14ac:dyDescent="0.3">
      <c r="A77" s="426" t="s">
        <v>129</v>
      </c>
      <c r="B77" s="427"/>
      <c r="C77" s="237">
        <f>SUBTOTAL(1,C72:C76)</f>
        <v>39842682.399999999</v>
      </c>
      <c r="D77" s="236"/>
    </row>
    <row r="78" spans="1:4" hidden="1" x14ac:dyDescent="0.25">
      <c r="B78" s="235" t="s">
        <v>128</v>
      </c>
      <c r="C78" s="234">
        <f>SUBTOTAL(1,C3:C76)</f>
        <v>6639630.4925373131</v>
      </c>
      <c r="D78" s="233"/>
    </row>
    <row r="79" spans="1:4" ht="14.25" thickBot="1" x14ac:dyDescent="0.3">
      <c r="B79" s="227"/>
      <c r="C79" s="232"/>
      <c r="D79" s="231"/>
    </row>
    <row r="80" spans="1:4" ht="14.25" thickBot="1" x14ac:dyDescent="0.3">
      <c r="B80" s="230" t="s">
        <v>127</v>
      </c>
      <c r="C80" s="229">
        <f>SUBTOTAL(9,C3:C76)</f>
        <v>444855243</v>
      </c>
      <c r="D80" s="228">
        <f>COUNTIF(D3:D76,"&gt;.10")</f>
        <v>19</v>
      </c>
    </row>
    <row r="81" spans="1:4" ht="14.25" thickBot="1" x14ac:dyDescent="0.3">
      <c r="B81" s="227"/>
      <c r="C81" s="226"/>
      <c r="D81" s="225"/>
    </row>
    <row r="82" spans="1:4" ht="55.5" customHeight="1" thickBot="1" x14ac:dyDescent="0.3">
      <c r="A82" s="428" t="s">
        <v>126</v>
      </c>
      <c r="B82" s="429"/>
      <c r="C82" s="429"/>
      <c r="D82" s="430"/>
    </row>
    <row r="83" spans="1:4" s="18" customFormat="1" x14ac:dyDescent="0.25">
      <c r="B83" s="63"/>
      <c r="C83" s="223"/>
      <c r="D83" s="222"/>
    </row>
    <row r="84" spans="1:4" s="18" customFormat="1" x14ac:dyDescent="0.25">
      <c r="B84" s="63"/>
      <c r="C84" s="223"/>
      <c r="D84" s="222"/>
    </row>
    <row r="85" spans="1:4" s="18" customFormat="1" x14ac:dyDescent="0.25">
      <c r="B85" s="63"/>
      <c r="C85" s="223"/>
      <c r="D85" s="222"/>
    </row>
    <row r="86" spans="1:4" s="18" customFormat="1" x14ac:dyDescent="0.25">
      <c r="B86" s="63"/>
      <c r="C86" s="223"/>
      <c r="D86" s="222"/>
    </row>
    <row r="87" spans="1:4" s="18" customFormat="1" x14ac:dyDescent="0.25">
      <c r="B87" s="63"/>
      <c r="C87" s="223"/>
      <c r="D87" s="222"/>
    </row>
    <row r="88" spans="1:4" s="18" customFormat="1" x14ac:dyDescent="0.25">
      <c r="B88" s="63"/>
      <c r="C88" s="223"/>
      <c r="D88" s="222"/>
    </row>
    <row r="89" spans="1:4" s="18" customFormat="1" x14ac:dyDescent="0.25">
      <c r="B89" s="63"/>
      <c r="C89" s="223"/>
      <c r="D89" s="222"/>
    </row>
    <row r="90" spans="1:4" s="18" customFormat="1" x14ac:dyDescent="0.25">
      <c r="B90" s="63"/>
      <c r="C90" s="223"/>
      <c r="D90" s="222"/>
    </row>
    <row r="91" spans="1:4" s="18" customFormat="1" x14ac:dyDescent="0.25">
      <c r="B91" s="63"/>
      <c r="C91" s="223"/>
      <c r="D91" s="222"/>
    </row>
    <row r="92" spans="1:4" s="18" customFormat="1" x14ac:dyDescent="0.25">
      <c r="B92" s="63"/>
      <c r="C92" s="223"/>
      <c r="D92" s="222"/>
    </row>
    <row r="93" spans="1:4" s="18" customFormat="1" x14ac:dyDescent="0.25">
      <c r="B93" s="63"/>
      <c r="C93" s="223"/>
      <c r="D93" s="222"/>
    </row>
    <row r="94" spans="1:4" s="18" customFormat="1" x14ac:dyDescent="0.25">
      <c r="B94" s="63"/>
      <c r="C94" s="223"/>
      <c r="D94" s="222"/>
    </row>
  </sheetData>
  <mergeCells count="10">
    <mergeCell ref="A65:B65"/>
    <mergeCell ref="A71:B71"/>
    <mergeCell ref="A77:B77"/>
    <mergeCell ref="A82:D82"/>
    <mergeCell ref="A1:D1"/>
    <mergeCell ref="A7:B7"/>
    <mergeCell ref="A19:B19"/>
    <mergeCell ref="A31:B31"/>
    <mergeCell ref="A41:B41"/>
    <mergeCell ref="A51:B51"/>
  </mergeCells>
  <pageMargins left="0.7" right="0.7" top="0.75" bottom="0.75" header="0.3" footer="0.3"/>
  <pageSetup fitToHeight="0" orientation="portrait" horizontalDpi="1200" verticalDpi="120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New Revenue Summary</vt:lpstr>
      <vt:lpstr>Needs-Based Budget </vt:lpstr>
      <vt:lpstr>BUDGET CALC.  </vt:lpstr>
      <vt:lpstr>BUDGET CALCULATION </vt:lpstr>
      <vt:lpstr>3.5% Pay Raise Issue </vt:lpstr>
      <vt:lpstr>UBF (19-20 Settle-Up) </vt:lpstr>
      <vt:lpstr>WWM Applied to $444.9M </vt:lpstr>
      <vt:lpstr>Peer Group Comparison  </vt:lpstr>
      <vt:lpstr>'New Revenue Summary'!Print_Area</vt:lpstr>
      <vt:lpstr>'BUDGET CALC.  '!Print_Titles</vt:lpstr>
      <vt:lpstr>'BUDGET CALCULATION '!Print_Titles</vt:lpstr>
      <vt:lpstr>'Needs-Based Budget '!Print_Titles</vt:lpstr>
      <vt:lpstr>'Peer Group Comparison  '!Print_Titles</vt:lpstr>
      <vt:lpstr>'UBF (19-20 Settle-Up) '!Print_Titles</vt:lpstr>
      <vt:lpstr>'WWM Applied to $444.9M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Welty</dc:creator>
  <cp:lastModifiedBy>gkolchakian</cp:lastModifiedBy>
  <cp:lastPrinted>2021-08-03T18:38:22Z</cp:lastPrinted>
  <dcterms:created xsi:type="dcterms:W3CDTF">2021-03-31T23:54:41Z</dcterms:created>
  <dcterms:modified xsi:type="dcterms:W3CDTF">2023-04-12T19:51:55Z</dcterms:modified>
</cp:coreProperties>
</file>