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gkolchakian.FLCCOC\Desktop\"/>
    </mc:Choice>
  </mc:AlternateContent>
  <xr:revisionPtr revIDLastSave="0" documentId="13_ncr:1_{64AC0D1A-8AC8-4E8D-AC4C-CA40258CE3AD}" xr6:coauthVersionLast="47" xr6:coauthVersionMax="47" xr10:uidLastSave="{00000000-0000-0000-0000-000000000000}"/>
  <bookViews>
    <workbookView xWindow="-120" yWindow="-120" windowWidth="29040" windowHeight="15840" tabRatio="869" xr2:uid="{38CFC309-A274-4488-94D0-824C27C05306}"/>
  </bookViews>
  <sheets>
    <sheet name="New Revenue Summary" sheetId="8" r:id="rId1"/>
    <sheet name="Issue Requests " sheetId="26" r:id="rId2"/>
    <sheet name="Needs-Based Budget " sheetId="35" r:id="rId3"/>
    <sheet name="BUDGET CALCULATION " sheetId="37" r:id="rId4"/>
    <sheet name="FRS Calc.   " sheetId="32" r:id="rId5"/>
    <sheet name="UBF (20-21 Settle-Up) " sheetId="28" r:id="rId6"/>
    <sheet name="Additional CE (20-21) " sheetId="29" r:id="rId7"/>
    <sheet name="WWM Applied to $444.8M " sheetId="24" r:id="rId8"/>
    <sheet name="Peer Group Comparison " sheetId="27" r:id="rId9"/>
    <sheet name="Reduction Exercise " sheetId="38" r:id="rId10"/>
  </sheets>
  <definedNames>
    <definedName name="_xlnm._FilterDatabase" localSheetId="3" hidden="1">'BUDGET CALCULATION '!$A$2:$F$69</definedName>
    <definedName name="_xlnm._FilterDatabase" localSheetId="1" hidden="1">'Issue Requests '!$A$2:$S$69</definedName>
    <definedName name="_xlnm._FilterDatabase" localSheetId="2" hidden="1">'Needs-Based Budget '!$A$1:$J$68</definedName>
    <definedName name="_xlnm._FilterDatabase" localSheetId="9" hidden="1">'Reduction Exercise '!$A$2:$C$69</definedName>
    <definedName name="_xlnm._FilterDatabase" localSheetId="5" hidden="1">'UBF (20-21 Settle-Up) '!$A$1:$K$68</definedName>
    <definedName name="_xlnm._FilterDatabase" localSheetId="7" hidden="1">'WWM Applied to $444.8M '!$A$2:$G$69</definedName>
    <definedName name="_xlnm.Print_Area" localSheetId="6">'Additional CE (20-21) '!$A$1:$B$16</definedName>
    <definedName name="_xlnm.Print_Area" localSheetId="0">'New Revenue Summary'!$A$1:$B$23</definedName>
    <definedName name="_xlnm.Print_Titles" localSheetId="3">'BUDGET CALCULATION '!$A:$B,'BUDGET CALCULATION '!$2:$2</definedName>
    <definedName name="_xlnm.Print_Titles" localSheetId="1">'Issue Requests '!$A:$B,'Issue Requests '!$1:$2</definedName>
    <definedName name="_xlnm.Print_Titles" localSheetId="2">'Needs-Based Budget '!$A:$B,'Needs-Based Budget '!$1:$1</definedName>
    <definedName name="_xlnm.Print_Titles" localSheetId="8">'Peer Group Comparison '!$1:$2</definedName>
    <definedName name="_xlnm.Print_Titles" localSheetId="9">'Reduction Exercise '!$A:$B,'Reduction Exercise '!$2:$2</definedName>
    <definedName name="_xlnm.Print_Titles" localSheetId="5">'UBF (20-21 Settle-Up) '!$1:$1</definedName>
    <definedName name="_xlnm.Print_Titles" localSheetId="7">'WWM Applied to $444.8M '!$A:$B,'WWM Applied to $444.8M '!$2:$2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'UBF (20-21 Settle-Up) '!$I$60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37" l="1"/>
  <c r="H74" i="37"/>
  <c r="I77" i="35"/>
  <c r="F56" i="38"/>
  <c r="E4" i="38"/>
  <c r="F4" i="38" s="1"/>
  <c r="E5" i="38"/>
  <c r="F5" i="38" s="1"/>
  <c r="E6" i="38"/>
  <c r="F6" i="38" s="1"/>
  <c r="E8" i="38"/>
  <c r="F8" i="38" s="1"/>
  <c r="E14" i="38"/>
  <c r="F14" i="38" s="1"/>
  <c r="E15" i="38"/>
  <c r="F15" i="38" s="1"/>
  <c r="E24" i="38"/>
  <c r="F24" i="38" s="1"/>
  <c r="E37" i="38"/>
  <c r="F37" i="38" s="1"/>
  <c r="E38" i="38"/>
  <c r="F38" i="38" s="1"/>
  <c r="E40" i="38"/>
  <c r="F40" i="38" s="1"/>
  <c r="E46" i="38"/>
  <c r="F46" i="38" s="1"/>
  <c r="E47" i="38"/>
  <c r="F47" i="38" s="1"/>
  <c r="E56" i="38"/>
  <c r="E69" i="38"/>
  <c r="F69" i="38" s="1"/>
  <c r="E3" i="38"/>
  <c r="F3" i="38" s="1"/>
  <c r="D4" i="38"/>
  <c r="D5" i="38"/>
  <c r="D6" i="38"/>
  <c r="D7" i="38"/>
  <c r="E7" i="38" s="1"/>
  <c r="F7" i="38" s="1"/>
  <c r="D8" i="38"/>
  <c r="D9" i="38"/>
  <c r="E9" i="38" s="1"/>
  <c r="F9" i="38" s="1"/>
  <c r="D10" i="38"/>
  <c r="E10" i="38" s="1"/>
  <c r="F10" i="38" s="1"/>
  <c r="D11" i="38"/>
  <c r="E11" i="38" s="1"/>
  <c r="F11" i="38" s="1"/>
  <c r="D12" i="38"/>
  <c r="E12" i="38" s="1"/>
  <c r="F12" i="38" s="1"/>
  <c r="D13" i="38"/>
  <c r="E13" i="38" s="1"/>
  <c r="F13" i="38" s="1"/>
  <c r="D14" i="38"/>
  <c r="D15" i="38"/>
  <c r="D16" i="38"/>
  <c r="E16" i="38" s="1"/>
  <c r="F16" i="38" s="1"/>
  <c r="D17" i="38"/>
  <c r="E17" i="38" s="1"/>
  <c r="F17" i="38" s="1"/>
  <c r="D18" i="38"/>
  <c r="E18" i="38" s="1"/>
  <c r="F18" i="38" s="1"/>
  <c r="D19" i="38"/>
  <c r="E19" i="38" s="1"/>
  <c r="F19" i="38" s="1"/>
  <c r="D20" i="38"/>
  <c r="E20" i="38" s="1"/>
  <c r="F20" i="38" s="1"/>
  <c r="D21" i="38"/>
  <c r="E21" i="38" s="1"/>
  <c r="F21" i="38" s="1"/>
  <c r="D22" i="38"/>
  <c r="E22" i="38" s="1"/>
  <c r="F22" i="38" s="1"/>
  <c r="D23" i="38"/>
  <c r="E23" i="38" s="1"/>
  <c r="F23" i="38" s="1"/>
  <c r="D24" i="38"/>
  <c r="D25" i="38"/>
  <c r="E25" i="38" s="1"/>
  <c r="F25" i="38" s="1"/>
  <c r="D26" i="38"/>
  <c r="E26" i="38" s="1"/>
  <c r="F26" i="38" s="1"/>
  <c r="D27" i="38"/>
  <c r="E27" i="38" s="1"/>
  <c r="F27" i="38" s="1"/>
  <c r="D28" i="38"/>
  <c r="E28" i="38" s="1"/>
  <c r="F28" i="38" s="1"/>
  <c r="D29" i="38"/>
  <c r="E29" i="38" s="1"/>
  <c r="F29" i="38" s="1"/>
  <c r="D30" i="38"/>
  <c r="E30" i="38" s="1"/>
  <c r="F30" i="38" s="1"/>
  <c r="D31" i="38"/>
  <c r="E31" i="38" s="1"/>
  <c r="F31" i="38" s="1"/>
  <c r="D32" i="38"/>
  <c r="E32" i="38" s="1"/>
  <c r="F32" i="38" s="1"/>
  <c r="D33" i="38"/>
  <c r="E33" i="38" s="1"/>
  <c r="F33" i="38" s="1"/>
  <c r="D34" i="38"/>
  <c r="E34" i="38" s="1"/>
  <c r="F34" i="38" s="1"/>
  <c r="D35" i="38"/>
  <c r="E35" i="38" s="1"/>
  <c r="F35" i="38" s="1"/>
  <c r="D36" i="38"/>
  <c r="E36" i="38" s="1"/>
  <c r="F36" i="38" s="1"/>
  <c r="D37" i="38"/>
  <c r="D38" i="38"/>
  <c r="D39" i="38"/>
  <c r="E39" i="38" s="1"/>
  <c r="F39" i="38" s="1"/>
  <c r="D40" i="38"/>
  <c r="D41" i="38"/>
  <c r="E41" i="38" s="1"/>
  <c r="F41" i="38" s="1"/>
  <c r="D42" i="38"/>
  <c r="E42" i="38" s="1"/>
  <c r="F42" i="38" s="1"/>
  <c r="D43" i="38"/>
  <c r="E43" i="38" s="1"/>
  <c r="F43" i="38" s="1"/>
  <c r="D44" i="38"/>
  <c r="E44" i="38" s="1"/>
  <c r="F44" i="38" s="1"/>
  <c r="D45" i="38"/>
  <c r="E45" i="38" s="1"/>
  <c r="F45" i="38" s="1"/>
  <c r="D46" i="38"/>
  <c r="D47" i="38"/>
  <c r="D48" i="38"/>
  <c r="E48" i="38" s="1"/>
  <c r="F48" i="38" s="1"/>
  <c r="D49" i="38"/>
  <c r="E49" i="38" s="1"/>
  <c r="F49" i="38" s="1"/>
  <c r="D50" i="38"/>
  <c r="E50" i="38" s="1"/>
  <c r="F50" i="38" s="1"/>
  <c r="D51" i="38"/>
  <c r="E51" i="38" s="1"/>
  <c r="F51" i="38" s="1"/>
  <c r="D52" i="38"/>
  <c r="E52" i="38" s="1"/>
  <c r="F52" i="38" s="1"/>
  <c r="D53" i="38"/>
  <c r="E53" i="38" s="1"/>
  <c r="F53" i="38" s="1"/>
  <c r="D54" i="38"/>
  <c r="E54" i="38" s="1"/>
  <c r="F54" i="38" s="1"/>
  <c r="D55" i="38"/>
  <c r="E55" i="38" s="1"/>
  <c r="F55" i="38" s="1"/>
  <c r="D56" i="38"/>
  <c r="D57" i="38"/>
  <c r="E57" i="38" s="1"/>
  <c r="F57" i="38" s="1"/>
  <c r="D58" i="38"/>
  <c r="E58" i="38" s="1"/>
  <c r="F58" i="38" s="1"/>
  <c r="D59" i="38"/>
  <c r="E59" i="38" s="1"/>
  <c r="F59" i="38" s="1"/>
  <c r="D60" i="38"/>
  <c r="E60" i="38" s="1"/>
  <c r="F60" i="38" s="1"/>
  <c r="D61" i="38"/>
  <c r="E61" i="38" s="1"/>
  <c r="F61" i="38" s="1"/>
  <c r="D62" i="38"/>
  <c r="E62" i="38" s="1"/>
  <c r="F62" i="38" s="1"/>
  <c r="D63" i="38"/>
  <c r="E63" i="38" s="1"/>
  <c r="F63" i="38" s="1"/>
  <c r="D64" i="38"/>
  <c r="E64" i="38" s="1"/>
  <c r="F64" i="38" s="1"/>
  <c r="D65" i="38"/>
  <c r="E65" i="38" s="1"/>
  <c r="F65" i="38" s="1"/>
  <c r="D66" i="38"/>
  <c r="E66" i="38" s="1"/>
  <c r="F66" i="38" s="1"/>
  <c r="D67" i="38"/>
  <c r="E67" i="38" s="1"/>
  <c r="F67" i="38" s="1"/>
  <c r="D68" i="38"/>
  <c r="E68" i="38" s="1"/>
  <c r="F68" i="38" s="1"/>
  <c r="D69" i="38"/>
  <c r="D3" i="38"/>
  <c r="C71" i="38"/>
  <c r="D1" i="38" s="1"/>
  <c r="F71" i="37"/>
  <c r="D71" i="37"/>
  <c r="C71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3" i="37"/>
  <c r="G1" i="37"/>
  <c r="C77" i="27"/>
  <c r="C71" i="27"/>
  <c r="C65" i="27"/>
  <c r="C51" i="27"/>
  <c r="C41" i="27"/>
  <c r="C31" i="27"/>
  <c r="C19" i="27"/>
  <c r="C7" i="27"/>
  <c r="G60" i="37" l="1"/>
  <c r="H60" i="37" s="1"/>
  <c r="E71" i="37"/>
  <c r="T71" i="26"/>
  <c r="S71" i="26"/>
  <c r="G21" i="37" l="1"/>
  <c r="H21" i="37" s="1"/>
  <c r="I21" i="37" s="1"/>
  <c r="G3" i="37"/>
  <c r="H3" i="37" s="1"/>
  <c r="G17" i="37"/>
  <c r="H17" i="37" s="1"/>
  <c r="G43" i="37"/>
  <c r="G66" i="37"/>
  <c r="G68" i="37"/>
  <c r="H68" i="37" s="1"/>
  <c r="I68" i="37" s="1"/>
  <c r="G58" i="37"/>
  <c r="I57" i="37"/>
  <c r="G61" i="37"/>
  <c r="G42" i="37"/>
  <c r="H42" i="37" s="1"/>
  <c r="G49" i="37"/>
  <c r="G9" i="37"/>
  <c r="G36" i="37"/>
  <c r="H36" i="37" s="1"/>
  <c r="I36" i="37" s="1"/>
  <c r="G11" i="37"/>
  <c r="H11" i="37" s="1"/>
  <c r="I11" i="37" s="1"/>
  <c r="G15" i="37"/>
  <c r="I42" i="37"/>
  <c r="G50" i="37"/>
  <c r="H50" i="37" s="1"/>
  <c r="I50" i="37" s="1"/>
  <c r="G57" i="37"/>
  <c r="H57" i="37" s="1"/>
  <c r="G7" i="37"/>
  <c r="G41" i="37"/>
  <c r="G25" i="37"/>
  <c r="I17" i="37"/>
  <c r="G69" i="37"/>
  <c r="I60" i="37"/>
  <c r="G33" i="37"/>
  <c r="G34" i="37"/>
  <c r="G20" i="37"/>
  <c r="G53" i="37"/>
  <c r="G26" i="37"/>
  <c r="G35" i="37"/>
  <c r="G37" i="37"/>
  <c r="G28" i="37"/>
  <c r="G51" i="37"/>
  <c r="G22" i="37"/>
  <c r="G6" i="37"/>
  <c r="G30" i="37"/>
  <c r="G64" i="37"/>
  <c r="G48" i="37"/>
  <c r="G32" i="37"/>
  <c r="G46" i="37"/>
  <c r="G56" i="37"/>
  <c r="G40" i="37"/>
  <c r="G24" i="37"/>
  <c r="G16" i="37"/>
  <c r="G8" i="37"/>
  <c r="G38" i="37"/>
  <c r="G54" i="37"/>
  <c r="H54" i="37" s="1"/>
  <c r="G63" i="37"/>
  <c r="G47" i="37"/>
  <c r="G31" i="37"/>
  <c r="G62" i="37"/>
  <c r="G55" i="37"/>
  <c r="G39" i="37"/>
  <c r="G23" i="37"/>
  <c r="G14" i="37"/>
  <c r="G18" i="37"/>
  <c r="G5" i="37"/>
  <c r="G67" i="37"/>
  <c r="H67" i="37" s="1"/>
  <c r="I67" i="37" s="1"/>
  <c r="G13" i="37"/>
  <c r="G52" i="37"/>
  <c r="G10" i="37"/>
  <c r="G12" i="37"/>
  <c r="G4" i="37"/>
  <c r="G27" i="37"/>
  <c r="G19" i="37"/>
  <c r="G45" i="37"/>
  <c r="H45" i="37" s="1"/>
  <c r="I45" i="37"/>
  <c r="I54" i="37"/>
  <c r="G29" i="37"/>
  <c r="G44" i="37"/>
  <c r="H44" i="37" s="1"/>
  <c r="I44" i="37" s="1"/>
  <c r="G65" i="37"/>
  <c r="G59" i="37"/>
  <c r="F56" i="35"/>
  <c r="J57" i="26"/>
  <c r="E71" i="38" l="1"/>
  <c r="F71" i="38" s="1"/>
  <c r="D71" i="38"/>
  <c r="H8" i="37"/>
  <c r="I8" i="37" s="1"/>
  <c r="H40" i="37"/>
  <c r="I40" i="37" s="1"/>
  <c r="H32" i="37"/>
  <c r="I32" i="37" s="1"/>
  <c r="H49" i="37"/>
  <c r="I49" i="37" s="1"/>
  <c r="I53" i="37"/>
  <c r="H53" i="37"/>
  <c r="H34" i="37"/>
  <c r="I34" i="37" s="1"/>
  <c r="H16" i="37"/>
  <c r="I16" i="37" s="1"/>
  <c r="H39" i="37"/>
  <c r="I39" i="37" s="1"/>
  <c r="H64" i="37"/>
  <c r="I64" i="37" s="1"/>
  <c r="H61" i="37"/>
  <c r="I61" i="37" s="1"/>
  <c r="H35" i="37"/>
  <c r="I35" i="37" s="1"/>
  <c r="H15" i="37"/>
  <c r="I15" i="37" s="1"/>
  <c r="H56" i="37"/>
  <c r="I56" i="37" s="1"/>
  <c r="H33" i="37"/>
  <c r="I33" i="37" s="1"/>
  <c r="H55" i="37"/>
  <c r="I55" i="37" s="1"/>
  <c r="H30" i="37"/>
  <c r="I30" i="37" s="1"/>
  <c r="H69" i="37"/>
  <c r="I69" i="37" s="1"/>
  <c r="H26" i="37"/>
  <c r="I26" i="37" s="1"/>
  <c r="H24" i="37"/>
  <c r="I24" i="37" s="1"/>
  <c r="H18" i="37"/>
  <c r="I18" i="37" s="1"/>
  <c r="H29" i="37"/>
  <c r="I29" i="37" s="1"/>
  <c r="H46" i="37"/>
  <c r="I46" i="37" s="1"/>
  <c r="H48" i="37"/>
  <c r="I48" i="37" s="1"/>
  <c r="H19" i="37"/>
  <c r="I19" i="37" s="1"/>
  <c r="H6" i="37"/>
  <c r="I6" i="37" s="1"/>
  <c r="H58" i="37"/>
  <c r="I58" i="37" s="1"/>
  <c r="H59" i="37"/>
  <c r="I59" i="37" s="1"/>
  <c r="H65" i="37"/>
  <c r="I65" i="37" s="1"/>
  <c r="H9" i="37"/>
  <c r="I9" i="37" s="1"/>
  <c r="H14" i="37"/>
  <c r="I14" i="37" s="1"/>
  <c r="H23" i="37"/>
  <c r="I23" i="37" s="1"/>
  <c r="H62" i="37"/>
  <c r="I62" i="37" s="1"/>
  <c r="H27" i="37"/>
  <c r="I27" i="37" s="1"/>
  <c r="H31" i="37"/>
  <c r="I31" i="37" s="1"/>
  <c r="H22" i="37"/>
  <c r="I22" i="37" s="1"/>
  <c r="H25" i="37"/>
  <c r="I25" i="37" s="1"/>
  <c r="H5" i="37"/>
  <c r="I5" i="37" s="1"/>
  <c r="H20" i="37"/>
  <c r="I20" i="37" s="1"/>
  <c r="H4" i="37"/>
  <c r="H51" i="37"/>
  <c r="I51" i="37" s="1"/>
  <c r="H41" i="37"/>
  <c r="I41" i="37" s="1"/>
  <c r="H12" i="37"/>
  <c r="I12" i="37" s="1"/>
  <c r="H7" i="37"/>
  <c r="I7" i="37" s="1"/>
  <c r="H10" i="37"/>
  <c r="I10" i="37" s="1"/>
  <c r="H28" i="37"/>
  <c r="I28" i="37" s="1"/>
  <c r="H43" i="37"/>
  <c r="I43" i="37" s="1"/>
  <c r="H13" i="37"/>
  <c r="I13" i="37" s="1"/>
  <c r="H47" i="37"/>
  <c r="I47" i="37" s="1"/>
  <c r="H63" i="37"/>
  <c r="I63" i="37" s="1"/>
  <c r="H66" i="37"/>
  <c r="I66" i="37" s="1"/>
  <c r="H52" i="37"/>
  <c r="I52" i="37" s="1"/>
  <c r="H38" i="37"/>
  <c r="I38" i="37" s="1"/>
  <c r="H37" i="37"/>
  <c r="I37" i="37" s="1"/>
  <c r="I3" i="37"/>
  <c r="G71" i="37"/>
  <c r="T67" i="26"/>
  <c r="H71" i="37" l="1"/>
  <c r="I71" i="37" s="1"/>
  <c r="I4" i="37"/>
  <c r="F33" i="35" l="1"/>
  <c r="B4" i="8"/>
  <c r="I73" i="35" l="1"/>
  <c r="F28" i="35"/>
  <c r="E28" i="35"/>
  <c r="I29" i="26"/>
  <c r="P56" i="26" l="1"/>
  <c r="E34" i="35" l="1"/>
  <c r="E6" i="35" l="1"/>
  <c r="N60" i="26" l="1"/>
  <c r="F46" i="35" l="1"/>
  <c r="E46" i="35"/>
  <c r="I47" i="26" l="1"/>
  <c r="E21" i="35" l="1"/>
  <c r="E7" i="35" l="1"/>
  <c r="E5" i="35" l="1"/>
  <c r="G6" i="26"/>
  <c r="F43" i="35" l="1"/>
  <c r="I44" i="26"/>
  <c r="F44" i="35"/>
  <c r="I45" i="26"/>
  <c r="I3" i="35" l="1"/>
  <c r="J3" i="35" s="1"/>
  <c r="I4" i="35"/>
  <c r="I8" i="35"/>
  <c r="I9" i="35"/>
  <c r="J9" i="35" s="1"/>
  <c r="I12" i="35"/>
  <c r="I14" i="35"/>
  <c r="J14" i="35" s="1"/>
  <c r="I15" i="35"/>
  <c r="J15" i="35" s="1"/>
  <c r="I16" i="35"/>
  <c r="J16" i="35" s="1"/>
  <c r="I17" i="35"/>
  <c r="J17" i="35" s="1"/>
  <c r="I20" i="35"/>
  <c r="J20" i="35" s="1"/>
  <c r="I22" i="35"/>
  <c r="J22" i="35" s="1"/>
  <c r="I23" i="35"/>
  <c r="I24" i="35"/>
  <c r="I25" i="35"/>
  <c r="I26" i="35"/>
  <c r="I35" i="35"/>
  <c r="J35" i="35" s="1"/>
  <c r="I38" i="35"/>
  <c r="I39" i="35"/>
  <c r="I42" i="35"/>
  <c r="J42" i="35" s="1"/>
  <c r="I44" i="35"/>
  <c r="J44" i="35" s="1"/>
  <c r="I45" i="35"/>
  <c r="I46" i="35"/>
  <c r="I47" i="35"/>
  <c r="J47" i="35" s="1"/>
  <c r="I48" i="35"/>
  <c r="J48" i="35" s="1"/>
  <c r="I49" i="35"/>
  <c r="J49" i="35" s="1"/>
  <c r="I51" i="35"/>
  <c r="J51" i="35" s="1"/>
  <c r="I57" i="35"/>
  <c r="J57" i="35" s="1"/>
  <c r="I58" i="35"/>
  <c r="J58" i="35" s="1"/>
  <c r="I64" i="35"/>
  <c r="J64" i="35" s="1"/>
  <c r="I65" i="35"/>
  <c r="J65" i="35" s="1"/>
  <c r="I67" i="35"/>
  <c r="J67" i="35" s="1"/>
  <c r="J26" i="35"/>
  <c r="J38" i="35"/>
  <c r="G59" i="35"/>
  <c r="G70" i="35" s="1"/>
  <c r="F66" i="35"/>
  <c r="I66" i="35" s="1"/>
  <c r="F63" i="35"/>
  <c r="I63" i="35" s="1"/>
  <c r="F62" i="35"/>
  <c r="I62" i="35" s="1"/>
  <c r="J62" i="35" s="1"/>
  <c r="F61" i="35"/>
  <c r="I61" i="35" s="1"/>
  <c r="F59" i="35"/>
  <c r="I56" i="35"/>
  <c r="F55" i="35"/>
  <c r="I55" i="35" s="1"/>
  <c r="F53" i="35"/>
  <c r="I53" i="35" s="1"/>
  <c r="J53" i="35" s="1"/>
  <c r="F50" i="35"/>
  <c r="F45" i="35"/>
  <c r="F39" i="35"/>
  <c r="F31" i="35"/>
  <c r="I31" i="35" s="1"/>
  <c r="F30" i="35"/>
  <c r="I30" i="35" s="1"/>
  <c r="F29" i="35"/>
  <c r="I29" i="35" s="1"/>
  <c r="F27" i="35"/>
  <c r="I27" i="35" s="1"/>
  <c r="F21" i="35"/>
  <c r="F18" i="35"/>
  <c r="I18" i="35" s="1"/>
  <c r="F15" i="35"/>
  <c r="F11" i="35"/>
  <c r="I11" i="35" s="1"/>
  <c r="F2" i="35"/>
  <c r="I2" i="35" s="1"/>
  <c r="I6" i="35"/>
  <c r="I7" i="35"/>
  <c r="E10" i="35"/>
  <c r="I34" i="35"/>
  <c r="E37" i="35"/>
  <c r="E50" i="35"/>
  <c r="I50" i="35" s="1"/>
  <c r="E52" i="35"/>
  <c r="I52" i="35" s="1"/>
  <c r="E68" i="35"/>
  <c r="I68" i="35" s="1"/>
  <c r="D70" i="35"/>
  <c r="H63" i="35"/>
  <c r="H60" i="35"/>
  <c r="F60" i="35"/>
  <c r="I60" i="35" s="1"/>
  <c r="H59" i="35"/>
  <c r="F54" i="35"/>
  <c r="F52" i="35"/>
  <c r="H50" i="35"/>
  <c r="I43" i="35"/>
  <c r="H41" i="35"/>
  <c r="F41" i="35"/>
  <c r="I41" i="35" s="1"/>
  <c r="F40" i="35"/>
  <c r="H39" i="35"/>
  <c r="F37" i="35"/>
  <c r="F36" i="35"/>
  <c r="I33" i="35"/>
  <c r="F32" i="35"/>
  <c r="I32" i="35" s="1"/>
  <c r="H31" i="35"/>
  <c r="J25" i="35"/>
  <c r="J24" i="35"/>
  <c r="F23" i="35"/>
  <c r="F19" i="35"/>
  <c r="I19" i="35" s="1"/>
  <c r="H15" i="35"/>
  <c r="F13" i="35"/>
  <c r="I13" i="35" s="1"/>
  <c r="J12" i="35"/>
  <c r="F10" i="35"/>
  <c r="J8" i="35"/>
  <c r="C70" i="35"/>
  <c r="I28" i="35" l="1"/>
  <c r="J28" i="35" s="1"/>
  <c r="I21" i="35"/>
  <c r="J21" i="35" s="1"/>
  <c r="I37" i="35"/>
  <c r="I10" i="35"/>
  <c r="I59" i="35"/>
  <c r="J59" i="35" s="1"/>
  <c r="J61" i="35"/>
  <c r="I40" i="35"/>
  <c r="J40" i="35" s="1"/>
  <c r="J60" i="35"/>
  <c r="J45" i="35"/>
  <c r="I5" i="35"/>
  <c r="J5" i="35" s="1"/>
  <c r="J56" i="35"/>
  <c r="I54" i="35"/>
  <c r="J54" i="35" s="1"/>
  <c r="I36" i="35"/>
  <c r="J36" i="35" s="1"/>
  <c r="J23" i="35"/>
  <c r="J46" i="35"/>
  <c r="J29" i="35"/>
  <c r="J30" i="35"/>
  <c r="J32" i="35"/>
  <c r="J34" i="35"/>
  <c r="J39" i="35"/>
  <c r="J19" i="35"/>
  <c r="J7" i="35"/>
  <c r="J6" i="35"/>
  <c r="J55" i="35"/>
  <c r="J43" i="35"/>
  <c r="J18" i="35"/>
  <c r="J63" i="35"/>
  <c r="J11" i="35"/>
  <c r="J68" i="35"/>
  <c r="J66" i="35"/>
  <c r="J50" i="35"/>
  <c r="E70" i="35"/>
  <c r="H70" i="35"/>
  <c r="F70" i="35"/>
  <c r="J10" i="35"/>
  <c r="J52" i="35"/>
  <c r="J41" i="35"/>
  <c r="J27" i="35"/>
  <c r="J37" i="35"/>
  <c r="J13" i="35"/>
  <c r="J2" i="35"/>
  <c r="J33" i="35"/>
  <c r="J31" i="35"/>
  <c r="J4" i="35"/>
  <c r="I55" i="26"/>
  <c r="I70" i="35" l="1"/>
  <c r="I75" i="35" s="1"/>
  <c r="J70" i="35" l="1"/>
  <c r="I14" i="26" l="1"/>
  <c r="I31" i="26" l="1"/>
  <c r="Q61" i="26" l="1"/>
  <c r="J61" i="26"/>
  <c r="J60" i="26"/>
  <c r="Q60" i="26"/>
  <c r="M60" i="26"/>
  <c r="J42" i="26" l="1"/>
  <c r="Q42" i="26"/>
  <c r="I41" i="26"/>
  <c r="I37" i="26"/>
  <c r="J32" i="26" l="1"/>
  <c r="Q32" i="26"/>
  <c r="Q16" i="26"/>
  <c r="I24" i="26" l="1"/>
  <c r="I53" i="26" l="1"/>
  <c r="I11" i="26"/>
  <c r="I63" i="26" l="1"/>
  <c r="L71" i="26"/>
  <c r="I28" i="26" l="1"/>
  <c r="I20" i="26"/>
  <c r="Q40" i="26"/>
  <c r="I38" i="26"/>
  <c r="Q51" i="26"/>
  <c r="I30" i="26" l="1"/>
  <c r="Q64" i="26" l="1"/>
  <c r="J71" i="26" l="1"/>
  <c r="J73" i="26" s="1"/>
  <c r="I19" i="26"/>
  <c r="D71" i="26" l="1"/>
  <c r="C71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71" i="26" l="1"/>
  <c r="I33" i="26" l="1"/>
  <c r="P31" i="26"/>
  <c r="C308" i="32" l="1"/>
  <c r="C302" i="32"/>
  <c r="E301" i="32"/>
  <c r="E300" i="32"/>
  <c r="E299" i="32"/>
  <c r="E302" i="32" s="1"/>
  <c r="E298" i="32"/>
  <c r="C298" i="32"/>
  <c r="E297" i="32"/>
  <c r="E296" i="32"/>
  <c r="E295" i="32"/>
  <c r="C294" i="32"/>
  <c r="E293" i="32"/>
  <c r="E292" i="32"/>
  <c r="E291" i="32"/>
  <c r="E294" i="32" s="1"/>
  <c r="C290" i="32"/>
  <c r="E289" i="32"/>
  <c r="E288" i="32"/>
  <c r="E287" i="32"/>
  <c r="E286" i="32"/>
  <c r="E290" i="32" s="1"/>
  <c r="E285" i="32"/>
  <c r="C285" i="32"/>
  <c r="E284" i="32"/>
  <c r="E283" i="32"/>
  <c r="E282" i="32"/>
  <c r="C281" i="32"/>
  <c r="E280" i="32"/>
  <c r="E279" i="32"/>
  <c r="E278" i="32"/>
  <c r="E281" i="32" s="1"/>
  <c r="C277" i="32"/>
  <c r="E276" i="32"/>
  <c r="E275" i="32"/>
  <c r="E274" i="32"/>
  <c r="E277" i="32" s="1"/>
  <c r="C273" i="32"/>
  <c r="E272" i="32"/>
  <c r="E273" i="32" s="1"/>
  <c r="E271" i="32"/>
  <c r="E270" i="32"/>
  <c r="C269" i="32"/>
  <c r="E268" i="32"/>
  <c r="E267" i="32"/>
  <c r="E266" i="32"/>
  <c r="E265" i="32"/>
  <c r="E269" i="32" s="1"/>
  <c r="C264" i="32"/>
  <c r="E263" i="32"/>
  <c r="E262" i="32"/>
  <c r="E261" i="32"/>
  <c r="E260" i="32"/>
  <c r="E264" i="32" s="1"/>
  <c r="E259" i="32"/>
  <c r="C259" i="32"/>
  <c r="E258" i="32"/>
  <c r="E257" i="32"/>
  <c r="E256" i="32"/>
  <c r="C255" i="32"/>
  <c r="E254" i="32"/>
  <c r="E253" i="32"/>
  <c r="E252" i="32"/>
  <c r="E255" i="32" s="1"/>
  <c r="C250" i="32"/>
  <c r="E250" i="32" s="1"/>
  <c r="C249" i="32"/>
  <c r="C251" i="32" s="1"/>
  <c r="E248" i="32"/>
  <c r="E247" i="32"/>
  <c r="C247" i="32"/>
  <c r="C245" i="32"/>
  <c r="C246" i="32" s="1"/>
  <c r="E244" i="32"/>
  <c r="E243" i="32"/>
  <c r="E242" i="32"/>
  <c r="E240" i="32"/>
  <c r="C239" i="32"/>
  <c r="C241" i="32" s="1"/>
  <c r="E238" i="32"/>
  <c r="E237" i="32"/>
  <c r="E236" i="32"/>
  <c r="C236" i="32"/>
  <c r="E235" i="32"/>
  <c r="E234" i="32"/>
  <c r="E233" i="32"/>
  <c r="E232" i="32"/>
  <c r="C231" i="32"/>
  <c r="E230" i="32"/>
  <c r="E229" i="32"/>
  <c r="E228" i="32"/>
  <c r="E227" i="32"/>
  <c r="E231" i="32" s="1"/>
  <c r="C226" i="32"/>
  <c r="E225" i="32"/>
  <c r="E224" i="32"/>
  <c r="E223" i="32"/>
  <c r="E226" i="32" s="1"/>
  <c r="E222" i="32"/>
  <c r="E220" i="32"/>
  <c r="E219" i="32"/>
  <c r="E218" i="32"/>
  <c r="C217" i="32"/>
  <c r="C221" i="32" s="1"/>
  <c r="C216" i="32"/>
  <c r="E215" i="32"/>
  <c r="E214" i="32"/>
  <c r="E213" i="32"/>
  <c r="E212" i="32"/>
  <c r="E216" i="32" s="1"/>
  <c r="E211" i="32"/>
  <c r="C211" i="32"/>
  <c r="E210" i="32"/>
  <c r="E209" i="32"/>
  <c r="C208" i="32"/>
  <c r="E207" i="32"/>
  <c r="E206" i="32"/>
  <c r="E205" i="32"/>
  <c r="E204" i="32"/>
  <c r="E208" i="32" s="1"/>
  <c r="C202" i="32"/>
  <c r="C203" i="32" s="1"/>
  <c r="E201" i="32"/>
  <c r="E200" i="32"/>
  <c r="E199" i="32"/>
  <c r="E198" i="32"/>
  <c r="C198" i="32"/>
  <c r="E197" i="32"/>
  <c r="E196" i="32"/>
  <c r="E195" i="32"/>
  <c r="E194" i="32"/>
  <c r="C193" i="32"/>
  <c r="E192" i="32"/>
  <c r="E191" i="32"/>
  <c r="E190" i="32"/>
  <c r="E189" i="32"/>
  <c r="E193" i="32" s="1"/>
  <c r="E187" i="32"/>
  <c r="E186" i="32"/>
  <c r="E188" i="32" s="1"/>
  <c r="C186" i="32"/>
  <c r="C188" i="32" s="1"/>
  <c r="E185" i="32"/>
  <c r="E184" i="32"/>
  <c r="C183" i="32"/>
  <c r="E182" i="32"/>
  <c r="E181" i="32"/>
  <c r="E180" i="32"/>
  <c r="E179" i="32"/>
  <c r="E183" i="32" s="1"/>
  <c r="C178" i="32"/>
  <c r="E177" i="32"/>
  <c r="E176" i="32"/>
  <c r="E175" i="32"/>
  <c r="E174" i="32"/>
  <c r="E178" i="32" s="1"/>
  <c r="E173" i="32"/>
  <c r="C173" i="32"/>
  <c r="E172" i="32"/>
  <c r="E171" i="32"/>
  <c r="C170" i="32"/>
  <c r="E169" i="32"/>
  <c r="E168" i="32"/>
  <c r="E167" i="32"/>
  <c r="E170" i="32" s="1"/>
  <c r="C166" i="32"/>
  <c r="E165" i="32"/>
  <c r="E164" i="32"/>
  <c r="E163" i="32"/>
  <c r="E166" i="32" s="1"/>
  <c r="C162" i="32"/>
  <c r="E161" i="32"/>
  <c r="E160" i="32"/>
  <c r="E162" i="32" s="1"/>
  <c r="E159" i="32"/>
  <c r="C157" i="32"/>
  <c r="C158" i="32" s="1"/>
  <c r="E156" i="32"/>
  <c r="E155" i="32"/>
  <c r="E154" i="32"/>
  <c r="C153" i="32"/>
  <c r="E152" i="32"/>
  <c r="E151" i="32"/>
  <c r="E150" i="32"/>
  <c r="E149" i="32"/>
  <c r="E153" i="32" s="1"/>
  <c r="E148" i="32"/>
  <c r="C148" i="32"/>
  <c r="E147" i="32"/>
  <c r="E146" i="32"/>
  <c r="C145" i="32"/>
  <c r="E144" i="32"/>
  <c r="E143" i="32"/>
  <c r="E142" i="32"/>
  <c r="E145" i="32" s="1"/>
  <c r="C141" i="32"/>
  <c r="E140" i="32"/>
  <c r="E139" i="32"/>
  <c r="E138" i="32"/>
  <c r="E141" i="32" s="1"/>
  <c r="C137" i="32"/>
  <c r="E136" i="32"/>
  <c r="E135" i="32"/>
  <c r="E137" i="32" s="1"/>
  <c r="C135" i="32"/>
  <c r="E134" i="32"/>
  <c r="E133" i="32"/>
  <c r="C132" i="32"/>
  <c r="E131" i="32"/>
  <c r="E130" i="32"/>
  <c r="E129" i="32"/>
  <c r="E132" i="32" s="1"/>
  <c r="C128" i="32"/>
  <c r="E127" i="32"/>
  <c r="E126" i="32"/>
  <c r="E125" i="32"/>
  <c r="E124" i="32"/>
  <c r="E128" i="32" s="1"/>
  <c r="E123" i="32"/>
  <c r="C123" i="32"/>
  <c r="E122" i="32"/>
  <c r="E121" i="32"/>
  <c r="E120" i="32"/>
  <c r="E119" i="32"/>
  <c r="C118" i="32"/>
  <c r="E117" i="32"/>
  <c r="E116" i="32"/>
  <c r="E115" i="32"/>
  <c r="E114" i="32"/>
  <c r="E118" i="32" s="1"/>
  <c r="C113" i="32"/>
  <c r="E112" i="32"/>
  <c r="E111" i="32"/>
  <c r="E110" i="32"/>
  <c r="E113" i="32" s="1"/>
  <c r="E109" i="32"/>
  <c r="C109" i="32"/>
  <c r="E108" i="32"/>
  <c r="E107" i="32"/>
  <c r="E106" i="32"/>
  <c r="C105" i="32"/>
  <c r="E104" i="32"/>
  <c r="E103" i="32"/>
  <c r="E102" i="32"/>
  <c r="E105" i="32" s="1"/>
  <c r="C101" i="32"/>
  <c r="E100" i="32"/>
  <c r="E99" i="32"/>
  <c r="E98" i="32"/>
  <c r="E101" i="32" s="1"/>
  <c r="E97" i="32"/>
  <c r="C97" i="32"/>
  <c r="E96" i="32"/>
  <c r="E95" i="32"/>
  <c r="E94" i="32"/>
  <c r="C93" i="32"/>
  <c r="E92" i="32"/>
  <c r="E91" i="32"/>
  <c r="E90" i="32"/>
  <c r="E93" i="32" s="1"/>
  <c r="E88" i="32"/>
  <c r="C87" i="32"/>
  <c r="C89" i="32" s="1"/>
  <c r="E86" i="32"/>
  <c r="E85" i="32"/>
  <c r="E84" i="32"/>
  <c r="C84" i="32"/>
  <c r="E83" i="32"/>
  <c r="E82" i="32"/>
  <c r="E81" i="32"/>
  <c r="E80" i="32"/>
  <c r="C79" i="32"/>
  <c r="E78" i="32"/>
  <c r="E77" i="32"/>
  <c r="E76" i="32"/>
  <c r="E79" i="32" s="1"/>
  <c r="C75" i="32"/>
  <c r="E74" i="32"/>
  <c r="E73" i="32"/>
  <c r="E72" i="32"/>
  <c r="E71" i="32"/>
  <c r="E75" i="32" s="1"/>
  <c r="E69" i="32"/>
  <c r="C68" i="32"/>
  <c r="C70" i="32" s="1"/>
  <c r="E67" i="32"/>
  <c r="E66" i="32"/>
  <c r="C64" i="32"/>
  <c r="C65" i="32" s="1"/>
  <c r="E63" i="32"/>
  <c r="E62" i="32"/>
  <c r="E61" i="32"/>
  <c r="E60" i="32"/>
  <c r="C60" i="32"/>
  <c r="E59" i="32"/>
  <c r="E58" i="32"/>
  <c r="C57" i="32"/>
  <c r="E56" i="32"/>
  <c r="E55" i="32"/>
  <c r="E54" i="32"/>
  <c r="E57" i="32" s="1"/>
  <c r="C52" i="32"/>
  <c r="E52" i="32" s="1"/>
  <c r="E51" i="32"/>
  <c r="E50" i="32"/>
  <c r="E49" i="32"/>
  <c r="E48" i="32"/>
  <c r="C48" i="32"/>
  <c r="E47" i="32"/>
  <c r="E46" i="32"/>
  <c r="E45" i="32"/>
  <c r="E44" i="32"/>
  <c r="C42" i="32"/>
  <c r="E42" i="32" s="1"/>
  <c r="E41" i="32"/>
  <c r="C40" i="32"/>
  <c r="C43" i="32" s="1"/>
  <c r="C39" i="32"/>
  <c r="E38" i="32"/>
  <c r="E37" i="32"/>
  <c r="E36" i="32"/>
  <c r="E39" i="32" s="1"/>
  <c r="E35" i="32"/>
  <c r="C34" i="32"/>
  <c r="E33" i="32"/>
  <c r="E32" i="32"/>
  <c r="E31" i="32"/>
  <c r="E34" i="32" s="1"/>
  <c r="C30" i="32"/>
  <c r="E29" i="32"/>
  <c r="E28" i="32"/>
  <c r="E27" i="32"/>
  <c r="E30" i="32" s="1"/>
  <c r="C26" i="32"/>
  <c r="E25" i="32"/>
  <c r="E24" i="32"/>
  <c r="E23" i="32"/>
  <c r="E26" i="32" s="1"/>
  <c r="E22" i="32"/>
  <c r="C21" i="32"/>
  <c r="E20" i="32"/>
  <c r="E19" i="32"/>
  <c r="E18" i="32"/>
  <c r="E17" i="32"/>
  <c r="E21" i="32" s="1"/>
  <c r="C15" i="32"/>
  <c r="C310" i="32" s="1"/>
  <c r="C14" i="32"/>
  <c r="C309" i="32" s="1"/>
  <c r="E13" i="32"/>
  <c r="E12" i="32"/>
  <c r="E11" i="32"/>
  <c r="C11" i="32"/>
  <c r="E10" i="32"/>
  <c r="E9" i="32"/>
  <c r="E8" i="32"/>
  <c r="E7" i="32"/>
  <c r="C6" i="32"/>
  <c r="E5" i="32"/>
  <c r="E4" i="32"/>
  <c r="E3" i="32"/>
  <c r="E308" i="32" s="1"/>
  <c r="E2" i="32"/>
  <c r="E53" i="32" l="1"/>
  <c r="E307" i="32"/>
  <c r="E70" i="32"/>
  <c r="E14" i="32"/>
  <c r="E16" i="32" s="1"/>
  <c r="E87" i="32"/>
  <c r="E89" i="32" s="1"/>
  <c r="E239" i="32"/>
  <c r="E241" i="32" s="1"/>
  <c r="E202" i="32"/>
  <c r="E203" i="32" s="1"/>
  <c r="E40" i="32"/>
  <c r="E43" i="32" s="1"/>
  <c r="C16" i="32"/>
  <c r="C304" i="32" s="1"/>
  <c r="C53" i="32"/>
  <c r="E217" i="32"/>
  <c r="E221" i="32" s="1"/>
  <c r="C307" i="32"/>
  <c r="C311" i="32" s="1"/>
  <c r="E6" i="32"/>
  <c r="E68" i="32"/>
  <c r="E157" i="32"/>
  <c r="E158" i="32" s="1"/>
  <c r="E245" i="32"/>
  <c r="E246" i="32" s="1"/>
  <c r="E249" i="32"/>
  <c r="E251" i="32" s="1"/>
  <c r="E15" i="32"/>
  <c r="E64" i="32"/>
  <c r="E65" i="32" s="1"/>
  <c r="D1" i="24"/>
  <c r="E309" i="32" l="1"/>
  <c r="E310" i="32"/>
  <c r="E311" i="32" s="1"/>
  <c r="E304" i="32"/>
  <c r="D5" i="29" l="1"/>
  <c r="B5" i="29"/>
  <c r="B7" i="29" s="1"/>
  <c r="E4" i="29"/>
  <c r="E5" i="29" l="1"/>
  <c r="E6" i="29" s="1"/>
  <c r="G70" i="28"/>
  <c r="F70" i="28"/>
  <c r="D70" i="28"/>
  <c r="C70" i="28"/>
  <c r="B70" i="28"/>
  <c r="I68" i="28"/>
  <c r="H68" i="28"/>
  <c r="E68" i="28"/>
  <c r="I67" i="28"/>
  <c r="H67" i="28"/>
  <c r="E67" i="28"/>
  <c r="I66" i="28"/>
  <c r="H66" i="28"/>
  <c r="E66" i="28"/>
  <c r="I65" i="28"/>
  <c r="H65" i="28"/>
  <c r="E65" i="28"/>
  <c r="I64" i="28"/>
  <c r="H64" i="28"/>
  <c r="E64" i="28"/>
  <c r="J64" i="28" s="1"/>
  <c r="K64" i="28" s="1"/>
  <c r="I63" i="28"/>
  <c r="H63" i="28"/>
  <c r="E63" i="28"/>
  <c r="J63" i="28" s="1"/>
  <c r="K63" i="28" s="1"/>
  <c r="I62" i="28"/>
  <c r="H62" i="28"/>
  <c r="E62" i="28"/>
  <c r="I61" i="28"/>
  <c r="H61" i="28"/>
  <c r="E61" i="28"/>
  <c r="I60" i="28"/>
  <c r="H60" i="28"/>
  <c r="E60" i="28"/>
  <c r="I59" i="28"/>
  <c r="H59" i="28"/>
  <c r="E59" i="28"/>
  <c r="I58" i="28"/>
  <c r="H58" i="28"/>
  <c r="E58" i="28"/>
  <c r="I57" i="28"/>
  <c r="H57" i="28"/>
  <c r="E57" i="28"/>
  <c r="I56" i="28"/>
  <c r="H56" i="28"/>
  <c r="E56" i="28"/>
  <c r="I55" i="28"/>
  <c r="H55" i="28"/>
  <c r="E55" i="28"/>
  <c r="J55" i="28" s="1"/>
  <c r="K55" i="28" s="1"/>
  <c r="I54" i="28"/>
  <c r="H54" i="28"/>
  <c r="E54" i="28"/>
  <c r="I53" i="28"/>
  <c r="H53" i="28"/>
  <c r="E53" i="28"/>
  <c r="I52" i="28"/>
  <c r="H52" i="28"/>
  <c r="E52" i="28"/>
  <c r="I51" i="28"/>
  <c r="H51" i="28"/>
  <c r="E51" i="28"/>
  <c r="I50" i="28"/>
  <c r="H50" i="28"/>
  <c r="E50" i="28"/>
  <c r="J50" i="28" s="1"/>
  <c r="K50" i="28" s="1"/>
  <c r="I49" i="28"/>
  <c r="H49" i="28"/>
  <c r="E49" i="28"/>
  <c r="I48" i="28"/>
  <c r="H48" i="28"/>
  <c r="E48" i="28"/>
  <c r="J48" i="28" s="1"/>
  <c r="K48" i="28" s="1"/>
  <c r="I47" i="28"/>
  <c r="H47" i="28"/>
  <c r="E47" i="28"/>
  <c r="I46" i="28"/>
  <c r="H46" i="28"/>
  <c r="E46" i="28"/>
  <c r="I45" i="28"/>
  <c r="H45" i="28"/>
  <c r="E45" i="28"/>
  <c r="I44" i="28"/>
  <c r="H44" i="28"/>
  <c r="E44" i="28"/>
  <c r="I43" i="28"/>
  <c r="J43" i="28" s="1"/>
  <c r="K43" i="28" s="1"/>
  <c r="H43" i="28"/>
  <c r="I42" i="28"/>
  <c r="H42" i="28"/>
  <c r="E42" i="28"/>
  <c r="I41" i="28"/>
  <c r="H41" i="28"/>
  <c r="E41" i="28"/>
  <c r="I40" i="28"/>
  <c r="H40" i="28"/>
  <c r="E40" i="28"/>
  <c r="I39" i="28"/>
  <c r="H39" i="28"/>
  <c r="E39" i="28"/>
  <c r="I38" i="28"/>
  <c r="H38" i="28"/>
  <c r="E38" i="28"/>
  <c r="I37" i="28"/>
  <c r="H37" i="28"/>
  <c r="E37" i="28"/>
  <c r="J37" i="28" s="1"/>
  <c r="K37" i="28" s="1"/>
  <c r="I36" i="28"/>
  <c r="H36" i="28"/>
  <c r="E36" i="28"/>
  <c r="J36" i="28" s="1"/>
  <c r="K36" i="28" s="1"/>
  <c r="I35" i="28"/>
  <c r="H35" i="28"/>
  <c r="E35" i="28"/>
  <c r="I34" i="28"/>
  <c r="H34" i="28"/>
  <c r="E34" i="28"/>
  <c r="J34" i="28" s="1"/>
  <c r="K34" i="28" s="1"/>
  <c r="I33" i="28"/>
  <c r="H33" i="28"/>
  <c r="E33" i="28"/>
  <c r="I32" i="28"/>
  <c r="H32" i="28"/>
  <c r="E32" i="28"/>
  <c r="I31" i="28"/>
  <c r="H31" i="28"/>
  <c r="E31" i="28"/>
  <c r="I30" i="28"/>
  <c r="H30" i="28"/>
  <c r="E30" i="28"/>
  <c r="I29" i="28"/>
  <c r="H29" i="28"/>
  <c r="E29" i="28"/>
  <c r="J29" i="28" s="1"/>
  <c r="K29" i="28" s="1"/>
  <c r="I28" i="28"/>
  <c r="H28" i="28"/>
  <c r="E28" i="28"/>
  <c r="I27" i="28"/>
  <c r="H27" i="28"/>
  <c r="E27" i="28"/>
  <c r="I26" i="28"/>
  <c r="J26" i="28" s="1"/>
  <c r="K26" i="28" s="1"/>
  <c r="H26" i="28"/>
  <c r="E26" i="28"/>
  <c r="I25" i="28"/>
  <c r="H25" i="28"/>
  <c r="E25" i="28"/>
  <c r="I24" i="28"/>
  <c r="H24" i="28"/>
  <c r="E24" i="28"/>
  <c r="I23" i="28"/>
  <c r="H23" i="28"/>
  <c r="E23" i="28"/>
  <c r="I22" i="28"/>
  <c r="H22" i="28"/>
  <c r="E22" i="28"/>
  <c r="I21" i="28"/>
  <c r="H21" i="28"/>
  <c r="E21" i="28"/>
  <c r="I20" i="28"/>
  <c r="H20" i="28"/>
  <c r="E20" i="28"/>
  <c r="J20" i="28" s="1"/>
  <c r="K20" i="28" s="1"/>
  <c r="I19" i="28"/>
  <c r="H19" i="28"/>
  <c r="E19" i="28"/>
  <c r="I18" i="28"/>
  <c r="H18" i="28"/>
  <c r="E18" i="28"/>
  <c r="I17" i="28"/>
  <c r="H17" i="28"/>
  <c r="E17" i="28"/>
  <c r="I16" i="28"/>
  <c r="H16" i="28"/>
  <c r="E16" i="28"/>
  <c r="I15" i="28"/>
  <c r="H15" i="28"/>
  <c r="E15" i="28"/>
  <c r="I14" i="28"/>
  <c r="H14" i="28"/>
  <c r="E14" i="28"/>
  <c r="I13" i="28"/>
  <c r="H13" i="28"/>
  <c r="E13" i="28"/>
  <c r="I12" i="28"/>
  <c r="H12" i="28"/>
  <c r="E12" i="28"/>
  <c r="I11" i="28"/>
  <c r="H11" i="28"/>
  <c r="E11" i="28"/>
  <c r="I10" i="28"/>
  <c r="H10" i="28"/>
  <c r="E10" i="28"/>
  <c r="I9" i="28"/>
  <c r="H9" i="28"/>
  <c r="E9" i="28"/>
  <c r="I8" i="28"/>
  <c r="H8" i="28"/>
  <c r="E8" i="28"/>
  <c r="I7" i="28"/>
  <c r="H7" i="28"/>
  <c r="E7" i="28"/>
  <c r="I6" i="28"/>
  <c r="H6" i="28"/>
  <c r="E6" i="28"/>
  <c r="I5" i="28"/>
  <c r="H5" i="28"/>
  <c r="E5" i="28"/>
  <c r="I4" i="28"/>
  <c r="H4" i="28"/>
  <c r="E4" i="28"/>
  <c r="I3" i="28"/>
  <c r="H3" i="28"/>
  <c r="E3" i="28"/>
  <c r="I2" i="28"/>
  <c r="H2" i="28"/>
  <c r="E2" i="28"/>
  <c r="J2" i="28" s="1"/>
  <c r="J44" i="28" l="1"/>
  <c r="K44" i="28" s="1"/>
  <c r="J60" i="28"/>
  <c r="K60" i="28" s="1"/>
  <c r="J24" i="28"/>
  <c r="K24" i="28" s="1"/>
  <c r="J40" i="28"/>
  <c r="K40" i="28" s="1"/>
  <c r="J19" i="28"/>
  <c r="K19" i="28" s="1"/>
  <c r="J35" i="28"/>
  <c r="K35" i="28" s="1"/>
  <c r="J56" i="28"/>
  <c r="K56" i="28" s="1"/>
  <c r="J62" i="28"/>
  <c r="K62" i="28" s="1"/>
  <c r="J52" i="28"/>
  <c r="K52" i="28" s="1"/>
  <c r="J58" i="28"/>
  <c r="K58" i="28" s="1"/>
  <c r="J10" i="28"/>
  <c r="K10" i="28" s="1"/>
  <c r="J6" i="28"/>
  <c r="K6" i="28" s="1"/>
  <c r="J4" i="28"/>
  <c r="K4" i="28" s="1"/>
  <c r="J45" i="28"/>
  <c r="K45" i="28" s="1"/>
  <c r="J66" i="28"/>
  <c r="K66" i="28" s="1"/>
  <c r="J39" i="28"/>
  <c r="K39" i="28" s="1"/>
  <c r="J67" i="28"/>
  <c r="K67" i="28" s="1"/>
  <c r="J16" i="28"/>
  <c r="K16" i="28" s="1"/>
  <c r="J17" i="28"/>
  <c r="K17" i="28" s="1"/>
  <c r="J22" i="28"/>
  <c r="K22" i="28" s="1"/>
  <c r="J31" i="28"/>
  <c r="K31" i="28" s="1"/>
  <c r="J42" i="28"/>
  <c r="K42" i="28" s="1"/>
  <c r="J47" i="28"/>
  <c r="K47" i="28" s="1"/>
  <c r="J68" i="28"/>
  <c r="K68" i="28" s="1"/>
  <c r="J7" i="28"/>
  <c r="K7" i="28" s="1"/>
  <c r="J12" i="28"/>
  <c r="K12" i="28" s="1"/>
  <c r="J18" i="28"/>
  <c r="K18" i="28" s="1"/>
  <c r="J13" i="28"/>
  <c r="K13" i="28" s="1"/>
  <c r="J38" i="28"/>
  <c r="K38" i="28" s="1"/>
  <c r="J3" i="28"/>
  <c r="K3" i="28" s="1"/>
  <c r="J61" i="28"/>
  <c r="K61" i="28" s="1"/>
  <c r="J8" i="28"/>
  <c r="K8" i="28" s="1"/>
  <c r="J32" i="28"/>
  <c r="K32" i="28" s="1"/>
  <c r="J9" i="28"/>
  <c r="K9" i="28" s="1"/>
  <c r="J33" i="28"/>
  <c r="K33" i="28" s="1"/>
  <c r="J53" i="28"/>
  <c r="K53" i="28" s="1"/>
  <c r="J57" i="28"/>
  <c r="K57" i="28" s="1"/>
  <c r="J27" i="28"/>
  <c r="K27" i="28" s="1"/>
  <c r="J23" i="28"/>
  <c r="K23" i="28" s="1"/>
  <c r="J28" i="28"/>
  <c r="K28" i="28" s="1"/>
  <c r="J54" i="28"/>
  <c r="K54" i="28" s="1"/>
  <c r="J5" i="28"/>
  <c r="K5" i="28" s="1"/>
  <c r="J14" i="28"/>
  <c r="K14" i="28" s="1"/>
  <c r="J49" i="28"/>
  <c r="K49" i="28" s="1"/>
  <c r="J25" i="28"/>
  <c r="K25" i="28" s="1"/>
  <c r="J59" i="28"/>
  <c r="K59" i="28" s="1"/>
  <c r="E70" i="28"/>
  <c r="J11" i="28"/>
  <c r="K11" i="28" s="1"/>
  <c r="J21" i="28"/>
  <c r="K21" i="28" s="1"/>
  <c r="J30" i="28"/>
  <c r="K30" i="28" s="1"/>
  <c r="J46" i="28"/>
  <c r="K46" i="28" s="1"/>
  <c r="J15" i="28"/>
  <c r="K15" i="28" s="1"/>
  <c r="H70" i="28"/>
  <c r="J41" i="28"/>
  <c r="K41" i="28" s="1"/>
  <c r="J51" i="28"/>
  <c r="K51" i="28" s="1"/>
  <c r="I70" i="28"/>
  <c r="J65" i="28"/>
  <c r="K65" i="28" s="1"/>
  <c r="K72" i="28"/>
  <c r="K2" i="28"/>
  <c r="J70" i="28" l="1"/>
  <c r="I73" i="28"/>
  <c r="I72" i="28"/>
  <c r="I74" i="28" s="1"/>
  <c r="K73" i="28"/>
  <c r="D76" i="27" l="1"/>
  <c r="D70" i="27"/>
  <c r="D60" i="27"/>
  <c r="D44" i="27"/>
  <c r="D40" i="27"/>
  <c r="D28" i="27"/>
  <c r="D12" i="27"/>
  <c r="C80" i="27" l="1"/>
  <c r="D47" i="27"/>
  <c r="D63" i="27"/>
  <c r="D16" i="27"/>
  <c r="D32" i="27"/>
  <c r="D48" i="27"/>
  <c r="D64" i="27"/>
  <c r="D17" i="27"/>
  <c r="D33" i="27"/>
  <c r="D49" i="27"/>
  <c r="D18" i="27"/>
  <c r="D34" i="27"/>
  <c r="D50" i="27"/>
  <c r="D66" i="27"/>
  <c r="D35" i="27"/>
  <c r="D67" i="27"/>
  <c r="D4" i="27"/>
  <c r="D20" i="27"/>
  <c r="D36" i="27"/>
  <c r="D52" i="27"/>
  <c r="D68" i="27"/>
  <c r="C78" i="27"/>
  <c r="D15" i="27"/>
  <c r="D3" i="27"/>
  <c r="D80" i="27" s="1"/>
  <c r="D5" i="27"/>
  <c r="D21" i="27"/>
  <c r="D37" i="27"/>
  <c r="D53" i="27"/>
  <c r="D69" i="27"/>
  <c r="D13" i="27"/>
  <c r="D29" i="27"/>
  <c r="D45" i="27"/>
  <c r="D61" i="27"/>
  <c r="D14" i="27"/>
  <c r="D30" i="27"/>
  <c r="D46" i="27"/>
  <c r="D62" i="27"/>
  <c r="D6" i="27"/>
  <c r="D22" i="27"/>
  <c r="D38" i="27"/>
  <c r="D54" i="27"/>
  <c r="D23" i="27"/>
  <c r="D39" i="27"/>
  <c r="D55" i="27"/>
  <c r="D57" i="27"/>
  <c r="D73" i="27"/>
  <c r="D10" i="27"/>
  <c r="D26" i="27"/>
  <c r="D42" i="27"/>
  <c r="D58" i="27"/>
  <c r="D74" i="27"/>
  <c r="D11" i="27"/>
  <c r="D27" i="27"/>
  <c r="D43" i="27"/>
  <c r="D59" i="27"/>
  <c r="D75" i="27"/>
  <c r="D8" i="27"/>
  <c r="D24" i="27"/>
  <c r="D56" i="27"/>
  <c r="D72" i="27"/>
  <c r="D9" i="27"/>
  <c r="D25" i="27"/>
  <c r="M71" i="26" l="1"/>
  <c r="Q71" i="26" l="1"/>
  <c r="K71" i="26"/>
  <c r="N71" i="26"/>
  <c r="I71" i="26"/>
  <c r="O71" i="26"/>
  <c r="H71" i="26"/>
  <c r="G71" i="26"/>
  <c r="G73" i="26" s="1"/>
  <c r="F71" i="26"/>
  <c r="P69" i="26"/>
  <c r="R69" i="26" s="1"/>
  <c r="T69" i="26" s="1"/>
  <c r="P68" i="26"/>
  <c r="R68" i="26" s="1"/>
  <c r="P67" i="26"/>
  <c r="R67" i="26" s="1"/>
  <c r="P66" i="26"/>
  <c r="R66" i="26" s="1"/>
  <c r="P65" i="26"/>
  <c r="R65" i="26" s="1"/>
  <c r="T65" i="26" s="1"/>
  <c r="P64" i="26"/>
  <c r="R64" i="26" s="1"/>
  <c r="P63" i="26"/>
  <c r="R63" i="26" s="1"/>
  <c r="T63" i="26" s="1"/>
  <c r="P62" i="26"/>
  <c r="R62" i="26" s="1"/>
  <c r="P61" i="26"/>
  <c r="R61" i="26" s="1"/>
  <c r="T61" i="26" s="1"/>
  <c r="P60" i="26"/>
  <c r="R60" i="26" s="1"/>
  <c r="P59" i="26"/>
  <c r="R59" i="26" s="1"/>
  <c r="T59" i="26" s="1"/>
  <c r="P58" i="26"/>
  <c r="R58" i="26" s="1"/>
  <c r="P57" i="26"/>
  <c r="R57" i="26" s="1"/>
  <c r="T57" i="26" s="1"/>
  <c r="R56" i="26"/>
  <c r="P55" i="26"/>
  <c r="R55" i="26" s="1"/>
  <c r="T55" i="26" s="1"/>
  <c r="P54" i="26"/>
  <c r="R54" i="26" s="1"/>
  <c r="P53" i="26"/>
  <c r="R53" i="26" s="1"/>
  <c r="T53" i="26" s="1"/>
  <c r="P52" i="26"/>
  <c r="R52" i="26" s="1"/>
  <c r="P51" i="26"/>
  <c r="R51" i="26" s="1"/>
  <c r="T51" i="26" s="1"/>
  <c r="P50" i="26"/>
  <c r="R50" i="26" s="1"/>
  <c r="P49" i="26"/>
  <c r="R49" i="26" s="1"/>
  <c r="T49" i="26" s="1"/>
  <c r="P48" i="26"/>
  <c r="R48" i="26" s="1"/>
  <c r="P47" i="26"/>
  <c r="R47" i="26" s="1"/>
  <c r="T47" i="26" s="1"/>
  <c r="P46" i="26"/>
  <c r="R46" i="26" s="1"/>
  <c r="P45" i="26"/>
  <c r="R45" i="26" s="1"/>
  <c r="T45" i="26" s="1"/>
  <c r="P44" i="26"/>
  <c r="R44" i="26" s="1"/>
  <c r="P43" i="26"/>
  <c r="R43" i="26" s="1"/>
  <c r="T43" i="26" s="1"/>
  <c r="P42" i="26"/>
  <c r="R42" i="26" s="1"/>
  <c r="P41" i="26"/>
  <c r="R41" i="26" s="1"/>
  <c r="T41" i="26" s="1"/>
  <c r="P40" i="26"/>
  <c r="R40" i="26" s="1"/>
  <c r="P39" i="26"/>
  <c r="R39" i="26" s="1"/>
  <c r="T39" i="26" s="1"/>
  <c r="P38" i="26"/>
  <c r="R38" i="26" s="1"/>
  <c r="P37" i="26"/>
  <c r="R37" i="26" s="1"/>
  <c r="T37" i="26" s="1"/>
  <c r="P36" i="26"/>
  <c r="R36" i="26" s="1"/>
  <c r="P35" i="26"/>
  <c r="R35" i="26" s="1"/>
  <c r="T35" i="26" s="1"/>
  <c r="P34" i="26"/>
  <c r="R34" i="26" s="1"/>
  <c r="P33" i="26"/>
  <c r="R33" i="26" s="1"/>
  <c r="T33" i="26" s="1"/>
  <c r="P32" i="26"/>
  <c r="R32" i="26" s="1"/>
  <c r="R31" i="26"/>
  <c r="T31" i="26" s="1"/>
  <c r="P30" i="26"/>
  <c r="R30" i="26" s="1"/>
  <c r="P29" i="26"/>
  <c r="R29" i="26" s="1"/>
  <c r="T29" i="26" s="1"/>
  <c r="P28" i="26"/>
  <c r="R28" i="26" s="1"/>
  <c r="P27" i="26"/>
  <c r="R27" i="26" s="1"/>
  <c r="T27" i="26" s="1"/>
  <c r="P26" i="26"/>
  <c r="R26" i="26" s="1"/>
  <c r="P25" i="26"/>
  <c r="R25" i="26" s="1"/>
  <c r="T25" i="26" s="1"/>
  <c r="P24" i="26"/>
  <c r="R24" i="26" s="1"/>
  <c r="P23" i="26"/>
  <c r="R23" i="26" s="1"/>
  <c r="T23" i="26" s="1"/>
  <c r="P22" i="26"/>
  <c r="R22" i="26" s="1"/>
  <c r="P21" i="26"/>
  <c r="R21" i="26" s="1"/>
  <c r="T21" i="26" s="1"/>
  <c r="P20" i="26"/>
  <c r="R20" i="26" s="1"/>
  <c r="P19" i="26"/>
  <c r="R19" i="26" s="1"/>
  <c r="T19" i="26" s="1"/>
  <c r="P18" i="26"/>
  <c r="R18" i="26" s="1"/>
  <c r="P17" i="26"/>
  <c r="R17" i="26" s="1"/>
  <c r="T17" i="26" s="1"/>
  <c r="P16" i="26"/>
  <c r="R16" i="26" s="1"/>
  <c r="P15" i="26"/>
  <c r="R15" i="26" s="1"/>
  <c r="T15" i="26" s="1"/>
  <c r="P14" i="26"/>
  <c r="R14" i="26" s="1"/>
  <c r="P13" i="26"/>
  <c r="R13" i="26" s="1"/>
  <c r="T13" i="26" s="1"/>
  <c r="P12" i="26"/>
  <c r="R12" i="26" s="1"/>
  <c r="P11" i="26"/>
  <c r="R11" i="26" s="1"/>
  <c r="T11" i="26" s="1"/>
  <c r="P10" i="26"/>
  <c r="R10" i="26" s="1"/>
  <c r="P9" i="26"/>
  <c r="R9" i="26" s="1"/>
  <c r="T9" i="26" s="1"/>
  <c r="P8" i="26"/>
  <c r="R8" i="26" s="1"/>
  <c r="P7" i="26"/>
  <c r="R7" i="26" s="1"/>
  <c r="T7" i="26" s="1"/>
  <c r="P6" i="26"/>
  <c r="R6" i="26" s="1"/>
  <c r="P5" i="26"/>
  <c r="R5" i="26" s="1"/>
  <c r="T5" i="26" s="1"/>
  <c r="P4" i="26"/>
  <c r="R4" i="26" s="1"/>
  <c r="P3" i="26"/>
  <c r="B5" i="8"/>
  <c r="S64" i="26" l="1"/>
  <c r="T64" i="26"/>
  <c r="S14" i="26"/>
  <c r="T14" i="26"/>
  <c r="S32" i="26"/>
  <c r="T32" i="26"/>
  <c r="S68" i="26"/>
  <c r="T68" i="26"/>
  <c r="S62" i="26"/>
  <c r="T62" i="26"/>
  <c r="S54" i="26"/>
  <c r="T54" i="26"/>
  <c r="S46" i="26"/>
  <c r="T46" i="26"/>
  <c r="S4" i="26"/>
  <c r="T4" i="26"/>
  <c r="S16" i="26"/>
  <c r="T16" i="26"/>
  <c r="S18" i="26"/>
  <c r="T18" i="26"/>
  <c r="S20" i="26"/>
  <c r="T20" i="26"/>
  <c r="S24" i="26"/>
  <c r="T24" i="26"/>
  <c r="S40" i="26"/>
  <c r="T40" i="26"/>
  <c r="S56" i="26"/>
  <c r="T56" i="26"/>
  <c r="S50" i="26"/>
  <c r="T50" i="26"/>
  <c r="S48" i="26"/>
  <c r="T48" i="26"/>
  <c r="S52" i="26"/>
  <c r="T52" i="26"/>
  <c r="T42" i="26"/>
  <c r="S42" i="26"/>
  <c r="S58" i="26"/>
  <c r="T58" i="26"/>
  <c r="S34" i="26"/>
  <c r="T34" i="26"/>
  <c r="S10" i="26"/>
  <c r="T10" i="26"/>
  <c r="S12" i="26"/>
  <c r="T12" i="26"/>
  <c r="S28" i="26"/>
  <c r="T28" i="26"/>
  <c r="S60" i="26"/>
  <c r="T60" i="26"/>
  <c r="S30" i="26"/>
  <c r="T30" i="26"/>
  <c r="S36" i="26"/>
  <c r="T36" i="26"/>
  <c r="S38" i="26"/>
  <c r="T38" i="26"/>
  <c r="S26" i="26"/>
  <c r="T26" i="26"/>
  <c r="S66" i="26"/>
  <c r="T66" i="26"/>
  <c r="S22" i="26"/>
  <c r="T22" i="26"/>
  <c r="S8" i="26"/>
  <c r="T8" i="26"/>
  <c r="S6" i="26"/>
  <c r="T6" i="26"/>
  <c r="S44" i="26"/>
  <c r="T44" i="26"/>
  <c r="P71" i="26"/>
  <c r="P73" i="26" s="1"/>
  <c r="S49" i="26"/>
  <c r="S11" i="26"/>
  <c r="S27" i="26"/>
  <c r="S51" i="26"/>
  <c r="S67" i="26"/>
  <c r="S59" i="26"/>
  <c r="S17" i="26"/>
  <c r="S33" i="26"/>
  <c r="S57" i="26"/>
  <c r="S35" i="26"/>
  <c r="S13" i="26"/>
  <c r="S21" i="26"/>
  <c r="S29" i="26"/>
  <c r="S37" i="26"/>
  <c r="S45" i="26"/>
  <c r="S53" i="26"/>
  <c r="S69" i="26"/>
  <c r="S9" i="26"/>
  <c r="S41" i="26"/>
  <c r="S61" i="26"/>
  <c r="S25" i="26"/>
  <c r="S65" i="26"/>
  <c r="S19" i="26"/>
  <c r="S43" i="26"/>
  <c r="S5" i="26"/>
  <c r="S7" i="26"/>
  <c r="S15" i="26"/>
  <c r="S23" i="26"/>
  <c r="S31" i="26"/>
  <c r="S39" i="26"/>
  <c r="S47" i="26"/>
  <c r="S55" i="26"/>
  <c r="S63" i="26"/>
  <c r="R3" i="26"/>
  <c r="T3" i="26" s="1"/>
  <c r="S3" i="26" l="1"/>
  <c r="R71" i="26"/>
  <c r="C71" i="24"/>
  <c r="D71" i="24"/>
  <c r="B8" i="8" l="1"/>
  <c r="B13" i="8" l="1"/>
  <c r="B14" i="8" s="1"/>
  <c r="E61" i="24" l="1"/>
  <c r="E4" i="24"/>
  <c r="E40" i="24"/>
  <c r="E62" i="24"/>
  <c r="E6" i="24"/>
  <c r="E18" i="24"/>
  <c r="E31" i="24"/>
  <c r="E43" i="24"/>
  <c r="E56" i="24"/>
  <c r="E67" i="24"/>
  <c r="E27" i="24"/>
  <c r="E7" i="24"/>
  <c r="E19" i="24"/>
  <c r="E32" i="24"/>
  <c r="E46" i="24"/>
  <c r="E58" i="24"/>
  <c r="E15" i="24"/>
  <c r="E8" i="24"/>
  <c r="E22" i="24"/>
  <c r="E34" i="24"/>
  <c r="E47" i="24"/>
  <c r="E64" i="24"/>
  <c r="E10" i="24"/>
  <c r="E23" i="24"/>
  <c r="E35" i="24"/>
  <c r="E48" i="24"/>
  <c r="E59" i="24"/>
  <c r="E11" i="24"/>
  <c r="E24" i="24"/>
  <c r="E38" i="24"/>
  <c r="E50" i="24"/>
  <c r="E54" i="24"/>
  <c r="E14" i="24"/>
  <c r="E26" i="24"/>
  <c r="E39" i="24"/>
  <c r="E51" i="24"/>
  <c r="E63" i="24"/>
  <c r="E3" i="24"/>
  <c r="E16" i="24"/>
  <c r="E30" i="24"/>
  <c r="E42" i="24"/>
  <c r="E55" i="24"/>
  <c r="E66" i="24"/>
  <c r="E69" i="24"/>
  <c r="E29" i="24"/>
  <c r="E65" i="24"/>
  <c r="E33" i="24"/>
  <c r="E49" i="24"/>
  <c r="E60" i="24"/>
  <c r="E28" i="24"/>
  <c r="E45" i="24"/>
  <c r="E17" i="24"/>
  <c r="E68" i="24"/>
  <c r="E53" i="24"/>
  <c r="E21" i="24"/>
  <c r="E57" i="24"/>
  <c r="E25" i="24"/>
  <c r="E36" i="24"/>
  <c r="E52" i="24"/>
  <c r="E20" i="24"/>
  <c r="E13" i="24"/>
  <c r="E44" i="24"/>
  <c r="E12" i="24"/>
  <c r="E9" i="24"/>
  <c r="E37" i="24"/>
  <c r="E5" i="24"/>
  <c r="E41" i="24"/>
  <c r="F55" i="24" l="1"/>
  <c r="G55" i="24"/>
  <c r="F26" i="24"/>
  <c r="G26" i="24"/>
  <c r="F67" i="24"/>
  <c r="G67" i="24"/>
  <c r="F9" i="24"/>
  <c r="G9" i="24"/>
  <c r="G57" i="24"/>
  <c r="F57" i="24"/>
  <c r="F49" i="24"/>
  <c r="G49" i="24"/>
  <c r="F30" i="24"/>
  <c r="G30" i="24"/>
  <c r="F54" i="24"/>
  <c r="G54" i="24"/>
  <c r="F23" i="24"/>
  <c r="G23" i="24"/>
  <c r="F58" i="24"/>
  <c r="G58" i="24"/>
  <c r="F43" i="24"/>
  <c r="G43" i="24"/>
  <c r="G12" i="24"/>
  <c r="F12" i="24"/>
  <c r="G21" i="24"/>
  <c r="F21" i="24"/>
  <c r="G33" i="24"/>
  <c r="F33" i="24"/>
  <c r="F16" i="24"/>
  <c r="G16" i="24"/>
  <c r="F50" i="24"/>
  <c r="G50" i="24"/>
  <c r="F10" i="24"/>
  <c r="G10" i="24"/>
  <c r="F46" i="24"/>
  <c r="G46" i="24"/>
  <c r="F31" i="24"/>
  <c r="G31" i="24"/>
  <c r="F36" i="24"/>
  <c r="G36" i="24"/>
  <c r="G65" i="24"/>
  <c r="F65" i="24"/>
  <c r="F38" i="24"/>
  <c r="G38" i="24"/>
  <c r="F64" i="24"/>
  <c r="G64" i="24"/>
  <c r="F32" i="24"/>
  <c r="G32" i="24"/>
  <c r="F18" i="24"/>
  <c r="G18" i="24"/>
  <c r="G53" i="24"/>
  <c r="F53" i="24"/>
  <c r="G13" i="24"/>
  <c r="F13" i="24"/>
  <c r="F63" i="24"/>
  <c r="G63" i="24"/>
  <c r="F6" i="24"/>
  <c r="G6" i="24"/>
  <c r="F24" i="24"/>
  <c r="G24" i="24"/>
  <c r="G20" i="24"/>
  <c r="F20" i="24"/>
  <c r="F17" i="24"/>
  <c r="G17" i="24"/>
  <c r="F69" i="24"/>
  <c r="G69" i="24"/>
  <c r="F51" i="24"/>
  <c r="G51" i="24"/>
  <c r="F11" i="24"/>
  <c r="G11" i="24"/>
  <c r="F34" i="24"/>
  <c r="G34" i="24"/>
  <c r="F7" i="24"/>
  <c r="G7" i="24"/>
  <c r="F62" i="24"/>
  <c r="G62" i="24"/>
  <c r="F28" i="24"/>
  <c r="G28" i="24"/>
  <c r="F44" i="24"/>
  <c r="G44" i="24"/>
  <c r="F3" i="24"/>
  <c r="G3" i="24"/>
  <c r="E71" i="24"/>
  <c r="F68" i="24"/>
  <c r="G68" i="24"/>
  <c r="G29" i="24"/>
  <c r="F29" i="24"/>
  <c r="F47" i="24"/>
  <c r="G47" i="24"/>
  <c r="F19" i="24"/>
  <c r="G19" i="24"/>
  <c r="G41" i="24"/>
  <c r="F41" i="24"/>
  <c r="F52" i="24"/>
  <c r="G52" i="24"/>
  <c r="G45" i="24"/>
  <c r="F45" i="24"/>
  <c r="F66" i="24"/>
  <c r="G66" i="24"/>
  <c r="F39" i="24"/>
  <c r="G39" i="24"/>
  <c r="F59" i="24"/>
  <c r="G59" i="24"/>
  <c r="F22" i="24"/>
  <c r="G22" i="24"/>
  <c r="F27" i="24"/>
  <c r="G27" i="24"/>
  <c r="F40" i="24"/>
  <c r="G40" i="24"/>
  <c r="G5" i="24"/>
  <c r="F5" i="24"/>
  <c r="F48" i="24"/>
  <c r="G48" i="24"/>
  <c r="F8" i="24"/>
  <c r="G8" i="24"/>
  <c r="F4" i="24"/>
  <c r="G4" i="24"/>
  <c r="G37" i="24"/>
  <c r="F37" i="24"/>
  <c r="G25" i="24"/>
  <c r="F25" i="24"/>
  <c r="F60" i="24"/>
  <c r="G60" i="24"/>
  <c r="F42" i="24"/>
  <c r="G42" i="24"/>
  <c r="F14" i="24"/>
  <c r="G14" i="24"/>
  <c r="F35" i="24"/>
  <c r="G35" i="24"/>
  <c r="F15" i="24"/>
  <c r="G15" i="24"/>
  <c r="F56" i="24"/>
  <c r="G56" i="24"/>
  <c r="G61" i="24"/>
  <c r="F61" i="24"/>
  <c r="G71" i="24" l="1"/>
  <c r="G73" i="24"/>
  <c r="F71" i="24"/>
</calcChain>
</file>

<file path=xl/sharedStrings.xml><?xml version="1.0" encoding="utf-8"?>
<sst xmlns="http://schemas.openxmlformats.org/spreadsheetml/2006/main" count="1136" uniqueCount="244">
  <si>
    <t>County</t>
  </si>
  <si>
    <t>Calhoun</t>
  </si>
  <si>
    <t>Lafayette</t>
  </si>
  <si>
    <t>Liberty</t>
  </si>
  <si>
    <t>Union</t>
  </si>
  <si>
    <t>Baker</t>
  </si>
  <si>
    <t>Dixie</t>
  </si>
  <si>
    <t>Franklin</t>
  </si>
  <si>
    <t>Gilchrist</t>
  </si>
  <si>
    <t>Glades</t>
  </si>
  <si>
    <t>Gulf</t>
  </si>
  <si>
    <t>Hamilton</t>
  </si>
  <si>
    <t>Holmes</t>
  </si>
  <si>
    <t>Jefferson</t>
  </si>
  <si>
    <t>Taylor</t>
  </si>
  <si>
    <t>Washington</t>
  </si>
  <si>
    <t>Bradford</t>
  </si>
  <si>
    <t>DeSoto</t>
  </si>
  <si>
    <t>Gadsden</t>
  </si>
  <si>
    <t>Hardee</t>
  </si>
  <si>
    <t>Hendry</t>
  </si>
  <si>
    <t>Jackson</t>
  </si>
  <si>
    <t>Levy</t>
  </si>
  <si>
    <t>Madison</t>
  </si>
  <si>
    <t>Okeechobee</t>
  </si>
  <si>
    <t>Suwannee</t>
  </si>
  <si>
    <t>Wakulla</t>
  </si>
  <si>
    <t>Citrus</t>
  </si>
  <si>
    <t>Columbia</t>
  </si>
  <si>
    <t>Flagler</t>
  </si>
  <si>
    <t>Highlands</t>
  </si>
  <si>
    <t>Indian River</t>
  </si>
  <si>
    <t>Nassau</t>
  </si>
  <si>
    <t>Putnam</t>
  </si>
  <si>
    <t>Sumter</t>
  </si>
  <si>
    <t>Walton</t>
  </si>
  <si>
    <t>Alachua</t>
  </si>
  <si>
    <t>Charlotte</t>
  </si>
  <si>
    <t>Clay</t>
  </si>
  <si>
    <t>Hernando</t>
  </si>
  <si>
    <t>Martin</t>
  </si>
  <si>
    <t>Monroe</t>
  </si>
  <si>
    <t>Okaloosa</t>
  </si>
  <si>
    <t>Saint Johns</t>
  </si>
  <si>
    <t>Santa Rosa</t>
  </si>
  <si>
    <t>Bay</t>
  </si>
  <si>
    <t>Brevard</t>
  </si>
  <si>
    <t>Collier</t>
  </si>
  <si>
    <t>Escambia</t>
  </si>
  <si>
    <t>Lake</t>
  </si>
  <si>
    <t>Leon</t>
  </si>
  <si>
    <t>Manatee</t>
  </si>
  <si>
    <t>Marion</t>
  </si>
  <si>
    <t>Osceola</t>
  </si>
  <si>
    <t>Pasco</t>
  </si>
  <si>
    <t>Saint Lucie</t>
  </si>
  <si>
    <t>Sarasota</t>
  </si>
  <si>
    <t>Seminole</t>
  </si>
  <si>
    <t>Duval</t>
  </si>
  <si>
    <t>Lee</t>
  </si>
  <si>
    <t>Pinellas</t>
  </si>
  <si>
    <t>Polk</t>
  </si>
  <si>
    <t>Volusia</t>
  </si>
  <si>
    <t>Broward</t>
  </si>
  <si>
    <t>Hillsborough</t>
  </si>
  <si>
    <t>Miami-Dade</t>
  </si>
  <si>
    <t>Orange</t>
  </si>
  <si>
    <t>Palm Beach</t>
  </si>
  <si>
    <t>STATEWIDE TOTAL</t>
  </si>
  <si>
    <t>Calculation Line</t>
  </si>
  <si>
    <t>Budget Issues Increase</t>
  </si>
  <si>
    <t>New Revenue Summary</t>
  </si>
  <si>
    <t>CFY 2021-22 Revenue-Limited Budget</t>
  </si>
  <si>
    <t>Peer
Group</t>
  </si>
  <si>
    <t>TOTAL</t>
  </si>
  <si>
    <t>Difference</t>
  </si>
  <si>
    <t>Percentage of Total Budget</t>
  </si>
  <si>
    <t>CFY 2022-23 Revenue-Limited Budget</t>
  </si>
  <si>
    <t>CFY 2021-22
Revenue-Limited Budget</t>
  </si>
  <si>
    <t>Net Budget Increase</t>
  </si>
  <si>
    <t>ADDITIONAL FUNDING ISSUE REQUESTS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</si>
  <si>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Budget Reduction Issues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</si>
  <si>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Benefits/ COLA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</si>
  <si>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Cost Shifts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</si>
  <si>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Other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</si>
  <si>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Compliance Issues</t>
    </r>
  </si>
  <si>
    <t>CFY 2022-23 Total Requested Budget</t>
  </si>
  <si>
    <t>TOTAL 
Funding 
Issues
Requested</t>
  </si>
  <si>
    <t>TOTAL 
FTE Requested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</si>
  <si>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IT Funded from CCOC</t>
    </r>
  </si>
  <si>
    <r>
      <t xml:space="preserve">   * </t>
    </r>
    <r>
      <rPr>
        <i/>
        <u/>
        <sz val="16"/>
        <color theme="1"/>
        <rFont val="Franklin Gothic Book"/>
        <family val="2"/>
      </rPr>
      <t>updated [1/31/22]</t>
    </r>
  </si>
  <si>
    <t>Budget Comparison to the Peer Group Average</t>
  </si>
  <si>
    <t>Peer Groups</t>
  </si>
  <si>
    <t>Peer Group 1 Average</t>
  </si>
  <si>
    <t>Peer Group 2 Average</t>
  </si>
  <si>
    <t>2 Average</t>
  </si>
  <si>
    <t>Peer Group 3 Average</t>
  </si>
  <si>
    <t>Peer Group 4 Average</t>
  </si>
  <si>
    <t>Peer Group 5 Average</t>
  </si>
  <si>
    <t>Peer Group 6 Average</t>
  </si>
  <si>
    <t>Peer Group 7 Average</t>
  </si>
  <si>
    <t>Peer Group 8 Average</t>
  </si>
  <si>
    <t>Grand Average</t>
  </si>
  <si>
    <t xml:space="preserve">Grand Total </t>
  </si>
  <si>
    <t>Received from TF
(Sep 20-Aug 21)
(EC Report)</t>
  </si>
  <si>
    <t>CCOC Revenues
(Sep 20-Aug 21)
(EC Report)</t>
  </si>
  <si>
    <t>Total 
Revenues
for Settle-Up</t>
  </si>
  <si>
    <t>Excess Revenue Sent to the TF 
(Oct 20-Sep 21)
(DOR Report)</t>
  </si>
  <si>
    <t>CCOC Expenditures
(Oct 20-Sep 21)
(EC Report)</t>
  </si>
  <si>
    <t>Unspent 
Budgeted 
Funds</t>
  </si>
  <si>
    <t>Total Expenditures
for Settle-Up
(EC Report)</t>
  </si>
  <si>
    <t>CFY 20-21
Settle-Up
Calculation</t>
  </si>
  <si>
    <t>Due To
(Due From) TF</t>
  </si>
  <si>
    <t>Statewide</t>
  </si>
  <si>
    <t>Due From TF</t>
  </si>
  <si>
    <t>Due To TF</t>
  </si>
  <si>
    <t xml:space="preserve">Final Spending Authority </t>
  </si>
  <si>
    <t>Actuals</t>
  </si>
  <si>
    <t>Revenue Summary Used to Build CFY 2021-22</t>
  </si>
  <si>
    <r>
      <t xml:space="preserve">Unspent Budgeted Funds </t>
    </r>
    <r>
      <rPr>
        <sz val="10"/>
        <color theme="1"/>
        <rFont val="Franklin Gothic Book"/>
        <family val="2"/>
      </rPr>
      <t>(CFY 2019-20)</t>
    </r>
  </si>
  <si>
    <r>
      <t xml:space="preserve">REC Revenue Estimate </t>
    </r>
    <r>
      <rPr>
        <sz val="10"/>
        <color theme="1"/>
        <rFont val="Franklin Gothic Book"/>
        <family val="2"/>
      </rPr>
      <t xml:space="preserve">(CFY 2021-22) </t>
    </r>
  </si>
  <si>
    <r>
      <t xml:space="preserve">Statutorily Required Amount to Reserve </t>
    </r>
    <r>
      <rPr>
        <sz val="10"/>
        <color theme="1"/>
        <rFont val="Franklin Gothic Book"/>
        <family val="2"/>
      </rPr>
      <t>(10%)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</si>
  <si>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New Judges
</t>
    </r>
    <r>
      <rPr>
        <sz val="9"/>
        <color theme="1"/>
        <rFont val="Franklin Gothic Book"/>
        <family val="2"/>
      </rPr>
      <t>(1 Judge Created in 2022)</t>
    </r>
  </si>
  <si>
    <t xml:space="preserve">STATEWIDE TOTAL: </t>
  </si>
  <si>
    <t>FRS Type</t>
  </si>
  <si>
    <t>Salary Allocation Court Amount</t>
  </si>
  <si>
    <t>FRS Increase %</t>
  </si>
  <si>
    <t>2022 
FRS Increase</t>
  </si>
  <si>
    <t>Reg EE</t>
  </si>
  <si>
    <t>SMS</t>
  </si>
  <si>
    <t>DROP</t>
  </si>
  <si>
    <t>Clerk</t>
  </si>
  <si>
    <t>Alachua Total</t>
  </si>
  <si>
    <t>Baker Total</t>
  </si>
  <si>
    <t>Bay Total</t>
  </si>
  <si>
    <t>Bradford Total</t>
  </si>
  <si>
    <t>Brevard Total</t>
  </si>
  <si>
    <t>Broward Total</t>
  </si>
  <si>
    <t>Calhoun Total</t>
  </si>
  <si>
    <t>Charlotte Total</t>
  </si>
  <si>
    <t>Citrus Total</t>
  </si>
  <si>
    <t>Clay Total</t>
  </si>
  <si>
    <t>Collier Total</t>
  </si>
  <si>
    <t>Columbia Total</t>
  </si>
  <si>
    <t>DeSoto Total</t>
  </si>
  <si>
    <t>Dixie Total</t>
  </si>
  <si>
    <t>Non-FRS (Duval) Investment Plan</t>
  </si>
  <si>
    <t>Non-FRS (Duval) Pension</t>
  </si>
  <si>
    <t>Duval Total</t>
  </si>
  <si>
    <t>Escambia Total</t>
  </si>
  <si>
    <t>Flagler Total</t>
  </si>
  <si>
    <t>Franklin Total</t>
  </si>
  <si>
    <t>Gadsden Total</t>
  </si>
  <si>
    <t>Gilchrist Total</t>
  </si>
  <si>
    <t>Glades Total</t>
  </si>
  <si>
    <t>Gulf Total</t>
  </si>
  <si>
    <t>Hamilton Total</t>
  </si>
  <si>
    <t>Hardee Total</t>
  </si>
  <si>
    <t>Hendry Total</t>
  </si>
  <si>
    <t>Hernando Total</t>
  </si>
  <si>
    <t>Highlands Total</t>
  </si>
  <si>
    <t>Hillsborough Total</t>
  </si>
  <si>
    <t>Holmes Total</t>
  </si>
  <si>
    <t>Indian River Total</t>
  </si>
  <si>
    <t>Jackson Total</t>
  </si>
  <si>
    <t>Jefferson Total</t>
  </si>
  <si>
    <t>Lafayette Total</t>
  </si>
  <si>
    <t>Lake Total</t>
  </si>
  <si>
    <t>Lee Total</t>
  </si>
  <si>
    <t>Leon Total</t>
  </si>
  <si>
    <t>Levy Total</t>
  </si>
  <si>
    <t>Liberty Total</t>
  </si>
  <si>
    <t>Madison Total</t>
  </si>
  <si>
    <t>Manatee Total</t>
  </si>
  <si>
    <t>Marion Total</t>
  </si>
  <si>
    <t>Martin Total</t>
  </si>
  <si>
    <t>Miami-Dade Total</t>
  </si>
  <si>
    <t>Monroe Total</t>
  </si>
  <si>
    <t>Nassau Total</t>
  </si>
  <si>
    <t>Okaloosa Total</t>
  </si>
  <si>
    <t>Okeechobee Total</t>
  </si>
  <si>
    <t>Orange Total</t>
  </si>
  <si>
    <t>Osceola Total</t>
  </si>
  <si>
    <t>Palm Beach Total</t>
  </si>
  <si>
    <t>Pasco Total</t>
  </si>
  <si>
    <t>Pinellas Total</t>
  </si>
  <si>
    <t>Polk Total</t>
  </si>
  <si>
    <t>Putnam Total</t>
  </si>
  <si>
    <t>Saint Johns Total</t>
  </si>
  <si>
    <t>Saint Lucie Total</t>
  </si>
  <si>
    <t>Santa Rosa Total</t>
  </si>
  <si>
    <t>Sarasota Total</t>
  </si>
  <si>
    <t>Seminole Total</t>
  </si>
  <si>
    <t>Sumter Total</t>
  </si>
  <si>
    <t>Suwannee Total</t>
  </si>
  <si>
    <t>Taylor Total</t>
  </si>
  <si>
    <t>Union Total</t>
  </si>
  <si>
    <t>Volusia Total</t>
  </si>
  <si>
    <t>Wakulla Total</t>
  </si>
  <si>
    <t>Walton Total</t>
  </si>
  <si>
    <t>Washington Total</t>
  </si>
  <si>
    <t>Grand Total</t>
  </si>
  <si>
    <t>WWM Applied to 100% of the $444.8M</t>
  </si>
  <si>
    <t>weighted cases</t>
  </si>
  <si>
    <t>Total Weighted Workload Measure (CFY 2020-21)</t>
  </si>
  <si>
    <r>
      <t xml:space="preserve">Additional Cumulative Excess </t>
    </r>
    <r>
      <rPr>
        <sz val="14"/>
        <color theme="1"/>
        <rFont val="Franklin Gothic Book"/>
        <family val="2"/>
      </rPr>
      <t>(CFY 2020-21)</t>
    </r>
  </si>
  <si>
    <r>
      <t xml:space="preserve">Unspent Budgeted Funds </t>
    </r>
    <r>
      <rPr>
        <sz val="14"/>
        <color theme="1"/>
        <rFont val="Franklin Gothic Book"/>
        <family val="2"/>
      </rPr>
      <t>(CFY 2020-21)</t>
    </r>
  </si>
  <si>
    <r>
      <t xml:space="preserve">Statutorily Required Amount to Reserve </t>
    </r>
    <r>
      <rPr>
        <sz val="14"/>
        <color theme="1"/>
        <rFont val="Franklin Gothic Book"/>
        <family val="2"/>
      </rPr>
      <t>(10%)</t>
    </r>
  </si>
  <si>
    <r>
      <t xml:space="preserve">Total Budget Authority </t>
    </r>
    <r>
      <rPr>
        <sz val="14"/>
        <color theme="1"/>
        <rFont val="Franklin Gothic Book"/>
        <family val="2"/>
      </rPr>
      <t>(CFY 2021-22)</t>
    </r>
  </si>
  <si>
    <r>
      <t xml:space="preserve">REC Cumulative Excess Estimate - Clerks' Share of 50% </t>
    </r>
    <r>
      <rPr>
        <sz val="10"/>
        <color theme="1"/>
        <rFont val="Franklin Gothic Book"/>
        <family val="2"/>
      </rPr>
      <t>(CFY 2020-21)</t>
    </r>
    <r>
      <rPr>
        <sz val="12"/>
        <color theme="1"/>
        <rFont val="Franklin Gothic Book"/>
        <family val="2"/>
      </rPr>
      <t xml:space="preserve">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</si>
  <si>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FRS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</si>
  <si>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Health Insurance </t>
    </r>
  </si>
  <si>
    <t xml:space="preserve">Total FRS:  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</si>
  <si>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Benefits: New FTE</t>
    </r>
  </si>
  <si>
    <t>FRS 
Increase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</si>
  <si>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Benefits (Health Insurance, FRS, etc.)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</si>
  <si>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Compliance Issues, Cost Shifts, IT Issues, Other</t>
    </r>
  </si>
  <si>
    <t xml:space="preserve">TOTAL NEEDS-BASED BUDGET:  </t>
  </si>
  <si>
    <t xml:space="preserve">Jury Reimbursement Funding:   </t>
  </si>
  <si>
    <t xml:space="preserve">Pandemic Recovery Plan Funding:   </t>
  </si>
  <si>
    <t xml:space="preserve">Total New FTE:  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</si>
  <si>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Increases,  COLA, New FTE</t>
    </r>
  </si>
  <si>
    <t xml:space="preserve">Total Requested Funds:  </t>
  </si>
  <si>
    <t>Increase Over Base Budget</t>
  </si>
  <si>
    <t>Increase Over Current Year Budget</t>
  </si>
  <si>
    <r>
      <t xml:space="preserve">REC Revenue Estimate </t>
    </r>
    <r>
      <rPr>
        <sz val="14"/>
        <color theme="1"/>
        <rFont val="Franklin Gothic Book"/>
        <family val="2"/>
      </rPr>
      <t xml:space="preserve">(CFY 2022-23)  </t>
    </r>
    <r>
      <rPr>
        <u/>
        <sz val="14"/>
        <color theme="1"/>
        <rFont val="Franklin Gothic Book"/>
        <family val="2"/>
      </rPr>
      <t>[July 2022</t>
    </r>
    <r>
      <rPr>
        <sz val="14"/>
        <color theme="1"/>
        <rFont val="Franklin Gothic Book"/>
        <family val="2"/>
      </rPr>
      <t>]</t>
    </r>
  </si>
  <si>
    <r>
      <t>REC Cumulative Excess Estimate - Clerks' Share of 50%</t>
    </r>
    <r>
      <rPr>
        <sz val="14"/>
        <color theme="1"/>
        <rFont val="Franklin Gothic Book"/>
        <family val="2"/>
      </rPr>
      <t xml:space="preserve"> (CFY 2021-22)  </t>
    </r>
    <r>
      <rPr>
        <u/>
        <sz val="14"/>
        <color theme="1"/>
        <rFont val="Franklin Gothic Book"/>
        <family val="2"/>
      </rPr>
      <t>[July 2022]</t>
    </r>
  </si>
  <si>
    <t>BASE BUDGET</t>
  </si>
  <si>
    <r>
      <t xml:space="preserve">CFY 2022-23 Base Budget
</t>
    </r>
    <r>
      <rPr>
        <b/>
        <sz val="8"/>
        <color theme="0"/>
        <rFont val="Franklin Gothic Book"/>
        <family val="2"/>
      </rPr>
      <t>(Approved April 2022)</t>
    </r>
  </si>
  <si>
    <r>
      <t xml:space="preserve">CFY 2022-23 Needs-Based Budget 
</t>
    </r>
    <r>
      <rPr>
        <b/>
        <sz val="8"/>
        <rFont val="Franklin Gothic Book"/>
        <family val="2"/>
      </rPr>
      <t>(Approved August 2022)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</si>
  <si>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 
FTE</t>
    </r>
  </si>
  <si>
    <t>Percent Above/
Below PG Avg.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</si>
  <si>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New Judge
</t>
    </r>
    <r>
      <rPr>
        <sz val="9"/>
        <color theme="1"/>
        <rFont val="Franklin Gothic Book"/>
        <family val="2"/>
      </rPr>
      <t>(1 Judge Created in 2022)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</si>
  <si>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Across-the-Board
Increase</t>
    </r>
  </si>
  <si>
    <r>
      <t xml:space="preserve">CFY 2022-23 Revenue-Limited Budget 
</t>
    </r>
    <r>
      <rPr>
        <b/>
        <sz val="8"/>
        <color theme="2"/>
        <rFont val="Franklin Gothic Book"/>
        <family val="2"/>
      </rPr>
      <t>(Approved August 2022)</t>
    </r>
  </si>
  <si>
    <t>Percent Increase Over Base Budget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</si>
  <si>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Reduction Exercise 
(10%)</t>
    </r>
  </si>
  <si>
    <t>CFY 2022-23 Statutorily- Required Reduction Exercise</t>
  </si>
  <si>
    <t>Percent Decrease</t>
  </si>
  <si>
    <r>
      <rPr>
        <b/>
        <sz val="8"/>
        <color theme="1"/>
        <rFont val="Franklin Gothic Book"/>
        <family val="2"/>
      </rPr>
      <t>Schedule VIIIB-2: Priority Listing of Agency Budget Issues for Possible Reduction in the Event of Revenue Shortfalls for Legislative Budget Request Year</t>
    </r>
    <r>
      <rPr>
        <sz val="8"/>
        <color theme="1"/>
        <rFont val="Franklin Gothic Book"/>
        <family val="2"/>
      </rPr>
      <t xml:space="preserve">
The purpose of the Schedule VIIIB-2 is to identify recurring budget reductions that can be made in FY 2022-23 in the event that budget reductions are necessary. Agencies are required to submit a Schedule VIIIB-2 that contains reduction issues for FY 2022-23, totaling at least 10% of their 2021-22 recurring funds, for consideration in developing the 2022-23 budget.
Page 100 of FY 22-23 LBR Instructions  [http://floridafiscalportal.state.fl.us/Document.aspx?ID=22132&amp;DocType=PDF]</t>
    </r>
  </si>
  <si>
    <t>s. 28.35(2)(f)3., F.S. -- requires the CCOC to 'identify potential targeted budget reductions in the percentage amount provided in Schedule VIII-B of the state’s previous year’s legislative budget instructions, as referenced in s. 216.023(3), or an equivalent schedule or instruction as may be adopted by the Legislature.</t>
  </si>
  <si>
    <t>s. 28.35(2)(f)9., F.S., requires CCOC to identify the budget of any clerk which exceeds the average budget of similarly situated clerks by more than 10%.</t>
  </si>
  <si>
    <t xml:space="preserve">Amount Above Revenue-Limited Budget:   </t>
  </si>
  <si>
    <t xml:space="preserve">TOTAL COURT-RELATED BUDGET: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</si>
</sst>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51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theme="7"/>
      <name val="Franklin Gothic Book"/>
      <family val="2"/>
    </font>
    <font>
      <sz val="1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sz val="10"/>
      <name val="Franklin Gothic Book"/>
      <family val="2"/>
    </font>
    <font>
      <i/>
      <sz val="10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b/>
      <sz val="9"/>
      <color theme="2"/>
      <name val="Franklin Gothic Book"/>
      <family val="2"/>
    </font>
    <font>
      <b/>
      <sz val="10"/>
      <color rgb="FFFF0000"/>
      <name val="Franklin Gothic Book"/>
      <family val="2"/>
    </font>
    <font>
      <sz val="8"/>
      <color theme="1"/>
      <name val="Franklin Gothic Book"/>
      <family val="2"/>
    </font>
    <font>
      <b/>
      <sz val="9"/>
      <color rgb="FFFF0000"/>
      <name val="Franklin Gothic Book"/>
      <family val="2"/>
    </font>
    <font>
      <i/>
      <sz val="9"/>
      <color theme="1"/>
      <name val="Franklin Gothic Book"/>
      <family val="2"/>
    </font>
    <font>
      <b/>
      <sz val="10"/>
      <color theme="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6"/>
      <color rgb="FFFF0000"/>
      <name val="Franklin Gothic Book"/>
      <family val="2"/>
    </font>
    <font>
      <i/>
      <sz val="16"/>
      <color theme="1"/>
      <name val="Franklin Gothic Book"/>
      <family val="2"/>
    </font>
    <font>
      <i/>
      <u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i/>
      <sz val="12"/>
      <color theme="1"/>
      <name val="Franklin Gothic Book"/>
      <family val="2"/>
    </font>
    <font>
      <b/>
      <sz val="14"/>
      <color theme="1"/>
      <name val="Franklin Gothic Book"/>
      <family val="2"/>
    </font>
    <font>
      <sz val="14"/>
      <color theme="1"/>
      <name val="Franklin Gothic Book"/>
      <family val="2"/>
    </font>
    <font>
      <sz val="12"/>
      <color rgb="FFFF0000"/>
      <name val="Franklin Gothic Book"/>
      <family val="2"/>
    </font>
    <font>
      <i/>
      <sz val="12"/>
      <color rgb="FFFF0000"/>
      <name val="Franklin Gothic Book"/>
      <family val="2"/>
    </font>
    <font>
      <b/>
      <i/>
      <sz val="12"/>
      <color theme="1"/>
      <name val="Franklin Gothic Book"/>
      <family val="2"/>
    </font>
    <font>
      <b/>
      <sz val="11"/>
      <color theme="5" tint="-0.249977111117893"/>
      <name val="Franklin Gothic Book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Franklin Gothic Book"/>
      <family val="2"/>
    </font>
    <font>
      <u/>
      <sz val="14"/>
      <color theme="1"/>
      <name val="Franklin Gothic Book"/>
      <family val="2"/>
    </font>
    <font>
      <b/>
      <sz val="8"/>
      <color theme="0"/>
      <name val="Franklin Gothic Book"/>
      <family val="2"/>
    </font>
    <font>
      <b/>
      <sz val="8"/>
      <name val="Franklin Gothic Book"/>
      <family val="2"/>
    </font>
    <font>
      <b/>
      <sz val="8"/>
      <color theme="2"/>
      <name val="Franklin Gothic Book"/>
      <family val="2"/>
    </font>
    <font>
      <b/>
      <sz val="8"/>
      <color theme="1"/>
      <name val="Franklin Gothic Book"/>
      <family val="2"/>
    </font>
    <font>
      <b/>
      <sz val="9"/>
      <color theme="0"/>
      <name val="Franklin Gothic Book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rgb="FFAF16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FB53B"/>
        <bgColor indexed="64"/>
      </patternFill>
    </fill>
    <fill>
      <patternFill patternType="solid">
        <fgColor rgb="FF00995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2" fillId="5" borderId="18">
      <alignment horizontal="center" vertical="center"/>
      <protection locked="0"/>
    </xf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6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0" fontId="15" fillId="0" borderId="0" xfId="2" applyNumberFormat="1" applyFont="1" applyAlignment="1">
      <alignment horizontal="center" vertical="center"/>
    </xf>
    <xf numFmtId="0" fontId="14" fillId="0" borderId="0" xfId="0" applyFont="1"/>
    <xf numFmtId="10" fontId="13" fillId="0" borderId="0" xfId="2" applyNumberFormat="1" applyFont="1" applyAlignment="1">
      <alignment horizontal="center" vertical="center"/>
    </xf>
    <xf numFmtId="6" fontId="7" fillId="0" borderId="9" xfId="2" applyNumberFormat="1" applyFont="1" applyBorder="1" applyAlignment="1">
      <alignment horizontal="right" vertical="center"/>
    </xf>
    <xf numFmtId="6" fontId="3" fillId="0" borderId="0" xfId="0" applyNumberFormat="1" applyFont="1"/>
    <xf numFmtId="0" fontId="3" fillId="0" borderId="0" xfId="0" applyFont="1"/>
    <xf numFmtId="164" fontId="17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6" fontId="3" fillId="0" borderId="1" xfId="1" applyNumberFormat="1" applyFont="1" applyBorder="1" applyAlignment="1">
      <alignment horizontal="center" vertical="center"/>
    </xf>
    <xf numFmtId="6" fontId="7" fillId="0" borderId="5" xfId="2" applyNumberFormat="1" applyFont="1" applyBorder="1" applyAlignment="1">
      <alignment horizontal="right" vertical="center"/>
    </xf>
    <xf numFmtId="6" fontId="9" fillId="0" borderId="5" xfId="1" applyNumberFormat="1" applyFont="1" applyBorder="1" applyAlignment="1">
      <alignment vertical="top"/>
    </xf>
    <xf numFmtId="164" fontId="8" fillId="0" borderId="1" xfId="0" applyNumberFormat="1" applyFont="1" applyBorder="1"/>
    <xf numFmtId="10" fontId="13" fillId="0" borderId="1" xfId="2" applyNumberFormat="1" applyFont="1" applyBorder="1" applyAlignment="1">
      <alignment horizontal="center" vertical="center"/>
    </xf>
    <xf numFmtId="6" fontId="7" fillId="0" borderId="24" xfId="2" applyNumberFormat="1" applyFont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 wrapText="1"/>
    </xf>
    <xf numFmtId="165" fontId="8" fillId="0" borderId="1" xfId="1" applyNumberFormat="1" applyFont="1" applyBorder="1"/>
    <xf numFmtId="10" fontId="18" fillId="0" borderId="9" xfId="2" applyNumberFormat="1" applyFont="1" applyBorder="1" applyAlignment="1">
      <alignment horizontal="center" vertical="top"/>
    </xf>
    <xf numFmtId="10" fontId="18" fillId="0" borderId="24" xfId="2" applyNumberFormat="1" applyFont="1" applyBorder="1" applyAlignment="1">
      <alignment horizontal="center" vertical="top"/>
    </xf>
    <xf numFmtId="165" fontId="19" fillId="0" borderId="1" xfId="1" applyNumberFormat="1" applyFont="1" applyBorder="1" applyAlignment="1">
      <alignment horizontal="center"/>
    </xf>
    <xf numFmtId="10" fontId="15" fillId="0" borderId="5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0" fontId="14" fillId="0" borderId="23" xfId="2" applyNumberFormat="1" applyFont="1" applyBorder="1" applyAlignment="1">
      <alignment horizontal="center"/>
    </xf>
    <xf numFmtId="0" fontId="17" fillId="0" borderId="19" xfId="0" applyFont="1" applyBorder="1"/>
    <xf numFmtId="2" fontId="13" fillId="0" borderId="0" xfId="2" applyNumberFormat="1" applyFont="1" applyAlignment="1">
      <alignment horizontal="center" vertical="center"/>
    </xf>
    <xf numFmtId="10" fontId="18" fillId="0" borderId="15" xfId="2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3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3" fillId="0" borderId="0" xfId="0" applyFont="1" applyAlignment="1">
      <alignment vertical="top"/>
    </xf>
    <xf numFmtId="42" fontId="3" fillId="0" borderId="0" xfId="1" applyNumberFormat="1" applyFont="1"/>
    <xf numFmtId="42" fontId="3" fillId="0" borderId="0" xfId="1" applyNumberFormat="1" applyFont="1" applyFill="1"/>
    <xf numFmtId="6" fontId="7" fillId="0" borderId="15" xfId="2" applyNumberFormat="1" applyFont="1" applyBorder="1" applyAlignment="1">
      <alignment horizontal="right" vertical="center"/>
    </xf>
    <xf numFmtId="6" fontId="7" fillId="0" borderId="0" xfId="0" applyNumberFormat="1" applyFont="1"/>
    <xf numFmtId="43" fontId="15" fillId="0" borderId="0" xfId="14" applyFont="1" applyAlignment="1">
      <alignment horizontal="center" vertical="center"/>
    </xf>
    <xf numFmtId="43" fontId="13" fillId="0" borderId="0" xfId="14" applyFont="1" applyAlignment="1">
      <alignment horizontal="center" vertical="center"/>
    </xf>
    <xf numFmtId="8" fontId="14" fillId="0" borderId="0" xfId="0" applyNumberFormat="1" applyFont="1"/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center"/>
    </xf>
    <xf numFmtId="10" fontId="7" fillId="0" borderId="2" xfId="2" applyNumberFormat="1" applyFont="1" applyFill="1" applyBorder="1" applyAlignment="1">
      <alignment horizontal="center" vertical="center" wrapText="1"/>
    </xf>
    <xf numFmtId="10" fontId="14" fillId="0" borderId="24" xfId="2" applyNumberFormat="1" applyFont="1" applyFill="1" applyBorder="1" applyAlignment="1">
      <alignment horizontal="center" vertical="center"/>
    </xf>
    <xf numFmtId="10" fontId="14" fillId="0" borderId="9" xfId="2" applyNumberFormat="1" applyFont="1" applyFill="1" applyBorder="1" applyAlignment="1">
      <alignment horizontal="center" vertical="center"/>
    </xf>
    <xf numFmtId="10" fontId="14" fillId="0" borderId="15" xfId="2" applyNumberFormat="1" applyFont="1" applyFill="1" applyBorder="1" applyAlignment="1">
      <alignment horizontal="center" vertical="center"/>
    </xf>
    <xf numFmtId="167" fontId="23" fillId="0" borderId="0" xfId="14" applyNumberFormat="1" applyFont="1" applyAlignment="1">
      <alignment horizontal="center" vertical="center"/>
    </xf>
    <xf numFmtId="6" fontId="9" fillId="0" borderId="17" xfId="0" applyNumberFormat="1" applyFont="1" applyBorder="1" applyAlignment="1">
      <alignment vertical="top"/>
    </xf>
    <xf numFmtId="6" fontId="9" fillId="0" borderId="16" xfId="0" applyNumberFormat="1" applyFont="1" applyBorder="1" applyAlignment="1">
      <alignment vertical="top"/>
    </xf>
    <xf numFmtId="6" fontId="9" fillId="0" borderId="10" xfId="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0" xfId="0" applyFont="1"/>
    <xf numFmtId="10" fontId="24" fillId="0" borderId="0" xfId="2" applyNumberFormat="1" applyFont="1" applyAlignment="1">
      <alignment horizontal="center" vertical="center"/>
    </xf>
    <xf numFmtId="10" fontId="24" fillId="0" borderId="0" xfId="2" applyNumberFormat="1" applyFont="1" applyAlignment="1">
      <alignment horizontal="center"/>
    </xf>
    <xf numFmtId="167" fontId="24" fillId="0" borderId="0" xfId="14" applyNumberFormat="1" applyFont="1"/>
    <xf numFmtId="10" fontId="14" fillId="0" borderId="20" xfId="2" applyNumberFormat="1" applyFont="1" applyBorder="1" applyAlignment="1">
      <alignment horizontal="center"/>
    </xf>
    <xf numFmtId="0" fontId="25" fillId="4" borderId="2" xfId="0" applyFont="1" applyFill="1" applyBorder="1" applyAlignment="1">
      <alignment horizontal="center" vertical="center" wrapText="1"/>
    </xf>
    <xf numFmtId="167" fontId="22" fillId="0" borderId="0" xfId="14" applyNumberFormat="1" applyFont="1" applyAlignment="1">
      <alignment horizontal="center"/>
    </xf>
    <xf numFmtId="10" fontId="14" fillId="0" borderId="32" xfId="2" applyNumberFormat="1" applyFont="1" applyBorder="1" applyAlignment="1">
      <alignment horizontal="center"/>
    </xf>
    <xf numFmtId="10" fontId="20" fillId="2" borderId="5" xfId="2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165" fontId="7" fillId="0" borderId="13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vertical="top"/>
    </xf>
    <xf numFmtId="165" fontId="10" fillId="2" borderId="2" xfId="1" applyNumberFormat="1" applyFont="1" applyFill="1" applyBorder="1" applyAlignment="1">
      <alignment vertical="top" wrapText="1"/>
    </xf>
    <xf numFmtId="165" fontId="9" fillId="3" borderId="2" xfId="1" applyNumberFormat="1" applyFont="1" applyFill="1" applyBorder="1" applyAlignment="1">
      <alignment vertical="top" wrapText="1"/>
    </xf>
    <xf numFmtId="165" fontId="7" fillId="0" borderId="9" xfId="1" applyNumberFormat="1" applyFont="1" applyBorder="1" applyAlignment="1">
      <alignment horizontal="right" vertical="center"/>
    </xf>
    <xf numFmtId="165" fontId="7" fillId="0" borderId="24" xfId="1" applyNumberFormat="1" applyFont="1" applyBorder="1" applyAlignment="1">
      <alignment horizontal="right" vertical="center"/>
    </xf>
    <xf numFmtId="165" fontId="7" fillId="0" borderId="1" xfId="1" applyNumberFormat="1" applyFont="1" applyBorder="1"/>
    <xf numFmtId="165" fontId="10" fillId="4" borderId="2" xfId="1" applyNumberFormat="1" applyFont="1" applyFill="1" applyBorder="1" applyAlignment="1">
      <alignment vertical="top" wrapText="1"/>
    </xf>
    <xf numFmtId="165" fontId="3" fillId="0" borderId="10" xfId="1" applyNumberFormat="1" applyFont="1" applyFill="1" applyBorder="1" applyAlignment="1">
      <alignment vertical="top"/>
    </xf>
    <xf numFmtId="165" fontId="3" fillId="0" borderId="29" xfId="1" applyNumberFormat="1" applyFont="1" applyFill="1" applyBorder="1" applyAlignment="1">
      <alignment vertical="top"/>
    </xf>
    <xf numFmtId="165" fontId="3" fillId="0" borderId="16" xfId="1" applyNumberFormat="1" applyFont="1" applyFill="1" applyBorder="1" applyAlignment="1">
      <alignment vertical="top"/>
    </xf>
    <xf numFmtId="165" fontId="3" fillId="0" borderId="11" xfId="1" applyNumberFormat="1" applyFont="1" applyFill="1" applyBorder="1" applyAlignment="1">
      <alignment vertical="top"/>
    </xf>
    <xf numFmtId="165" fontId="3" fillId="0" borderId="17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165" fontId="3" fillId="0" borderId="1" xfId="1" applyNumberFormat="1" applyFont="1" applyBorder="1"/>
    <xf numFmtId="0" fontId="7" fillId="0" borderId="8" xfId="0" applyFont="1" applyBorder="1" applyAlignment="1">
      <alignment horizontal="center" vertical="center" wrapText="1"/>
    </xf>
    <xf numFmtId="10" fontId="15" fillId="3" borderId="5" xfId="2" applyNumberFormat="1" applyFont="1" applyFill="1" applyBorder="1" applyAlignment="1">
      <alignment horizontal="center" vertical="top" wrapText="1"/>
    </xf>
    <xf numFmtId="43" fontId="7" fillId="0" borderId="15" xfId="14" applyFont="1" applyBorder="1" applyAlignment="1">
      <alignment horizontal="right" vertical="center"/>
    </xf>
    <xf numFmtId="43" fontId="7" fillId="0" borderId="12" xfId="14" applyFont="1" applyFill="1" applyBorder="1" applyAlignment="1">
      <alignment horizontal="right" vertical="center"/>
    </xf>
    <xf numFmtId="43" fontId="7" fillId="0" borderId="12" xfId="14" applyFont="1" applyBorder="1" applyAlignment="1">
      <alignment horizontal="right" vertical="center"/>
    </xf>
    <xf numFmtId="43" fontId="7" fillId="0" borderId="13" xfId="14" applyFont="1" applyBorder="1" applyAlignment="1">
      <alignment horizontal="right" vertical="center"/>
    </xf>
    <xf numFmtId="43" fontId="7" fillId="0" borderId="1" xfId="14" applyFont="1" applyBorder="1" applyAlignment="1">
      <alignment horizontal="center" vertical="center"/>
    </xf>
    <xf numFmtId="43" fontId="7" fillId="0" borderId="2" xfId="14" applyFont="1" applyBorder="1" applyAlignment="1">
      <alignment vertical="top"/>
    </xf>
    <xf numFmtId="10" fontId="13" fillId="0" borderId="2" xfId="2" applyNumberFormat="1" applyFont="1" applyFill="1" applyBorder="1" applyAlignment="1">
      <alignment horizontal="center" vertical="center" wrapText="1"/>
    </xf>
    <xf numFmtId="0" fontId="27" fillId="0" borderId="0" xfId="15" applyFont="1"/>
    <xf numFmtId="165" fontId="27" fillId="0" borderId="0" xfId="16" applyNumberFormat="1" applyFont="1" applyFill="1"/>
    <xf numFmtId="165" fontId="28" fillId="0" borderId="0" xfId="16" applyNumberFormat="1" applyFont="1" applyFill="1"/>
    <xf numFmtId="165" fontId="28" fillId="0" borderId="0" xfId="16" applyNumberFormat="1" applyFont="1"/>
    <xf numFmtId="165" fontId="26" fillId="0" borderId="33" xfId="16" applyNumberFormat="1" applyFont="1" applyFill="1" applyBorder="1"/>
    <xf numFmtId="165" fontId="27" fillId="0" borderId="0" xfId="16" applyNumberFormat="1" applyFont="1" applyFill="1" applyBorder="1"/>
    <xf numFmtId="0" fontId="29" fillId="0" borderId="0" xfId="15" applyFont="1"/>
    <xf numFmtId="165" fontId="29" fillId="0" borderId="0" xfId="16" applyNumberFormat="1" applyFont="1" applyFill="1"/>
    <xf numFmtId="0" fontId="29" fillId="6" borderId="0" xfId="15" applyFont="1" applyFill="1"/>
    <xf numFmtId="165" fontId="27" fillId="0" borderId="0" xfId="15" applyNumberFormat="1" applyFont="1"/>
    <xf numFmtId="0" fontId="3" fillId="0" borderId="0" xfId="24" applyFont="1"/>
    <xf numFmtId="0" fontId="7" fillId="0" borderId="34" xfId="24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10" fontId="7" fillId="0" borderId="34" xfId="2" applyNumberFormat="1" applyFont="1" applyBorder="1" applyAlignment="1">
      <alignment horizontal="center" vertical="center" wrapText="1"/>
    </xf>
    <xf numFmtId="0" fontId="3" fillId="0" borderId="35" xfId="24" applyFont="1" applyBorder="1"/>
    <xf numFmtId="0" fontId="3" fillId="0" borderId="36" xfId="24" applyFont="1" applyBorder="1" applyAlignment="1">
      <alignment horizontal="center" vertical="center"/>
    </xf>
    <xf numFmtId="10" fontId="3" fillId="8" borderId="35" xfId="2" applyNumberFormat="1" applyFont="1" applyFill="1" applyBorder="1"/>
    <xf numFmtId="0" fontId="3" fillId="0" borderId="37" xfId="24" applyFont="1" applyBorder="1"/>
    <xf numFmtId="0" fontId="3" fillId="0" borderId="16" xfId="24" applyFont="1" applyBorder="1" applyAlignment="1">
      <alignment horizontal="center" vertical="center"/>
    </xf>
    <xf numFmtId="10" fontId="3" fillId="0" borderId="35" xfId="2" applyNumberFormat="1" applyFont="1" applyBorder="1"/>
    <xf numFmtId="0" fontId="3" fillId="0" borderId="38" xfId="24" applyFont="1" applyBorder="1"/>
    <xf numFmtId="0" fontId="3" fillId="0" borderId="19" xfId="24" applyFont="1" applyBorder="1" applyAlignment="1">
      <alignment horizontal="center" vertical="center"/>
    </xf>
    <xf numFmtId="10" fontId="3" fillId="8" borderId="40" xfId="2" applyNumberFormat="1" applyFont="1" applyFill="1" applyBorder="1"/>
    <xf numFmtId="10" fontId="3" fillId="0" borderId="5" xfId="2" applyNumberFormat="1" applyFont="1" applyBorder="1"/>
    <xf numFmtId="10" fontId="3" fillId="0" borderId="37" xfId="2" applyNumberFormat="1" applyFont="1" applyBorder="1"/>
    <xf numFmtId="10" fontId="3" fillId="8" borderId="37" xfId="2" applyNumberFormat="1" applyFont="1" applyFill="1" applyBorder="1"/>
    <xf numFmtId="10" fontId="3" fillId="8" borderId="38" xfId="2" applyNumberFormat="1" applyFont="1" applyFill="1" applyBorder="1"/>
    <xf numFmtId="10" fontId="3" fillId="0" borderId="38" xfId="2" applyNumberFormat="1" applyFont="1" applyBorder="1"/>
    <xf numFmtId="10" fontId="3" fillId="0" borderId="37" xfId="2" applyNumberFormat="1" applyFont="1" applyFill="1" applyBorder="1"/>
    <xf numFmtId="0" fontId="7" fillId="0" borderId="36" xfId="24" applyFont="1" applyBorder="1" applyAlignment="1">
      <alignment horizontal="center" vertical="center"/>
    </xf>
    <xf numFmtId="10" fontId="3" fillId="0" borderId="36" xfId="2" applyNumberFormat="1" applyFont="1" applyBorder="1"/>
    <xf numFmtId="0" fontId="7" fillId="0" borderId="0" xfId="24" applyFont="1" applyAlignment="1">
      <alignment horizontal="center" vertical="center"/>
    </xf>
    <xf numFmtId="10" fontId="3" fillId="0" borderId="0" xfId="2" applyNumberFormat="1" applyFont="1" applyBorder="1"/>
    <xf numFmtId="0" fontId="7" fillId="0" borderId="0" xfId="24" applyFont="1" applyAlignment="1">
      <alignment horizontal="right" vertical="center"/>
    </xf>
    <xf numFmtId="167" fontId="7" fillId="8" borderId="5" xfId="14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2" applyNumberFormat="1" applyFont="1" applyBorder="1"/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0" fontId="3" fillId="0" borderId="0" xfId="2" applyNumberFormat="1" applyFont="1"/>
    <xf numFmtId="0" fontId="3" fillId="0" borderId="0" xfId="24" applyFont="1" applyAlignment="1">
      <alignment horizontal="center" vertical="center"/>
    </xf>
    <xf numFmtId="0" fontId="32" fillId="9" borderId="16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44" fontId="33" fillId="10" borderId="16" xfId="1" applyFont="1" applyFill="1" applyBorder="1" applyAlignment="1">
      <alignment horizontal="center" vertical="center" wrapText="1"/>
    </xf>
    <xf numFmtId="44" fontId="33" fillId="11" borderId="16" xfId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41" xfId="0" applyFont="1" applyBorder="1" applyAlignment="1">
      <alignment horizontal="left" vertical="center"/>
    </xf>
    <xf numFmtId="44" fontId="32" fillId="0" borderId="16" xfId="1" applyFont="1" applyFill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0" xfId="0" applyFont="1" applyAlignment="1">
      <alignment vertical="top"/>
    </xf>
    <xf numFmtId="0" fontId="32" fillId="0" borderId="41" xfId="25" applyFont="1" applyFill="1" applyBorder="1" applyAlignment="1">
      <alignment horizontal="left" vertical="center"/>
    </xf>
    <xf numFmtId="44" fontId="32" fillId="0" borderId="16" xfId="25" applyNumberFormat="1" applyFont="1" applyFill="1" applyBorder="1" applyAlignment="1">
      <alignment vertical="center"/>
    </xf>
    <xf numFmtId="0" fontId="32" fillId="0" borderId="16" xfId="25" applyFont="1" applyFill="1" applyBorder="1" applyAlignment="1">
      <alignment vertical="center"/>
    </xf>
    <xf numFmtId="44" fontId="32" fillId="0" borderId="0" xfId="0" applyNumberFormat="1" applyFont="1" applyAlignment="1">
      <alignment vertical="top"/>
    </xf>
    <xf numFmtId="0" fontId="35" fillId="12" borderId="41" xfId="0" applyFont="1" applyFill="1" applyBorder="1" applyAlignment="1">
      <alignment horizontal="left" vertical="center"/>
    </xf>
    <xf numFmtId="44" fontId="32" fillId="0" borderId="16" xfId="1" applyFont="1" applyFill="1" applyBorder="1" applyAlignment="1">
      <alignment vertical="top"/>
    </xf>
    <xf numFmtId="0" fontId="32" fillId="12" borderId="41" xfId="0" applyFont="1" applyFill="1" applyBorder="1" applyAlignment="1">
      <alignment horizontal="left" vertical="center"/>
    </xf>
    <xf numFmtId="0" fontId="32" fillId="0" borderId="41" xfId="0" applyFont="1" applyBorder="1" applyAlignment="1">
      <alignment horizontal="left" vertical="top"/>
    </xf>
    <xf numFmtId="0" fontId="32" fillId="0" borderId="43" xfId="0" applyFont="1" applyBorder="1" applyAlignment="1">
      <alignment horizontal="left" vertical="center"/>
    </xf>
    <xf numFmtId="44" fontId="32" fillId="0" borderId="36" xfId="1" applyFont="1" applyFill="1" applyBorder="1" applyAlignment="1">
      <alignment vertical="center"/>
    </xf>
    <xf numFmtId="44" fontId="32" fillId="0" borderId="0" xfId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44" fontId="32" fillId="0" borderId="0" xfId="1" applyFont="1" applyAlignment="1">
      <alignment vertical="top"/>
    </xf>
    <xf numFmtId="0" fontId="34" fillId="0" borderId="0" xfId="0" applyFont="1" applyAlignment="1">
      <alignment vertical="top"/>
    </xf>
    <xf numFmtId="44" fontId="32" fillId="0" borderId="0" xfId="1" applyFont="1" applyFill="1" applyAlignment="1">
      <alignment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 wrapText="1"/>
    </xf>
    <xf numFmtId="44" fontId="32" fillId="0" borderId="0" xfId="1" applyFont="1" applyFill="1" applyAlignment="1">
      <alignment vertical="top" wrapText="1"/>
    </xf>
    <xf numFmtId="44" fontId="32" fillId="0" borderId="33" xfId="0" applyNumberFormat="1" applyFont="1" applyBorder="1" applyAlignment="1">
      <alignment vertical="top"/>
    </xf>
    <xf numFmtId="0" fontId="32" fillId="0" borderId="33" xfId="0" applyFont="1" applyBorder="1" applyAlignment="1">
      <alignment vertical="top"/>
    </xf>
    <xf numFmtId="0" fontId="34" fillId="0" borderId="36" xfId="0" applyFont="1" applyBorder="1" applyAlignment="1">
      <alignment vertical="top"/>
    </xf>
    <xf numFmtId="44" fontId="34" fillId="0" borderId="44" xfId="1" applyFont="1" applyBorder="1" applyAlignment="1">
      <alignment vertical="top"/>
    </xf>
    <xf numFmtId="44" fontId="34" fillId="0" borderId="44" xfId="1" applyFont="1" applyFill="1" applyBorder="1" applyAlignment="1">
      <alignment vertical="top"/>
    </xf>
    <xf numFmtId="165" fontId="32" fillId="0" borderId="16" xfId="1" applyNumberFormat="1" applyFont="1" applyBorder="1" applyAlignment="1">
      <alignment vertical="top"/>
    </xf>
    <xf numFmtId="165" fontId="32" fillId="0" borderId="42" xfId="1" applyNumberFormat="1" applyFont="1" applyFill="1" applyBorder="1" applyAlignment="1">
      <alignment vertical="center"/>
    </xf>
    <xf numFmtId="165" fontId="32" fillId="0" borderId="16" xfId="25" applyNumberFormat="1" applyFont="1" applyFill="1" applyBorder="1" applyAlignment="1">
      <alignment vertical="top"/>
    </xf>
    <xf numFmtId="165" fontId="32" fillId="0" borderId="42" xfId="25" applyNumberFormat="1" applyFont="1" applyFill="1" applyBorder="1" applyAlignment="1">
      <alignment vertical="center"/>
    </xf>
    <xf numFmtId="165" fontId="32" fillId="0" borderId="36" xfId="1" applyNumberFormat="1" applyFont="1" applyFill="1" applyBorder="1" applyAlignment="1">
      <alignment vertical="center"/>
    </xf>
    <xf numFmtId="165" fontId="34" fillId="0" borderId="44" xfId="1" applyNumberFormat="1" applyFont="1" applyBorder="1" applyAlignment="1">
      <alignment vertical="top"/>
    </xf>
    <xf numFmtId="168" fontId="36" fillId="0" borderId="0" xfId="2" applyNumberFormat="1" applyFont="1"/>
    <xf numFmtId="0" fontId="38" fillId="0" borderId="0" xfId="15" applyFont="1"/>
    <xf numFmtId="0" fontId="1" fillId="0" borderId="0" xfId="15" applyFont="1"/>
    <xf numFmtId="165" fontId="1" fillId="0" borderId="0" xfId="16" applyNumberFormat="1" applyFont="1"/>
    <xf numFmtId="165" fontId="1" fillId="0" borderId="0" xfId="1" applyNumberFormat="1" applyFont="1"/>
    <xf numFmtId="165" fontId="36" fillId="0" borderId="0" xfId="15" applyNumberFormat="1" applyFont="1"/>
    <xf numFmtId="165" fontId="39" fillId="0" borderId="0" xfId="16" applyNumberFormat="1" applyFont="1"/>
    <xf numFmtId="165" fontId="40" fillId="0" borderId="28" xfId="15" applyNumberFormat="1" applyFont="1" applyBorder="1"/>
    <xf numFmtId="165" fontId="31" fillId="0" borderId="45" xfId="16" applyNumberFormat="1" applyFont="1" applyBorder="1"/>
    <xf numFmtId="165" fontId="1" fillId="0" borderId="0" xfId="15" applyNumberFormat="1" applyFont="1"/>
    <xf numFmtId="165" fontId="41" fillId="13" borderId="0" xfId="15" applyNumberFormat="1" applyFont="1" applyFill="1"/>
    <xf numFmtId="0" fontId="37" fillId="0" borderId="28" xfId="15" applyFont="1" applyBorder="1" applyAlignment="1">
      <alignment horizontal="center"/>
    </xf>
    <xf numFmtId="44" fontId="42" fillId="13" borderId="44" xfId="1" applyFont="1" applyFill="1" applyBorder="1" applyAlignment="1">
      <alignment vertical="top"/>
    </xf>
    <xf numFmtId="165" fontId="9" fillId="0" borderId="2" xfId="1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165" fontId="3" fillId="0" borderId="25" xfId="1" applyNumberFormat="1" applyFont="1" applyBorder="1" applyAlignment="1">
      <alignment horizontal="right" vertical="center"/>
    </xf>
    <xf numFmtId="165" fontId="3" fillId="0" borderId="21" xfId="1" applyNumberFormat="1" applyFont="1" applyBorder="1" applyAlignment="1">
      <alignment horizontal="right" vertical="center"/>
    </xf>
    <xf numFmtId="165" fontId="3" fillId="0" borderId="22" xfId="1" applyNumberFormat="1" applyFont="1" applyBorder="1" applyAlignment="1">
      <alignment horizontal="right" vertical="center"/>
    </xf>
    <xf numFmtId="165" fontId="3" fillId="0" borderId="42" xfId="1" applyNumberFormat="1" applyFont="1" applyFill="1" applyBorder="1" applyAlignment="1">
      <alignment vertical="top"/>
    </xf>
    <xf numFmtId="165" fontId="3" fillId="0" borderId="49" xfId="1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46" xfId="1" applyNumberFormat="1" applyFont="1" applyBorder="1" applyAlignment="1">
      <alignment horizontal="right" vertical="center"/>
    </xf>
    <xf numFmtId="165" fontId="3" fillId="0" borderId="47" xfId="1" applyNumberFormat="1" applyFont="1" applyBorder="1" applyAlignment="1">
      <alignment horizontal="right" vertical="center"/>
    </xf>
    <xf numFmtId="165" fontId="3" fillId="0" borderId="48" xfId="1" applyNumberFormat="1" applyFont="1" applyBorder="1" applyAlignment="1">
      <alignment horizontal="right" vertical="center"/>
    </xf>
    <xf numFmtId="165" fontId="3" fillId="0" borderId="0" xfId="0" applyNumberFormat="1" applyFont="1"/>
    <xf numFmtId="165" fontId="19" fillId="0" borderId="1" xfId="1" applyNumberFormat="1" applyFont="1" applyFill="1" applyBorder="1"/>
    <xf numFmtId="164" fontId="3" fillId="0" borderId="10" xfId="0" applyNumberFormat="1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0" fontId="7" fillId="0" borderId="5" xfId="0" applyFont="1" applyBorder="1" applyAlignment="1">
      <alignment horizontal="center" vertical="center" wrapText="1"/>
    </xf>
    <xf numFmtId="6" fontId="7" fillId="0" borderId="1" xfId="1" applyNumberFormat="1" applyFont="1" applyFill="1" applyBorder="1"/>
    <xf numFmtId="6" fontId="7" fillId="0" borderId="5" xfId="1" applyNumberFormat="1" applyFont="1" applyFill="1" applyBorder="1" applyAlignment="1">
      <alignment vertical="top"/>
    </xf>
    <xf numFmtId="0" fontId="34" fillId="0" borderId="16" xfId="0" applyFont="1" applyBorder="1" applyAlignment="1">
      <alignment horizontal="center"/>
    </xf>
    <xf numFmtId="43" fontId="34" fillId="0" borderId="16" xfId="14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32" fillId="0" borderId="0" xfId="0" applyFont="1"/>
    <xf numFmtId="43" fontId="32" fillId="0" borderId="0" xfId="14" applyFont="1"/>
    <xf numFmtId="10" fontId="35" fillId="0" borderId="0" xfId="2" applyNumberFormat="1" applyFont="1" applyFill="1"/>
    <xf numFmtId="43" fontId="32" fillId="0" borderId="0" xfId="0" applyNumberFormat="1" applyFont="1"/>
    <xf numFmtId="0" fontId="34" fillId="0" borderId="0" xfId="0" applyFont="1"/>
    <xf numFmtId="43" fontId="34" fillId="0" borderId="0" xfId="0" applyNumberFormat="1" applyFont="1"/>
    <xf numFmtId="0" fontId="43" fillId="0" borderId="0" xfId="0" applyFont="1"/>
    <xf numFmtId="43" fontId="32" fillId="0" borderId="0" xfId="14" applyFont="1" applyFill="1"/>
    <xf numFmtId="43" fontId="34" fillId="0" borderId="0" xfId="14" applyFont="1"/>
    <xf numFmtId="0" fontId="32" fillId="0" borderId="30" xfId="0" applyFont="1" applyBorder="1"/>
    <xf numFmtId="43" fontId="32" fillId="0" borderId="50" xfId="14" applyFont="1" applyBorder="1"/>
    <xf numFmtId="43" fontId="32" fillId="0" borderId="31" xfId="14" applyFont="1" applyBorder="1"/>
    <xf numFmtId="0" fontId="32" fillId="0" borderId="51" xfId="0" applyFont="1" applyBorder="1"/>
    <xf numFmtId="43" fontId="32" fillId="0" borderId="0" xfId="14" applyFont="1" applyBorder="1"/>
    <xf numFmtId="43" fontId="32" fillId="0" borderId="52" xfId="14" applyFont="1" applyBorder="1"/>
    <xf numFmtId="43" fontId="32" fillId="0" borderId="28" xfId="14" applyFont="1" applyBorder="1"/>
    <xf numFmtId="43" fontId="32" fillId="0" borderId="53" xfId="14" applyFont="1" applyBorder="1"/>
    <xf numFmtId="0" fontId="32" fillId="0" borderId="22" xfId="0" applyFont="1" applyBorder="1"/>
    <xf numFmtId="43" fontId="34" fillId="0" borderId="1" xfId="14" applyFont="1" applyBorder="1"/>
    <xf numFmtId="43" fontId="34" fillId="0" borderId="54" xfId="14" applyFont="1" applyBorder="1"/>
    <xf numFmtId="43" fontId="0" fillId="0" borderId="0" xfId="14" applyFont="1"/>
    <xf numFmtId="166" fontId="16" fillId="14" borderId="25" xfId="20" applyNumberFormat="1" applyFont="1" applyFill="1" applyBorder="1" applyAlignment="1">
      <alignment vertical="top"/>
    </xf>
    <xf numFmtId="166" fontId="16" fillId="14" borderId="27" xfId="20" applyNumberFormat="1" applyFont="1" applyFill="1" applyBorder="1" applyAlignment="1">
      <alignment vertical="top"/>
    </xf>
    <xf numFmtId="166" fontId="16" fillId="14" borderId="26" xfId="20" applyNumberFormat="1" applyFont="1" applyFill="1" applyBorder="1" applyAlignment="1">
      <alignment vertical="top"/>
    </xf>
    <xf numFmtId="0" fontId="44" fillId="0" borderId="0" xfId="0" applyFont="1" applyAlignment="1">
      <alignment horizontal="center"/>
    </xf>
    <xf numFmtId="0" fontId="7" fillId="14" borderId="5" xfId="0" applyFont="1" applyFill="1" applyBorder="1" applyAlignment="1">
      <alignment horizontal="center" vertical="center" wrapText="1"/>
    </xf>
    <xf numFmtId="166" fontId="9" fillId="14" borderId="5" xfId="2" applyNumberFormat="1" applyFont="1" applyFill="1" applyBorder="1" applyAlignment="1">
      <alignment vertical="top"/>
    </xf>
    <xf numFmtId="0" fontId="44" fillId="0" borderId="0" xfId="0" applyFont="1"/>
    <xf numFmtId="0" fontId="3" fillId="0" borderId="0" xfId="0" applyFont="1" applyAlignment="1">
      <alignment horizontal="center" vertical="center" wrapText="1"/>
    </xf>
    <xf numFmtId="164" fontId="22" fillId="0" borderId="0" xfId="0" applyNumberFormat="1" applyFont="1"/>
    <xf numFmtId="0" fontId="7" fillId="0" borderId="55" xfId="0" applyFont="1" applyBorder="1" applyAlignment="1">
      <alignment horizontal="center" vertical="center" wrapText="1"/>
    </xf>
    <xf numFmtId="165" fontId="16" fillId="0" borderId="46" xfId="1" applyNumberFormat="1" applyFont="1" applyBorder="1" applyAlignment="1">
      <alignment vertical="top"/>
    </xf>
    <xf numFmtId="165" fontId="7" fillId="0" borderId="25" xfId="1" applyNumberFormat="1" applyFont="1" applyBorder="1" applyAlignment="1">
      <alignment horizontal="right" vertical="center"/>
    </xf>
    <xf numFmtId="165" fontId="16" fillId="0" borderId="41" xfId="1" applyNumberFormat="1" applyFont="1" applyBorder="1" applyAlignment="1">
      <alignment vertical="top"/>
    </xf>
    <xf numFmtId="165" fontId="7" fillId="0" borderId="21" xfId="1" applyNumberFormat="1" applyFont="1" applyBorder="1" applyAlignment="1">
      <alignment horizontal="right" vertical="center"/>
    </xf>
    <xf numFmtId="165" fontId="16" fillId="0" borderId="56" xfId="1" applyNumberFormat="1" applyFont="1" applyBorder="1" applyAlignment="1">
      <alignment vertical="top"/>
    </xf>
    <xf numFmtId="165" fontId="7" fillId="0" borderId="22" xfId="1" applyNumberFormat="1" applyFont="1" applyBorder="1" applyAlignment="1">
      <alignment horizontal="right" vertical="center"/>
    </xf>
    <xf numFmtId="8" fontId="14" fillId="0" borderId="0" xfId="0" applyNumberFormat="1" applyFont="1" applyAlignment="1">
      <alignment horizontal="right"/>
    </xf>
    <xf numFmtId="165" fontId="13" fillId="0" borderId="5" xfId="0" applyNumberFormat="1" applyFont="1" applyBorder="1"/>
    <xf numFmtId="0" fontId="7" fillId="15" borderId="8" xfId="0" applyFont="1" applyFill="1" applyBorder="1" applyAlignment="1">
      <alignment horizontal="center" vertical="center" wrapText="1"/>
    </xf>
    <xf numFmtId="165" fontId="3" fillId="15" borderId="11" xfId="1" applyNumberFormat="1" applyFont="1" applyFill="1" applyBorder="1" applyAlignment="1">
      <alignment vertical="top"/>
    </xf>
    <xf numFmtId="167" fontId="7" fillId="0" borderId="0" xfId="14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14" fillId="0" borderId="0" xfId="0" applyNumberFormat="1" applyFont="1"/>
    <xf numFmtId="165" fontId="17" fillId="0" borderId="0" xfId="0" applyNumberFormat="1" applyFont="1"/>
    <xf numFmtId="165" fontId="3" fillId="0" borderId="0" xfId="1" applyNumberFormat="1" applyFont="1"/>
    <xf numFmtId="42" fontId="3" fillId="0" borderId="16" xfId="1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6" fontId="7" fillId="0" borderId="4" xfId="0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7" fillId="0" borderId="5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13" fillId="15" borderId="5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/>
    </xf>
    <xf numFmtId="10" fontId="18" fillId="0" borderId="0" xfId="2" applyNumberFormat="1" applyFont="1" applyFill="1" applyAlignment="1">
      <alignment horizontal="center" vertical="center"/>
    </xf>
    <xf numFmtId="0" fontId="9" fillId="0" borderId="0" xfId="0" applyFont="1" applyAlignment="1">
      <alignment vertical="top"/>
    </xf>
    <xf numFmtId="165" fontId="7" fillId="0" borderId="5" xfId="1" applyNumberFormat="1" applyFont="1" applyFill="1" applyBorder="1" applyAlignment="1">
      <alignment vertical="top"/>
    </xf>
    <xf numFmtId="165" fontId="7" fillId="0" borderId="6" xfId="1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39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7" fillId="0" borderId="34" xfId="1" applyNumberFormat="1" applyFont="1" applyFill="1" applyBorder="1" applyAlignment="1">
      <alignment horizontal="center" vertical="center"/>
    </xf>
    <xf numFmtId="10" fontId="3" fillId="0" borderId="4" xfId="2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0" fontId="15" fillId="0" borderId="0" xfId="2" applyNumberFormat="1" applyFont="1" applyFill="1" applyAlignment="1">
      <alignment horizontal="center" vertical="center"/>
    </xf>
    <xf numFmtId="43" fontId="22" fillId="0" borderId="0" xfId="14" applyFont="1" applyAlignment="1">
      <alignment horizontal="center"/>
    </xf>
    <xf numFmtId="165" fontId="21" fillId="0" borderId="1" xfId="1" applyNumberFormat="1" applyFont="1" applyBorder="1"/>
    <xf numFmtId="165" fontId="21" fillId="0" borderId="5" xfId="1" applyNumberFormat="1" applyFont="1" applyBorder="1" applyAlignment="1">
      <alignment vertical="top"/>
    </xf>
    <xf numFmtId="168" fontId="14" fillId="0" borderId="20" xfId="2" applyNumberFormat="1" applyFont="1" applyBorder="1" applyAlignment="1">
      <alignment horizontal="center"/>
    </xf>
    <xf numFmtId="168" fontId="14" fillId="0" borderId="23" xfId="2" applyNumberFormat="1" applyFont="1" applyBorder="1" applyAlignment="1">
      <alignment horizontal="center"/>
    </xf>
    <xf numFmtId="168" fontId="14" fillId="0" borderId="32" xfId="2" applyNumberFormat="1" applyFont="1" applyBorder="1" applyAlignment="1">
      <alignment horizontal="center"/>
    </xf>
    <xf numFmtId="168" fontId="50" fillId="17" borderId="5" xfId="2" applyNumberFormat="1" applyFont="1" applyFill="1" applyBorder="1" applyAlignment="1">
      <alignment horizontal="center" vertical="top" wrapText="1"/>
    </xf>
    <xf numFmtId="0" fontId="25" fillId="17" borderId="5" xfId="0" applyFont="1" applyFill="1" applyBorder="1" applyAlignment="1">
      <alignment horizontal="center" vertical="center" wrapText="1"/>
    </xf>
    <xf numFmtId="0" fontId="50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8" fillId="0" borderId="58" xfId="1" applyNumberFormat="1" applyFont="1" applyBorder="1" applyAlignment="1">
      <alignment vertical="top"/>
    </xf>
    <xf numFmtId="165" fontId="8" fillId="0" borderId="57" xfId="1" applyNumberFormat="1" applyFont="1" applyBorder="1" applyAlignment="1">
      <alignment vertical="top"/>
    </xf>
    <xf numFmtId="165" fontId="8" fillId="0" borderId="59" xfId="1" applyNumberFormat="1" applyFont="1" applyBorder="1" applyAlignment="1">
      <alignment vertical="top"/>
    </xf>
    <xf numFmtId="0" fontId="9" fillId="16" borderId="5" xfId="0" applyFont="1" applyFill="1" applyBorder="1" applyAlignment="1">
      <alignment horizontal="center" vertical="center" wrapText="1"/>
    </xf>
    <xf numFmtId="165" fontId="3" fillId="0" borderId="15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24" xfId="1" applyNumberFormat="1" applyFont="1" applyBorder="1" applyAlignment="1">
      <alignment horizontal="right" vertical="center"/>
    </xf>
    <xf numFmtId="165" fontId="9" fillId="16" borderId="5" xfId="1" applyNumberFormat="1" applyFont="1" applyFill="1" applyBorder="1" applyAlignment="1">
      <alignment vertical="top" wrapText="1"/>
    </xf>
    <xf numFmtId="165" fontId="25" fillId="17" borderId="5" xfId="1" applyNumberFormat="1" applyFont="1" applyFill="1" applyBorder="1" applyAlignment="1">
      <alignment vertical="top" wrapText="1"/>
    </xf>
    <xf numFmtId="165" fontId="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26" fillId="0" borderId="0" xfId="15" applyFont="1" applyAlignment="1">
      <alignment horizontal="center"/>
    </xf>
    <xf numFmtId="0" fontId="7" fillId="0" borderId="5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7" fillId="0" borderId="0" xfId="15" applyFont="1" applyAlignment="1">
      <alignment horizontal="center"/>
    </xf>
    <xf numFmtId="0" fontId="7" fillId="0" borderId="2" xfId="24" applyFont="1" applyBorder="1" applyAlignment="1">
      <alignment horizontal="center" vertical="center"/>
    </xf>
    <xf numFmtId="0" fontId="7" fillId="0" borderId="4" xfId="24" applyFont="1" applyBorder="1" applyAlignment="1">
      <alignment horizontal="center" vertical="center"/>
    </xf>
    <xf numFmtId="0" fontId="34" fillId="0" borderId="2" xfId="24" applyFont="1" applyBorder="1" applyAlignment="1">
      <alignment horizontal="left" vertical="top" wrapText="1"/>
    </xf>
    <xf numFmtId="0" fontId="34" fillId="0" borderId="3" xfId="24" applyFont="1" applyBorder="1" applyAlignment="1">
      <alignment horizontal="left" vertical="top" wrapText="1"/>
    </xf>
    <xf numFmtId="0" fontId="34" fillId="0" borderId="4" xfId="24" applyFont="1" applyBorder="1" applyAlignment="1">
      <alignment horizontal="left" vertical="top" wrapText="1"/>
    </xf>
    <xf numFmtId="0" fontId="31" fillId="0" borderId="2" xfId="24" applyFont="1" applyBorder="1" applyAlignment="1">
      <alignment horizontal="center" vertical="center" wrapText="1"/>
    </xf>
    <xf numFmtId="0" fontId="31" fillId="0" borderId="3" xfId="24" applyFont="1" applyBorder="1" applyAlignment="1">
      <alignment horizontal="center" vertical="center" wrapText="1"/>
    </xf>
    <xf numFmtId="0" fontId="31" fillId="0" borderId="4" xfId="24" applyFont="1" applyBorder="1" applyAlignment="1">
      <alignment horizontal="center" vertical="center" wrapText="1"/>
    </xf>
    <xf numFmtId="0" fontId="22" fillId="0" borderId="41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49" fillId="0" borderId="57" xfId="0" applyFont="1" applyBorder="1" applyAlignment="1">
      <alignment horizontal="left" wrapText="1"/>
    </xf>
    <xf numFmtId="0" fontId="49" fillId="0" borderId="42" xfId="0" applyFont="1" applyBorder="1" applyAlignment="1">
      <alignment horizontal="left" wrapText="1"/>
    </xf>
  </cellXfs>
  <cellStyles count="29">
    <cellStyle name="20% - Accent2" xfId="25" builtinId="34"/>
    <cellStyle name="Comma" xfId="14" builtinId="3"/>
    <cellStyle name="Comma 2" xfId="5" xr:uid="{2A681E24-D0D9-4A64-A7C3-94D76CC7B481}"/>
    <cellStyle name="Comma 2 2" xfId="20" xr:uid="{083DBF04-A74E-427C-B240-CE86B9E23ECC}"/>
    <cellStyle name="Currency" xfId="1" builtinId="4"/>
    <cellStyle name="Currency 2" xfId="4" xr:uid="{979A78FB-C7AA-4367-8426-EC76D4683AF9}"/>
    <cellStyle name="Currency 2 2" xfId="21" xr:uid="{DBA5DCBF-8376-4E12-85FF-205C35F7F151}"/>
    <cellStyle name="Currency 3" xfId="7" xr:uid="{442E720D-D10C-4E03-9056-2FA5C01C9752}"/>
    <cellStyle name="Currency 3 2" xfId="11" xr:uid="{705C7E37-D6D6-471B-A0DC-676B36DF1613}"/>
    <cellStyle name="Currency 3 2 2" xfId="18" xr:uid="{96D16B4A-5259-4B15-A14B-588C16522E35}"/>
    <cellStyle name="Currency 3 2 2 2" xfId="28" xr:uid="{8AD9DF01-B6C3-4FAA-A8F7-C67376B410CB}"/>
    <cellStyle name="Currency 4" xfId="16" xr:uid="{EE9EB699-6190-46ED-BD65-73D09B970377}"/>
    <cellStyle name="Line 2 Report Information Fill In" xfId="13" xr:uid="{AD1DB3E6-82C2-4DB8-B28F-C3F37B54778E}"/>
    <cellStyle name="Normal" xfId="0" builtinId="0"/>
    <cellStyle name="Normal 2" xfId="12" xr:uid="{98D89331-6EF8-4F96-BE9D-0E0170F96707}"/>
    <cellStyle name="Normal 3" xfId="6" xr:uid="{5E287F0D-ACF6-4A31-B324-F0802FB8622C}"/>
    <cellStyle name="Normal 3 2" xfId="9" xr:uid="{B43F49E9-3BA6-4CE7-8EB2-0450C5AD6997}"/>
    <cellStyle name="Normal 3 2 2" xfId="17" xr:uid="{F92651E8-0C96-4DCC-AEC0-25AD7D60EB96}"/>
    <cellStyle name="Normal 3 2 2 2" xfId="26" xr:uid="{0F374CE7-6556-4C7F-B2C1-D4270DB4E365}"/>
    <cellStyle name="Normal 3 2 3" xfId="24" xr:uid="{C0B3CD22-FB81-4973-87CE-7F5418C5794F}"/>
    <cellStyle name="Normal 3 3" xfId="23" xr:uid="{56A635DB-9A59-4D13-BCB9-30E35858FA44}"/>
    <cellStyle name="Normal 4" xfId="15" xr:uid="{62289CD8-9BA4-440C-B09F-2315A6CCD8EE}"/>
    <cellStyle name="Percent" xfId="2" builtinId="5"/>
    <cellStyle name="Percent 2" xfId="3" xr:uid="{39FFBDB5-EBDB-4434-94F3-3A9F24761576}"/>
    <cellStyle name="Percent 2 2" xfId="22" xr:uid="{2D1D581A-8455-4038-8310-5F444F7675F7}"/>
    <cellStyle name="Percent 3" xfId="8" xr:uid="{E63009D5-8F1A-48DC-872F-38CFD50B1C0C}"/>
    <cellStyle name="Percent 3 2" xfId="10" xr:uid="{9D64B549-1BB3-49D2-9372-AB4803435920}"/>
    <cellStyle name="Percent 3 2 2" xfId="19" xr:uid="{3A6ABBE7-7034-42EE-81EA-1BB428918064}"/>
    <cellStyle name="Percent 3 2 2 2" xfId="27" xr:uid="{1D2186DE-2D87-497D-A8F2-1221C3AB6958}"/>
  </cellStyles>
  <dxfs count="5">
    <dxf>
      <font>
        <color theme="4"/>
      </font>
      <numFmt numFmtId="14" formatCode="0.00%"/>
    </dxf>
    <dxf>
      <font>
        <color theme="4"/>
      </font>
      <numFmt numFmtId="14" formatCode="0.00%"/>
    </dxf>
    <dxf>
      <font>
        <color theme="4"/>
      </font>
      <numFmt numFmtId="14" formatCode="0.00%"/>
    </dxf>
    <dxf>
      <font>
        <color theme="4"/>
      </font>
    </dxf>
    <dxf>
      <font>
        <color theme="4"/>
      </font>
      <numFmt numFmtId="14" formatCode="0.00%"/>
    </dxf>
  </dxfs>
  <tableStyles count="0" defaultTableStyle="TableStyleMedium2" defaultPivotStyle="PivotStyleLight16"/>
  <colors>
    <mruColors>
      <color rgb="FF009959"/>
      <color rgb="FFCFB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155864</xdr:colOff>
      <xdr:row>71</xdr:row>
      <xdr:rowOff>182263</xdr:rowOff>
    </xdr:from>
    <xdr:to>
      <xdr:col>7</xdr:col>
      <xdr:colOff>1099705</xdr:colOff>
      <xdr:row>76</xdr:row>
      <xdr:rowOff>27783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57933F-1B0E-4366-B851-729A62E0CFB5}"/>
            </a:ext>
          </a:extLst>
        </xdr:cNvPr>
        <xdr:cNvSpPr txBox="1"/>
      </xdr:nvSpPr>
      <xdr:spPr>
        <a:xfrm>
          <a:off x="8840932" y="14842104"/>
          <a:ext cx="943841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Unspent Budgeted Funds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20-21)</a:t>
          </a:r>
        </a:p>
      </xdr:txBody>
    </xdr:sp>
    <xdr:clientData/>
  </xdr:twoCellAnchor>
  <xdr:twoCellAnchor>
    <xdr:from>
      <xdr:col>7</xdr:col>
      <xdr:colOff>620491</xdr:colOff>
      <xdr:row>70</xdr:row>
      <xdr:rowOff>60613</xdr:rowOff>
    </xdr:from>
    <xdr:to>
      <xdr:col>7</xdr:col>
      <xdr:colOff>620491</xdr:colOff>
      <xdr:row>71</xdr:row>
      <xdr:rowOff>176969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CA5FB35-62EB-4CF6-842B-E9D42BF98871}"/>
            </a:ext>
          </a:extLst>
        </xdr:cNvPr>
        <xdr:cNvCxnSpPr/>
      </xdr:nvCxnSpPr>
      <xdr:spPr>
        <a:xfrm flipV="1">
          <a:off x="9305559" y="14521295"/>
          <a:ext cx="0" cy="315515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29766</xdr:colOff>
      <xdr:row>7</xdr:row>
      <xdr:rowOff>132293</xdr:rowOff>
    </xdr:from>
    <xdr:to>
      <xdr:col>4</xdr:col>
      <xdr:colOff>1115880</xdr:colOff>
      <xdr:row>11</xdr:row>
      <xdr:rowOff>148830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586D3B-E8CE-4BF7-931E-73F04E3E1DE4}"/>
            </a:ext>
          </a:extLst>
        </xdr:cNvPr>
        <xdr:cNvSpPr txBox="1"/>
      </xdr:nvSpPr>
      <xdr:spPr>
        <a:xfrm>
          <a:off x="6185297" y="1697965"/>
          <a:ext cx="1086114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Additional Cumulative Excess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2020-21)</a:t>
          </a:r>
        </a:p>
      </xdr:txBody>
    </xdr:sp>
    <xdr:clientData/>
  </xdr:twoCellAnchor>
  <xdr:twoCellAnchor>
    <xdr:from>
      <xdr:col>4</xdr:col>
      <xdr:colOff>589643</xdr:colOff>
      <xdr:row>6</xdr:row>
      <xdr:rowOff>31750</xdr:rowOff>
    </xdr:from>
    <xdr:to>
      <xdr:col>4</xdr:col>
      <xdr:colOff>589643</xdr:colOff>
      <xdr:row>7</xdr:row>
      <xdr:rowOff>126999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04280D3-2FBC-4855-AF0D-0F0F3F13F630}"/>
            </a:ext>
          </a:extLst>
        </xdr:cNvPr>
        <xdr:cNvCxnSpPr/>
      </xdr:nvCxnSpPr>
      <xdr:spPr>
        <a:xfrm flipV="1">
          <a:off x="6753679" y="1374321"/>
          <a:ext cx="0" cy="312964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FFFFFF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C21-4591-4666-B498-E14EF62D73DD}">
  <sheetPr>
    <pageSetUpPr fitToPage="1"/>
  </sheetPr>
  <dimension ref="A1:C17"/>
  <sheetViews>
    <sheetView tabSelected="1" zoomScale="120" zoomScaleNormal="120" workbookViewId="0">
      <selection activeCell="A8" sqref="A8"/>
    </sheetView>
  </sheetViews>
  <sheetFormatPr defaultRowHeight="21" x14ac:dyDescent="0.35"/>
  <cols>
    <col min="1" max="1" width="105.7109375" style="100" customWidth="1"/>
    <col min="2" max="2" width="28" style="100" customWidth="1"/>
    <col min="3" max="3" width="3.85546875" style="100" customWidth="1"/>
    <col min="4" max="16384" width="9.140625" style="100"/>
  </cols>
  <sheetData>
    <row r="1" spans="1:3" x14ac:dyDescent="0.35">
      <c r="A1" s="309" t="s">
        <v>71</v>
      </c>
      <c r="B1" s="309"/>
    </row>
    <row r="2" spans="1:3" ht="37.5" customHeight="1" x14ac:dyDescent="0.35"/>
    <row r="3" spans="1:3" x14ac:dyDescent="0.35">
      <c r="A3" s="100" t="s">
        <v>225</v>
      </c>
      <c r="B3" s="101">
        <v>441000000</v>
      </c>
    </row>
    <row r="4" spans="1:3" x14ac:dyDescent="0.35">
      <c r="A4" s="100" t="s">
        <v>226</v>
      </c>
      <c r="B4" s="101">
        <f>3200000/2</f>
        <v>1600000</v>
      </c>
    </row>
    <row r="5" spans="1:3" x14ac:dyDescent="0.35">
      <c r="A5" s="100" t="s">
        <v>207</v>
      </c>
      <c r="B5" s="102">
        <f>B4*-0.1</f>
        <v>-160000</v>
      </c>
      <c r="C5" s="103"/>
    </row>
    <row r="6" spans="1:3" x14ac:dyDescent="0.35">
      <c r="A6" s="100" t="s">
        <v>205</v>
      </c>
      <c r="B6" s="101">
        <v>1019573.4149999996</v>
      </c>
      <c r="C6" s="103"/>
    </row>
    <row r="7" spans="1:3" ht="21.75" thickBot="1" x14ac:dyDescent="0.4">
      <c r="A7" s="100" t="s">
        <v>206</v>
      </c>
      <c r="B7" s="101">
        <v>9750224</v>
      </c>
    </row>
    <row r="8" spans="1:3" ht="21.75" thickTop="1" x14ac:dyDescent="0.35">
      <c r="B8" s="104">
        <f>SUM(B3:B7)</f>
        <v>453209797.41500002</v>
      </c>
    </row>
    <row r="9" spans="1:3" x14ac:dyDescent="0.35">
      <c r="B9" s="105"/>
    </row>
    <row r="10" spans="1:3" x14ac:dyDescent="0.35">
      <c r="B10" s="105"/>
    </row>
    <row r="11" spans="1:3" x14ac:dyDescent="0.35">
      <c r="A11" s="100" t="s">
        <v>208</v>
      </c>
      <c r="B11" s="101">
        <v>444778204</v>
      </c>
    </row>
    <row r="12" spans="1:3" x14ac:dyDescent="0.35">
      <c r="B12" s="101"/>
    </row>
    <row r="13" spans="1:3" s="106" customFormat="1" x14ac:dyDescent="0.35">
      <c r="A13" s="106" t="s">
        <v>79</v>
      </c>
      <c r="B13" s="107">
        <f>B8-B11</f>
        <v>8431593.4150000215</v>
      </c>
    </row>
    <row r="14" spans="1:3" x14ac:dyDescent="0.35">
      <c r="B14" s="180">
        <f>B13/B11</f>
        <v>1.8956849367106177E-2</v>
      </c>
    </row>
    <row r="16" spans="1:3" hidden="1" x14ac:dyDescent="0.35">
      <c r="A16" s="108" t="s">
        <v>90</v>
      </c>
    </row>
    <row r="17" spans="2:2" x14ac:dyDescent="0.35">
      <c r="B17" s="109"/>
    </row>
  </sheetData>
  <mergeCells count="1">
    <mergeCell ref="A1:B1"/>
  </mergeCells>
  <printOptions horizontalCentered="1"/>
  <pageMargins left="0.5" right="0.5" top="1" bottom="1" header="0.5" footer="0.5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FB5C-5BBD-4F93-B513-679AB15A926C}">
  <sheetPr>
    <pageSetUpPr fitToPage="1"/>
  </sheetPr>
  <dimension ref="A1:H78"/>
  <sheetViews>
    <sheetView zoomScale="140" zoomScaleNormal="140" zoomScalePageLayoutView="55" workbookViewId="0">
      <pane ySplit="2" topLeftCell="A63" activePane="bottomLeft" state="frozen"/>
      <selection pane="bottomLeft" activeCell="A74" sqref="A74:F74"/>
    </sheetView>
  </sheetViews>
  <sheetFormatPr defaultColWidth="2.28515625" defaultRowHeight="13.5" x14ac:dyDescent="0.25"/>
  <cols>
    <col min="1" max="1" width="14" style="8" customWidth="1"/>
    <col min="2" max="2" width="6.28515625" style="8" customWidth="1"/>
    <col min="3" max="3" width="17.42578125" style="8" customWidth="1"/>
    <col min="4" max="4" width="17" style="3" customWidth="1"/>
    <col min="5" max="5" width="19.42578125" style="8" customWidth="1"/>
    <col min="6" max="6" width="10" style="24" customWidth="1"/>
    <col min="7" max="16384" width="2.28515625" style="8"/>
  </cols>
  <sheetData>
    <row r="1" spans="1:8" ht="14.25" hidden="1" thickBot="1" x14ac:dyDescent="0.3">
      <c r="A1" s="244" t="s">
        <v>69</v>
      </c>
      <c r="D1" s="246">
        <f>ROUND((C71*0.1),0)</f>
        <v>44477820</v>
      </c>
      <c r="E1" s="287">
        <v>0.1</v>
      </c>
    </row>
    <row r="2" spans="1:8" s="51" customFormat="1" ht="54.75" thickBot="1" x14ac:dyDescent="0.3">
      <c r="A2" s="284" t="s">
        <v>0</v>
      </c>
      <c r="B2" s="210" t="s">
        <v>73</v>
      </c>
      <c r="C2" s="300" t="s">
        <v>72</v>
      </c>
      <c r="D2" s="296" t="s">
        <v>236</v>
      </c>
      <c r="E2" s="294" t="s">
        <v>237</v>
      </c>
      <c r="F2" s="295" t="s">
        <v>238</v>
      </c>
      <c r="G2" s="8"/>
      <c r="H2" s="8"/>
    </row>
    <row r="3" spans="1:8" s="42" customFormat="1" x14ac:dyDescent="0.25">
      <c r="A3" s="50" t="s">
        <v>1</v>
      </c>
      <c r="B3" s="49">
        <v>1</v>
      </c>
      <c r="C3" s="301">
        <v>448334</v>
      </c>
      <c r="D3" s="297">
        <f t="shared" ref="D3:D34" si="0">-(C3*E$1)</f>
        <v>-44833.4</v>
      </c>
      <c r="E3" s="249">
        <f>C3+D3</f>
        <v>403500.6</v>
      </c>
      <c r="F3" s="290">
        <f>E3/C3-1</f>
        <v>-0.10000000000000009</v>
      </c>
      <c r="G3" s="8"/>
      <c r="H3" s="8"/>
    </row>
    <row r="4" spans="1:8" customFormat="1" ht="13.5" customHeight="1" x14ac:dyDescent="0.25">
      <c r="A4" s="31" t="s">
        <v>2</v>
      </c>
      <c r="B4" s="32">
        <v>1</v>
      </c>
      <c r="C4" s="302">
        <v>307140</v>
      </c>
      <c r="D4" s="298">
        <f t="shared" si="0"/>
        <v>-30714</v>
      </c>
      <c r="E4" s="251">
        <f t="shared" ref="E4:E67" si="1">C4+D4</f>
        <v>276426</v>
      </c>
      <c r="F4" s="291">
        <f t="shared" ref="F4:F67" si="2">E4/C4-1</f>
        <v>-9.9999999999999978E-2</v>
      </c>
    </row>
    <row r="5" spans="1:8" s="43" customFormat="1" x14ac:dyDescent="0.25">
      <c r="A5" s="31" t="s">
        <v>3</v>
      </c>
      <c r="B5" s="32">
        <v>1</v>
      </c>
      <c r="C5" s="302">
        <v>312333</v>
      </c>
      <c r="D5" s="298">
        <f t="shared" si="0"/>
        <v>-31233.300000000003</v>
      </c>
      <c r="E5" s="251">
        <f t="shared" si="1"/>
        <v>281099.7</v>
      </c>
      <c r="F5" s="291">
        <f t="shared" si="2"/>
        <v>-9.9999999999999978E-2</v>
      </c>
      <c r="G5" s="8"/>
      <c r="H5" s="8"/>
    </row>
    <row r="6" spans="1:8" s="42" customFormat="1" x14ac:dyDescent="0.25">
      <c r="A6" s="31" t="s">
        <v>4</v>
      </c>
      <c r="B6" s="32">
        <v>1</v>
      </c>
      <c r="C6" s="302">
        <v>485497</v>
      </c>
      <c r="D6" s="298">
        <f t="shared" si="0"/>
        <v>-48549.700000000004</v>
      </c>
      <c r="E6" s="251">
        <f t="shared" si="1"/>
        <v>436947.3</v>
      </c>
      <c r="F6" s="291">
        <f t="shared" si="2"/>
        <v>-9.9999999999999978E-2</v>
      </c>
      <c r="G6" s="8"/>
      <c r="H6" s="8"/>
    </row>
    <row r="7" spans="1:8" s="42" customFormat="1" x14ac:dyDescent="0.25">
      <c r="A7" s="31" t="s">
        <v>5</v>
      </c>
      <c r="B7" s="32">
        <v>2</v>
      </c>
      <c r="C7" s="302">
        <v>707152</v>
      </c>
      <c r="D7" s="298">
        <f t="shared" si="0"/>
        <v>-70715.199999999997</v>
      </c>
      <c r="E7" s="251">
        <f t="shared" si="1"/>
        <v>636436.80000000005</v>
      </c>
      <c r="F7" s="291">
        <f t="shared" si="2"/>
        <v>-9.9999999999999978E-2</v>
      </c>
      <c r="G7" s="8"/>
      <c r="H7" s="8"/>
    </row>
    <row r="8" spans="1:8" s="42" customFormat="1" x14ac:dyDescent="0.25">
      <c r="A8" s="31" t="s">
        <v>6</v>
      </c>
      <c r="B8" s="32">
        <v>2</v>
      </c>
      <c r="C8" s="302">
        <v>489054</v>
      </c>
      <c r="D8" s="298">
        <f t="shared" si="0"/>
        <v>-48905.4</v>
      </c>
      <c r="E8" s="251">
        <f t="shared" si="1"/>
        <v>440148.6</v>
      </c>
      <c r="F8" s="291">
        <f t="shared" si="2"/>
        <v>-0.10000000000000009</v>
      </c>
      <c r="G8" s="8"/>
      <c r="H8" s="8"/>
    </row>
    <row r="9" spans="1:8" s="42" customFormat="1" x14ac:dyDescent="0.25">
      <c r="A9" s="31" t="s">
        <v>7</v>
      </c>
      <c r="B9" s="32">
        <v>2</v>
      </c>
      <c r="C9" s="302">
        <v>658287</v>
      </c>
      <c r="D9" s="298">
        <f t="shared" si="0"/>
        <v>-65828.7</v>
      </c>
      <c r="E9" s="251">
        <f t="shared" si="1"/>
        <v>592458.30000000005</v>
      </c>
      <c r="F9" s="291">
        <f t="shared" si="2"/>
        <v>-9.9999999999999978E-2</v>
      </c>
      <c r="G9" s="8"/>
      <c r="H9" s="8"/>
    </row>
    <row r="10" spans="1:8" s="42" customFormat="1" x14ac:dyDescent="0.25">
      <c r="A10" s="31" t="s">
        <v>8</v>
      </c>
      <c r="B10" s="32">
        <v>2</v>
      </c>
      <c r="C10" s="302">
        <v>545457</v>
      </c>
      <c r="D10" s="298">
        <f t="shared" si="0"/>
        <v>-54545.700000000004</v>
      </c>
      <c r="E10" s="251">
        <f t="shared" si="1"/>
        <v>490911.3</v>
      </c>
      <c r="F10" s="291">
        <f t="shared" si="2"/>
        <v>-9.9999999999999978E-2</v>
      </c>
      <c r="G10" s="8"/>
      <c r="H10" s="8"/>
    </row>
    <row r="11" spans="1:8" s="42" customFormat="1" x14ac:dyDescent="0.25">
      <c r="A11" s="31" t="s">
        <v>9</v>
      </c>
      <c r="B11" s="32">
        <v>2</v>
      </c>
      <c r="C11" s="302">
        <v>566489</v>
      </c>
      <c r="D11" s="298">
        <f t="shared" si="0"/>
        <v>-56648.9</v>
      </c>
      <c r="E11" s="251">
        <f t="shared" si="1"/>
        <v>509840.1</v>
      </c>
      <c r="F11" s="291">
        <f t="shared" si="2"/>
        <v>-0.10000000000000009</v>
      </c>
      <c r="G11" s="8"/>
      <c r="H11" s="8"/>
    </row>
    <row r="12" spans="1:8" s="42" customFormat="1" x14ac:dyDescent="0.25">
      <c r="A12" s="31" t="s">
        <v>10</v>
      </c>
      <c r="B12" s="32">
        <v>2</v>
      </c>
      <c r="C12" s="302">
        <v>490361</v>
      </c>
      <c r="D12" s="298">
        <f t="shared" si="0"/>
        <v>-49036.100000000006</v>
      </c>
      <c r="E12" s="251">
        <f t="shared" si="1"/>
        <v>441324.9</v>
      </c>
      <c r="F12" s="291">
        <f t="shared" si="2"/>
        <v>-9.9999999999999978E-2</v>
      </c>
      <c r="G12" s="8"/>
      <c r="H12" s="8"/>
    </row>
    <row r="13" spans="1:8" s="42" customFormat="1" ht="12.75" customHeight="1" x14ac:dyDescent="0.25">
      <c r="A13" s="31" t="s">
        <v>11</v>
      </c>
      <c r="B13" s="32">
        <v>2</v>
      </c>
      <c r="C13" s="302">
        <v>596303</v>
      </c>
      <c r="D13" s="298">
        <f t="shared" si="0"/>
        <v>-59630.3</v>
      </c>
      <c r="E13" s="251">
        <f t="shared" si="1"/>
        <v>536672.69999999995</v>
      </c>
      <c r="F13" s="291">
        <f t="shared" si="2"/>
        <v>-0.10000000000000009</v>
      </c>
      <c r="G13" s="8"/>
      <c r="H13" s="8"/>
    </row>
    <row r="14" spans="1:8" s="42" customFormat="1" x14ac:dyDescent="0.25">
      <c r="A14" s="31" t="s">
        <v>12</v>
      </c>
      <c r="B14" s="32">
        <v>2</v>
      </c>
      <c r="C14" s="302">
        <v>589080</v>
      </c>
      <c r="D14" s="298">
        <f t="shared" si="0"/>
        <v>-58908</v>
      </c>
      <c r="E14" s="251">
        <f t="shared" si="1"/>
        <v>530172</v>
      </c>
      <c r="F14" s="291">
        <f t="shared" si="2"/>
        <v>-9.9999999999999978E-2</v>
      </c>
      <c r="G14" s="8"/>
      <c r="H14" s="8"/>
    </row>
    <row r="15" spans="1:8" s="42" customFormat="1" x14ac:dyDescent="0.25">
      <c r="A15" s="31" t="s">
        <v>13</v>
      </c>
      <c r="B15" s="32">
        <v>2</v>
      </c>
      <c r="C15" s="302">
        <v>501826</v>
      </c>
      <c r="D15" s="298">
        <f t="shared" si="0"/>
        <v>-50182.600000000006</v>
      </c>
      <c r="E15" s="251">
        <f t="shared" si="1"/>
        <v>451643.4</v>
      </c>
      <c r="F15" s="291">
        <f t="shared" si="2"/>
        <v>-9.9999999999999978E-2</v>
      </c>
      <c r="G15" s="8"/>
      <c r="H15" s="8"/>
    </row>
    <row r="16" spans="1:8" s="42" customFormat="1" x14ac:dyDescent="0.25">
      <c r="A16" s="31" t="s">
        <v>14</v>
      </c>
      <c r="B16" s="32">
        <v>2</v>
      </c>
      <c r="C16" s="302">
        <v>562835</v>
      </c>
      <c r="D16" s="298">
        <f t="shared" si="0"/>
        <v>-56283.5</v>
      </c>
      <c r="E16" s="251">
        <f t="shared" si="1"/>
        <v>506551.5</v>
      </c>
      <c r="F16" s="291">
        <f t="shared" si="2"/>
        <v>-9.9999999999999978E-2</v>
      </c>
      <c r="G16" s="8"/>
      <c r="H16" s="8"/>
    </row>
    <row r="17" spans="1:8" s="42" customFormat="1" x14ac:dyDescent="0.25">
      <c r="A17" s="31" t="s">
        <v>15</v>
      </c>
      <c r="B17" s="32">
        <v>2</v>
      </c>
      <c r="C17" s="302">
        <v>786795</v>
      </c>
      <c r="D17" s="298">
        <f t="shared" si="0"/>
        <v>-78679.5</v>
      </c>
      <c r="E17" s="251">
        <f t="shared" si="1"/>
        <v>708115.5</v>
      </c>
      <c r="F17" s="291">
        <f t="shared" si="2"/>
        <v>-9.9999999999999978E-2</v>
      </c>
      <c r="G17" s="8"/>
      <c r="H17" s="8"/>
    </row>
    <row r="18" spans="1:8" s="42" customFormat="1" x14ac:dyDescent="0.25">
      <c r="A18" s="31" t="s">
        <v>16</v>
      </c>
      <c r="B18" s="32">
        <v>3</v>
      </c>
      <c r="C18" s="302">
        <v>854135</v>
      </c>
      <c r="D18" s="298">
        <f t="shared" si="0"/>
        <v>-85413.5</v>
      </c>
      <c r="E18" s="251">
        <f t="shared" si="1"/>
        <v>768721.5</v>
      </c>
      <c r="F18" s="291">
        <f t="shared" si="2"/>
        <v>-9.9999999999999978E-2</v>
      </c>
      <c r="G18" s="8"/>
      <c r="H18" s="8"/>
    </row>
    <row r="19" spans="1:8" s="42" customFormat="1" x14ac:dyDescent="0.25">
      <c r="A19" s="31" t="s">
        <v>17</v>
      </c>
      <c r="B19" s="32">
        <v>3</v>
      </c>
      <c r="C19" s="302">
        <v>805964</v>
      </c>
      <c r="D19" s="298">
        <f t="shared" si="0"/>
        <v>-80596.400000000009</v>
      </c>
      <c r="E19" s="251">
        <f t="shared" si="1"/>
        <v>725367.6</v>
      </c>
      <c r="F19" s="291">
        <f t="shared" si="2"/>
        <v>-9.9999999999999978E-2</v>
      </c>
      <c r="G19" s="8"/>
      <c r="H19" s="8"/>
    </row>
    <row r="20" spans="1:8" s="42" customFormat="1" x14ac:dyDescent="0.25">
      <c r="A20" s="31" t="s">
        <v>18</v>
      </c>
      <c r="B20" s="32">
        <v>3</v>
      </c>
      <c r="C20" s="302">
        <v>1334828</v>
      </c>
      <c r="D20" s="298">
        <f t="shared" si="0"/>
        <v>-133482.80000000002</v>
      </c>
      <c r="E20" s="251">
        <f t="shared" si="1"/>
        <v>1201345.2</v>
      </c>
      <c r="F20" s="291">
        <f t="shared" si="2"/>
        <v>-0.10000000000000009</v>
      </c>
      <c r="G20" s="8"/>
      <c r="H20" s="8"/>
    </row>
    <row r="21" spans="1:8" s="42" customFormat="1" x14ac:dyDescent="0.25">
      <c r="A21" s="31" t="s">
        <v>19</v>
      </c>
      <c r="B21" s="32">
        <v>3</v>
      </c>
      <c r="C21" s="302">
        <v>906252</v>
      </c>
      <c r="D21" s="298">
        <f t="shared" si="0"/>
        <v>-90625.200000000012</v>
      </c>
      <c r="E21" s="251">
        <f t="shared" si="1"/>
        <v>815626.8</v>
      </c>
      <c r="F21" s="291">
        <f t="shared" si="2"/>
        <v>-9.9999999999999978E-2</v>
      </c>
      <c r="G21" s="8"/>
      <c r="H21" s="8"/>
    </row>
    <row r="22" spans="1:8" s="42" customFormat="1" x14ac:dyDescent="0.25">
      <c r="A22" s="31" t="s">
        <v>20</v>
      </c>
      <c r="B22" s="32">
        <v>3</v>
      </c>
      <c r="C22" s="302">
        <v>1281071</v>
      </c>
      <c r="D22" s="298">
        <f t="shared" si="0"/>
        <v>-128107.1</v>
      </c>
      <c r="E22" s="251">
        <f t="shared" si="1"/>
        <v>1152963.8999999999</v>
      </c>
      <c r="F22" s="291">
        <f t="shared" si="2"/>
        <v>-0.10000000000000009</v>
      </c>
      <c r="G22" s="8"/>
      <c r="H22" s="8"/>
    </row>
    <row r="23" spans="1:8" s="42" customFormat="1" x14ac:dyDescent="0.25">
      <c r="A23" s="31" t="s">
        <v>21</v>
      </c>
      <c r="B23" s="32">
        <v>3</v>
      </c>
      <c r="C23" s="302">
        <v>1104348</v>
      </c>
      <c r="D23" s="298">
        <f t="shared" si="0"/>
        <v>-110434.8</v>
      </c>
      <c r="E23" s="251">
        <f t="shared" si="1"/>
        <v>993913.2</v>
      </c>
      <c r="F23" s="291">
        <f t="shared" si="2"/>
        <v>-0.10000000000000009</v>
      </c>
      <c r="G23" s="8"/>
      <c r="H23" s="8"/>
    </row>
    <row r="24" spans="1:8" s="42" customFormat="1" x14ac:dyDescent="0.25">
      <c r="A24" s="31" t="s">
        <v>22</v>
      </c>
      <c r="B24" s="32">
        <v>3</v>
      </c>
      <c r="C24" s="302">
        <v>1122633</v>
      </c>
      <c r="D24" s="298">
        <f t="shared" si="0"/>
        <v>-112263.3</v>
      </c>
      <c r="E24" s="251">
        <f t="shared" si="1"/>
        <v>1010369.7</v>
      </c>
      <c r="F24" s="291">
        <f t="shared" si="2"/>
        <v>-0.10000000000000009</v>
      </c>
      <c r="G24" s="8"/>
      <c r="H24" s="8"/>
    </row>
    <row r="25" spans="1:8" s="42" customFormat="1" x14ac:dyDescent="0.25">
      <c r="A25" s="31" t="s">
        <v>23</v>
      </c>
      <c r="B25" s="32">
        <v>3</v>
      </c>
      <c r="C25" s="302">
        <v>556502</v>
      </c>
      <c r="D25" s="298">
        <f t="shared" si="0"/>
        <v>-55650.200000000004</v>
      </c>
      <c r="E25" s="251">
        <f t="shared" si="1"/>
        <v>500851.8</v>
      </c>
      <c r="F25" s="291">
        <f t="shared" si="2"/>
        <v>-9.9999999999999978E-2</v>
      </c>
      <c r="G25" s="8"/>
      <c r="H25" s="8"/>
    </row>
    <row r="26" spans="1:8" s="42" customFormat="1" x14ac:dyDescent="0.25">
      <c r="A26" s="31" t="s">
        <v>24</v>
      </c>
      <c r="B26" s="32">
        <v>3</v>
      </c>
      <c r="C26" s="302">
        <v>1273503</v>
      </c>
      <c r="D26" s="298">
        <f t="shared" si="0"/>
        <v>-127350.3</v>
      </c>
      <c r="E26" s="251">
        <f t="shared" si="1"/>
        <v>1146152.7</v>
      </c>
      <c r="F26" s="291">
        <f t="shared" si="2"/>
        <v>-0.10000000000000009</v>
      </c>
      <c r="G26" s="8"/>
      <c r="H26" s="8"/>
    </row>
    <row r="27" spans="1:8" s="42" customFormat="1" x14ac:dyDescent="0.25">
      <c r="A27" s="31" t="s">
        <v>25</v>
      </c>
      <c r="B27" s="32">
        <v>3</v>
      </c>
      <c r="C27" s="302">
        <v>1172095</v>
      </c>
      <c r="D27" s="298">
        <f t="shared" si="0"/>
        <v>-117209.5</v>
      </c>
      <c r="E27" s="251">
        <f t="shared" si="1"/>
        <v>1054885.5</v>
      </c>
      <c r="F27" s="291">
        <f t="shared" si="2"/>
        <v>-9.9999999999999978E-2</v>
      </c>
      <c r="G27" s="8"/>
      <c r="H27" s="8"/>
    </row>
    <row r="28" spans="1:8" s="42" customFormat="1" x14ac:dyDescent="0.25">
      <c r="A28" s="31" t="s">
        <v>26</v>
      </c>
      <c r="B28" s="32">
        <v>3</v>
      </c>
      <c r="C28" s="302">
        <v>688701</v>
      </c>
      <c r="D28" s="298">
        <f t="shared" si="0"/>
        <v>-68870.100000000006</v>
      </c>
      <c r="E28" s="251">
        <f t="shared" si="1"/>
        <v>619830.9</v>
      </c>
      <c r="F28" s="291">
        <f t="shared" si="2"/>
        <v>-9.9999999999999978E-2</v>
      </c>
      <c r="G28" s="8"/>
      <c r="H28" s="8"/>
    </row>
    <row r="29" spans="1:8" s="42" customFormat="1" x14ac:dyDescent="0.25">
      <c r="A29" s="31" t="s">
        <v>27</v>
      </c>
      <c r="B29" s="32">
        <v>4</v>
      </c>
      <c r="C29" s="302">
        <v>2995549</v>
      </c>
      <c r="D29" s="298">
        <f t="shared" si="0"/>
        <v>-299554.90000000002</v>
      </c>
      <c r="E29" s="251">
        <f t="shared" si="1"/>
        <v>2695994.1</v>
      </c>
      <c r="F29" s="291">
        <f t="shared" si="2"/>
        <v>-9.9999999999999978E-2</v>
      </c>
      <c r="G29" s="8"/>
      <c r="H29" s="8"/>
    </row>
    <row r="30" spans="1:8" s="42" customFormat="1" x14ac:dyDescent="0.25">
      <c r="A30" s="31" t="s">
        <v>28</v>
      </c>
      <c r="B30" s="32">
        <v>4</v>
      </c>
      <c r="C30" s="302">
        <v>1527140</v>
      </c>
      <c r="D30" s="298">
        <f t="shared" si="0"/>
        <v>-152714</v>
      </c>
      <c r="E30" s="251">
        <f t="shared" si="1"/>
        <v>1374426</v>
      </c>
      <c r="F30" s="291">
        <f t="shared" si="2"/>
        <v>-9.9999999999999978E-2</v>
      </c>
      <c r="G30" s="8"/>
      <c r="H30" s="8"/>
    </row>
    <row r="31" spans="1:8" s="42" customFormat="1" x14ac:dyDescent="0.25">
      <c r="A31" s="31" t="s">
        <v>29</v>
      </c>
      <c r="B31" s="32">
        <v>4</v>
      </c>
      <c r="C31" s="302">
        <v>1818120</v>
      </c>
      <c r="D31" s="298">
        <f t="shared" si="0"/>
        <v>-181812</v>
      </c>
      <c r="E31" s="251">
        <f t="shared" si="1"/>
        <v>1636308</v>
      </c>
      <c r="F31" s="291">
        <f t="shared" si="2"/>
        <v>-9.9999999999999978E-2</v>
      </c>
      <c r="G31" s="8"/>
      <c r="H31" s="8"/>
    </row>
    <row r="32" spans="1:8" s="42" customFormat="1" x14ac:dyDescent="0.25">
      <c r="A32" s="31" t="s">
        <v>30</v>
      </c>
      <c r="B32" s="32">
        <v>4</v>
      </c>
      <c r="C32" s="302">
        <v>1963861</v>
      </c>
      <c r="D32" s="298">
        <f t="shared" si="0"/>
        <v>-196386.1</v>
      </c>
      <c r="E32" s="251">
        <f t="shared" si="1"/>
        <v>1767474.9</v>
      </c>
      <c r="F32" s="291">
        <f t="shared" si="2"/>
        <v>-0.10000000000000009</v>
      </c>
      <c r="G32" s="8"/>
      <c r="H32" s="8"/>
    </row>
    <row r="33" spans="1:8" s="42" customFormat="1" x14ac:dyDescent="0.25">
      <c r="A33" s="31" t="s">
        <v>31</v>
      </c>
      <c r="B33" s="32">
        <v>4</v>
      </c>
      <c r="C33" s="302">
        <v>2968481</v>
      </c>
      <c r="D33" s="298">
        <f t="shared" si="0"/>
        <v>-296848.10000000003</v>
      </c>
      <c r="E33" s="251">
        <f t="shared" si="1"/>
        <v>2671632.9</v>
      </c>
      <c r="F33" s="291">
        <f t="shared" si="2"/>
        <v>-9.9999999999999978E-2</v>
      </c>
      <c r="G33" s="8"/>
      <c r="H33" s="8"/>
    </row>
    <row r="34" spans="1:8" s="42" customFormat="1" x14ac:dyDescent="0.25">
      <c r="A34" s="31" t="s">
        <v>32</v>
      </c>
      <c r="B34" s="32">
        <v>4</v>
      </c>
      <c r="C34" s="302">
        <v>1563243</v>
      </c>
      <c r="D34" s="298">
        <f t="shared" si="0"/>
        <v>-156324.30000000002</v>
      </c>
      <c r="E34" s="251">
        <f t="shared" si="1"/>
        <v>1406918.7</v>
      </c>
      <c r="F34" s="291">
        <f t="shared" si="2"/>
        <v>-9.9999999999999978E-2</v>
      </c>
      <c r="G34" s="8"/>
      <c r="H34" s="8"/>
    </row>
    <row r="35" spans="1:8" s="42" customFormat="1" x14ac:dyDescent="0.25">
      <c r="A35" s="31" t="s">
        <v>33</v>
      </c>
      <c r="B35" s="32">
        <v>4</v>
      </c>
      <c r="C35" s="302">
        <v>2147549</v>
      </c>
      <c r="D35" s="298">
        <f t="shared" ref="D35:D66" si="3">-(C35*E$1)</f>
        <v>-214754.90000000002</v>
      </c>
      <c r="E35" s="251">
        <f t="shared" si="1"/>
        <v>1932794.1</v>
      </c>
      <c r="F35" s="291">
        <f t="shared" si="2"/>
        <v>-9.9999999999999978E-2</v>
      </c>
      <c r="G35" s="8"/>
      <c r="H35" s="8"/>
    </row>
    <row r="36" spans="1:8" s="42" customFormat="1" x14ac:dyDescent="0.25">
      <c r="A36" s="31" t="s">
        <v>34</v>
      </c>
      <c r="B36" s="32">
        <v>4</v>
      </c>
      <c r="C36" s="302">
        <v>1897084</v>
      </c>
      <c r="D36" s="298">
        <f t="shared" si="3"/>
        <v>-189708.40000000002</v>
      </c>
      <c r="E36" s="251">
        <f t="shared" si="1"/>
        <v>1707375.6</v>
      </c>
      <c r="F36" s="291">
        <f t="shared" si="2"/>
        <v>-9.9999999999999978E-2</v>
      </c>
      <c r="G36" s="8"/>
      <c r="H36" s="8"/>
    </row>
    <row r="37" spans="1:8" s="42" customFormat="1" x14ac:dyDescent="0.25">
      <c r="A37" s="31" t="s">
        <v>35</v>
      </c>
      <c r="B37" s="32">
        <v>4</v>
      </c>
      <c r="C37" s="302">
        <v>1649782</v>
      </c>
      <c r="D37" s="298">
        <f t="shared" si="3"/>
        <v>-164978.20000000001</v>
      </c>
      <c r="E37" s="251">
        <f t="shared" si="1"/>
        <v>1484803.8</v>
      </c>
      <c r="F37" s="291">
        <f t="shared" si="2"/>
        <v>-9.9999999999999978E-2</v>
      </c>
      <c r="G37" s="8"/>
      <c r="H37" s="8"/>
    </row>
    <row r="38" spans="1:8" s="42" customFormat="1" x14ac:dyDescent="0.25">
      <c r="A38" s="31" t="s">
        <v>36</v>
      </c>
      <c r="B38" s="32">
        <v>5</v>
      </c>
      <c r="C38" s="302">
        <v>5812319</v>
      </c>
      <c r="D38" s="298">
        <f t="shared" si="3"/>
        <v>-581231.9</v>
      </c>
      <c r="E38" s="251">
        <f t="shared" si="1"/>
        <v>5231087.0999999996</v>
      </c>
      <c r="F38" s="291">
        <f t="shared" si="2"/>
        <v>-0.10000000000000009</v>
      </c>
      <c r="G38" s="8"/>
      <c r="H38" s="8"/>
    </row>
    <row r="39" spans="1:8" s="42" customFormat="1" x14ac:dyDescent="0.25">
      <c r="A39" s="31" t="s">
        <v>37</v>
      </c>
      <c r="B39" s="32">
        <v>5</v>
      </c>
      <c r="C39" s="302">
        <v>3537405</v>
      </c>
      <c r="D39" s="298">
        <f t="shared" si="3"/>
        <v>-353740.5</v>
      </c>
      <c r="E39" s="251">
        <f t="shared" si="1"/>
        <v>3183664.5</v>
      </c>
      <c r="F39" s="291">
        <f t="shared" si="2"/>
        <v>-9.9999999999999978E-2</v>
      </c>
      <c r="G39" s="8"/>
      <c r="H39" s="8"/>
    </row>
    <row r="40" spans="1:8" s="42" customFormat="1" x14ac:dyDescent="0.25">
      <c r="A40" s="31" t="s">
        <v>38</v>
      </c>
      <c r="B40" s="32">
        <v>5</v>
      </c>
      <c r="C40" s="302">
        <v>3656087</v>
      </c>
      <c r="D40" s="298">
        <f t="shared" si="3"/>
        <v>-365608.7</v>
      </c>
      <c r="E40" s="251">
        <f t="shared" si="1"/>
        <v>3290478.3</v>
      </c>
      <c r="F40" s="291">
        <f t="shared" si="2"/>
        <v>-0.10000000000000009</v>
      </c>
      <c r="G40" s="8"/>
      <c r="H40" s="8"/>
    </row>
    <row r="41" spans="1:8" s="42" customFormat="1" x14ac:dyDescent="0.25">
      <c r="A41" s="31" t="s">
        <v>39</v>
      </c>
      <c r="B41" s="32">
        <v>5</v>
      </c>
      <c r="C41" s="302">
        <v>3417201</v>
      </c>
      <c r="D41" s="298">
        <f t="shared" si="3"/>
        <v>-341720.10000000003</v>
      </c>
      <c r="E41" s="251">
        <f t="shared" si="1"/>
        <v>3075480.9</v>
      </c>
      <c r="F41" s="291">
        <f t="shared" si="2"/>
        <v>-9.9999999999999978E-2</v>
      </c>
      <c r="G41" s="8"/>
      <c r="H41" s="8"/>
    </row>
    <row r="42" spans="1:8" s="42" customFormat="1" x14ac:dyDescent="0.25">
      <c r="A42" s="31" t="s">
        <v>40</v>
      </c>
      <c r="B42" s="32">
        <v>5</v>
      </c>
      <c r="C42" s="302">
        <v>3504902</v>
      </c>
      <c r="D42" s="298">
        <f t="shared" si="3"/>
        <v>-350490.2</v>
      </c>
      <c r="E42" s="251">
        <f t="shared" si="1"/>
        <v>3154411.8</v>
      </c>
      <c r="F42" s="291">
        <f t="shared" si="2"/>
        <v>-0.10000000000000009</v>
      </c>
      <c r="G42" s="8"/>
      <c r="H42" s="8"/>
    </row>
    <row r="43" spans="1:8" s="42" customFormat="1" x14ac:dyDescent="0.25">
      <c r="A43" s="31" t="s">
        <v>41</v>
      </c>
      <c r="B43" s="32">
        <v>5</v>
      </c>
      <c r="C43" s="302">
        <v>3508532</v>
      </c>
      <c r="D43" s="298">
        <f t="shared" si="3"/>
        <v>-350853.2</v>
      </c>
      <c r="E43" s="251">
        <f t="shared" si="1"/>
        <v>3157678.8</v>
      </c>
      <c r="F43" s="291">
        <f t="shared" si="2"/>
        <v>-0.10000000000000009</v>
      </c>
      <c r="G43" s="8"/>
      <c r="H43" s="8"/>
    </row>
    <row r="44" spans="1:8" s="42" customFormat="1" x14ac:dyDescent="0.25">
      <c r="A44" s="31" t="s">
        <v>42</v>
      </c>
      <c r="B44" s="32">
        <v>5</v>
      </c>
      <c r="C44" s="302">
        <v>3639385</v>
      </c>
      <c r="D44" s="298">
        <f t="shared" si="3"/>
        <v>-363938.5</v>
      </c>
      <c r="E44" s="251">
        <f t="shared" si="1"/>
        <v>3275446.5</v>
      </c>
      <c r="F44" s="291">
        <f t="shared" si="2"/>
        <v>-9.9999999999999978E-2</v>
      </c>
      <c r="G44" s="8"/>
      <c r="H44" s="8"/>
    </row>
    <row r="45" spans="1:8" s="42" customFormat="1" x14ac:dyDescent="0.25">
      <c r="A45" s="31" t="s">
        <v>43</v>
      </c>
      <c r="B45" s="32">
        <v>5</v>
      </c>
      <c r="C45" s="302">
        <v>3582299</v>
      </c>
      <c r="D45" s="298">
        <f t="shared" si="3"/>
        <v>-358229.9</v>
      </c>
      <c r="E45" s="251">
        <f t="shared" si="1"/>
        <v>3224069.1</v>
      </c>
      <c r="F45" s="291">
        <f t="shared" si="2"/>
        <v>-9.9999999999999978E-2</v>
      </c>
      <c r="G45" s="8"/>
      <c r="H45" s="8"/>
    </row>
    <row r="46" spans="1:8" s="42" customFormat="1" x14ac:dyDescent="0.25">
      <c r="A46" s="31" t="s">
        <v>44</v>
      </c>
      <c r="B46" s="32">
        <v>5</v>
      </c>
      <c r="C46" s="302">
        <v>3178098</v>
      </c>
      <c r="D46" s="298">
        <f t="shared" si="3"/>
        <v>-317809.80000000005</v>
      </c>
      <c r="E46" s="251">
        <f t="shared" si="1"/>
        <v>2860288.2</v>
      </c>
      <c r="F46" s="291">
        <f t="shared" si="2"/>
        <v>-9.9999999999999978E-2</v>
      </c>
      <c r="G46" s="8"/>
      <c r="H46" s="8"/>
    </row>
    <row r="47" spans="1:8" s="42" customFormat="1" x14ac:dyDescent="0.25">
      <c r="A47" s="31" t="s">
        <v>45</v>
      </c>
      <c r="B47" s="32">
        <v>6</v>
      </c>
      <c r="C47" s="302">
        <v>3866025</v>
      </c>
      <c r="D47" s="298">
        <f t="shared" si="3"/>
        <v>-386602.5</v>
      </c>
      <c r="E47" s="251">
        <f t="shared" si="1"/>
        <v>3479422.5</v>
      </c>
      <c r="F47" s="291">
        <f t="shared" si="2"/>
        <v>-9.9999999999999978E-2</v>
      </c>
      <c r="G47" s="8"/>
      <c r="H47" s="8"/>
    </row>
    <row r="48" spans="1:8" s="42" customFormat="1" x14ac:dyDescent="0.25">
      <c r="A48" s="31" t="s">
        <v>46</v>
      </c>
      <c r="B48" s="32">
        <v>6</v>
      </c>
      <c r="C48" s="302">
        <v>11310285</v>
      </c>
      <c r="D48" s="298">
        <f t="shared" si="3"/>
        <v>-1131028.5</v>
      </c>
      <c r="E48" s="251">
        <f t="shared" si="1"/>
        <v>10179256.5</v>
      </c>
      <c r="F48" s="291">
        <f t="shared" si="2"/>
        <v>-9.9999999999999978E-2</v>
      </c>
      <c r="G48" s="8"/>
      <c r="H48" s="8"/>
    </row>
    <row r="49" spans="1:8" s="42" customFormat="1" x14ac:dyDescent="0.25">
      <c r="A49" s="31" t="s">
        <v>47</v>
      </c>
      <c r="B49" s="32">
        <v>6</v>
      </c>
      <c r="C49" s="302">
        <v>6428666</v>
      </c>
      <c r="D49" s="298">
        <f t="shared" si="3"/>
        <v>-642866.60000000009</v>
      </c>
      <c r="E49" s="251">
        <f t="shared" si="1"/>
        <v>5785799.4000000004</v>
      </c>
      <c r="F49" s="291">
        <f t="shared" si="2"/>
        <v>-9.9999999999999978E-2</v>
      </c>
      <c r="G49" s="8"/>
      <c r="H49" s="8"/>
    </row>
    <row r="50" spans="1:8" s="42" customFormat="1" x14ac:dyDescent="0.25">
      <c r="A50" s="31" t="s">
        <v>48</v>
      </c>
      <c r="B50" s="32">
        <v>6</v>
      </c>
      <c r="C50" s="302">
        <v>6977883</v>
      </c>
      <c r="D50" s="298">
        <f t="shared" si="3"/>
        <v>-697788.3</v>
      </c>
      <c r="E50" s="251">
        <f t="shared" si="1"/>
        <v>6280094.7000000002</v>
      </c>
      <c r="F50" s="291">
        <f t="shared" si="2"/>
        <v>-9.9999999999999978E-2</v>
      </c>
      <c r="G50" s="8"/>
      <c r="H50" s="8"/>
    </row>
    <row r="51" spans="1:8" s="42" customFormat="1" x14ac:dyDescent="0.25">
      <c r="A51" s="31" t="s">
        <v>49</v>
      </c>
      <c r="B51" s="32">
        <v>6</v>
      </c>
      <c r="C51" s="302">
        <v>6136866</v>
      </c>
      <c r="D51" s="298">
        <f t="shared" si="3"/>
        <v>-613686.6</v>
      </c>
      <c r="E51" s="251">
        <f t="shared" si="1"/>
        <v>5523179.4000000004</v>
      </c>
      <c r="F51" s="291">
        <f t="shared" si="2"/>
        <v>-9.9999999999999978E-2</v>
      </c>
      <c r="G51" s="8"/>
      <c r="H51" s="8"/>
    </row>
    <row r="52" spans="1:8" s="42" customFormat="1" x14ac:dyDescent="0.25">
      <c r="A52" s="31" t="s">
        <v>50</v>
      </c>
      <c r="B52" s="32">
        <v>6</v>
      </c>
      <c r="C52" s="302">
        <v>5905602</v>
      </c>
      <c r="D52" s="298">
        <f t="shared" si="3"/>
        <v>-590560.20000000007</v>
      </c>
      <c r="E52" s="251">
        <f t="shared" si="1"/>
        <v>5315041.8</v>
      </c>
      <c r="F52" s="291">
        <f t="shared" si="2"/>
        <v>-9.9999999999999978E-2</v>
      </c>
      <c r="G52" s="8"/>
      <c r="H52" s="8"/>
    </row>
    <row r="53" spans="1:8" s="42" customFormat="1" x14ac:dyDescent="0.25">
      <c r="A53" s="31" t="s">
        <v>51</v>
      </c>
      <c r="B53" s="32">
        <v>6</v>
      </c>
      <c r="C53" s="302">
        <v>5938958</v>
      </c>
      <c r="D53" s="298">
        <f t="shared" si="3"/>
        <v>-593895.80000000005</v>
      </c>
      <c r="E53" s="251">
        <f t="shared" si="1"/>
        <v>5345062.2</v>
      </c>
      <c r="F53" s="291">
        <f t="shared" si="2"/>
        <v>-9.9999999999999978E-2</v>
      </c>
      <c r="G53" s="8"/>
      <c r="H53" s="8"/>
    </row>
    <row r="54" spans="1:8" s="42" customFormat="1" x14ac:dyDescent="0.25">
      <c r="A54" s="31" t="s">
        <v>52</v>
      </c>
      <c r="B54" s="32">
        <v>6</v>
      </c>
      <c r="C54" s="302">
        <v>6558206</v>
      </c>
      <c r="D54" s="298">
        <f t="shared" si="3"/>
        <v>-655820.60000000009</v>
      </c>
      <c r="E54" s="251">
        <f t="shared" si="1"/>
        <v>5902385.4000000004</v>
      </c>
      <c r="F54" s="291">
        <f t="shared" si="2"/>
        <v>-9.9999999999999978E-2</v>
      </c>
      <c r="G54" s="8"/>
      <c r="H54" s="8"/>
    </row>
    <row r="55" spans="1:8" s="42" customFormat="1" x14ac:dyDescent="0.25">
      <c r="A55" s="31" t="s">
        <v>53</v>
      </c>
      <c r="B55" s="32">
        <v>6</v>
      </c>
      <c r="C55" s="302">
        <v>7748730</v>
      </c>
      <c r="D55" s="298">
        <f t="shared" si="3"/>
        <v>-774873</v>
      </c>
      <c r="E55" s="251">
        <f t="shared" si="1"/>
        <v>6973857</v>
      </c>
      <c r="F55" s="291">
        <f t="shared" si="2"/>
        <v>-9.9999999999999978E-2</v>
      </c>
      <c r="G55" s="8"/>
      <c r="H55" s="8"/>
    </row>
    <row r="56" spans="1:8" s="42" customFormat="1" x14ac:dyDescent="0.25">
      <c r="A56" s="31" t="s">
        <v>54</v>
      </c>
      <c r="B56" s="32">
        <v>6</v>
      </c>
      <c r="C56" s="302">
        <v>11604036</v>
      </c>
      <c r="D56" s="298">
        <f t="shared" si="3"/>
        <v>-1160403.6000000001</v>
      </c>
      <c r="E56" s="251">
        <f t="shared" si="1"/>
        <v>10443632.4</v>
      </c>
      <c r="F56" s="291">
        <f t="shared" si="2"/>
        <v>-9.9999999999999978E-2</v>
      </c>
      <c r="G56" s="8"/>
      <c r="H56" s="8"/>
    </row>
    <row r="57" spans="1:8" s="42" customFormat="1" x14ac:dyDescent="0.25">
      <c r="A57" s="31" t="s">
        <v>55</v>
      </c>
      <c r="B57" s="32">
        <v>6</v>
      </c>
      <c r="C57" s="302">
        <v>6684411</v>
      </c>
      <c r="D57" s="298">
        <f t="shared" si="3"/>
        <v>-668441.10000000009</v>
      </c>
      <c r="E57" s="251">
        <f t="shared" si="1"/>
        <v>6015969.9000000004</v>
      </c>
      <c r="F57" s="291">
        <f t="shared" si="2"/>
        <v>-9.9999999999999978E-2</v>
      </c>
      <c r="G57" s="8"/>
      <c r="H57" s="8"/>
    </row>
    <row r="58" spans="1:8" s="42" customFormat="1" x14ac:dyDescent="0.25">
      <c r="A58" s="31" t="s">
        <v>56</v>
      </c>
      <c r="B58" s="32">
        <v>6</v>
      </c>
      <c r="C58" s="302">
        <v>8122696</v>
      </c>
      <c r="D58" s="298">
        <f t="shared" si="3"/>
        <v>-812269.60000000009</v>
      </c>
      <c r="E58" s="251">
        <f t="shared" si="1"/>
        <v>7310426.4000000004</v>
      </c>
      <c r="F58" s="291">
        <f t="shared" si="2"/>
        <v>-9.9999999999999978E-2</v>
      </c>
      <c r="G58" s="8"/>
      <c r="H58" s="8"/>
    </row>
    <row r="59" spans="1:8" s="42" customFormat="1" x14ac:dyDescent="0.25">
      <c r="A59" s="31" t="s">
        <v>57</v>
      </c>
      <c r="B59" s="32">
        <v>6</v>
      </c>
      <c r="C59" s="302">
        <v>8861209</v>
      </c>
      <c r="D59" s="298">
        <f t="shared" si="3"/>
        <v>-886120.9</v>
      </c>
      <c r="E59" s="251">
        <f t="shared" si="1"/>
        <v>7975088.0999999996</v>
      </c>
      <c r="F59" s="291">
        <f t="shared" si="2"/>
        <v>-0.10000000000000009</v>
      </c>
      <c r="G59" s="8"/>
      <c r="H59" s="8"/>
    </row>
    <row r="60" spans="1:8" s="42" customFormat="1" x14ac:dyDescent="0.25">
      <c r="A60" s="31" t="s">
        <v>58</v>
      </c>
      <c r="B60" s="32">
        <v>7</v>
      </c>
      <c r="C60" s="302">
        <v>19581816</v>
      </c>
      <c r="D60" s="298">
        <f t="shared" si="3"/>
        <v>-1958181.6</v>
      </c>
      <c r="E60" s="251">
        <f t="shared" si="1"/>
        <v>17623634.399999999</v>
      </c>
      <c r="F60" s="291">
        <f t="shared" si="2"/>
        <v>-0.10000000000000009</v>
      </c>
      <c r="G60" s="8"/>
      <c r="H60" s="8"/>
    </row>
    <row r="61" spans="1:8" s="42" customFormat="1" x14ac:dyDescent="0.25">
      <c r="A61" s="31" t="s">
        <v>59</v>
      </c>
      <c r="B61" s="32">
        <v>7</v>
      </c>
      <c r="C61" s="302">
        <v>11689883</v>
      </c>
      <c r="D61" s="298">
        <f t="shared" si="3"/>
        <v>-1168988.3</v>
      </c>
      <c r="E61" s="251">
        <f t="shared" si="1"/>
        <v>10520894.699999999</v>
      </c>
      <c r="F61" s="291">
        <f t="shared" si="2"/>
        <v>-0.10000000000000009</v>
      </c>
      <c r="G61" s="8"/>
      <c r="H61" s="8"/>
    </row>
    <row r="62" spans="1:8" s="42" customFormat="1" x14ac:dyDescent="0.25">
      <c r="A62" s="31" t="s">
        <v>60</v>
      </c>
      <c r="B62" s="32">
        <v>7</v>
      </c>
      <c r="C62" s="302">
        <v>22646675</v>
      </c>
      <c r="D62" s="298">
        <f t="shared" si="3"/>
        <v>-2264667.5</v>
      </c>
      <c r="E62" s="251">
        <f t="shared" si="1"/>
        <v>20382007.5</v>
      </c>
      <c r="F62" s="291">
        <f t="shared" si="2"/>
        <v>-9.9999999999999978E-2</v>
      </c>
      <c r="G62" s="8"/>
      <c r="H62" s="8"/>
    </row>
    <row r="63" spans="1:8" s="42" customFormat="1" x14ac:dyDescent="0.25">
      <c r="A63" s="31" t="s">
        <v>61</v>
      </c>
      <c r="B63" s="32">
        <v>7</v>
      </c>
      <c r="C63" s="302">
        <v>12397921</v>
      </c>
      <c r="D63" s="298">
        <f t="shared" si="3"/>
        <v>-1239792.1000000001</v>
      </c>
      <c r="E63" s="251">
        <f t="shared" si="1"/>
        <v>11158128.9</v>
      </c>
      <c r="F63" s="291">
        <f t="shared" si="2"/>
        <v>-9.9999999999999978E-2</v>
      </c>
      <c r="G63" s="8"/>
      <c r="H63" s="8"/>
    </row>
    <row r="64" spans="1:8" s="42" customFormat="1" x14ac:dyDescent="0.25">
      <c r="A64" s="31" t="s">
        <v>62</v>
      </c>
      <c r="B64" s="32">
        <v>7</v>
      </c>
      <c r="C64" s="302">
        <v>11626073</v>
      </c>
      <c r="D64" s="298">
        <f t="shared" si="3"/>
        <v>-1162607.3</v>
      </c>
      <c r="E64" s="251">
        <f t="shared" si="1"/>
        <v>10463465.699999999</v>
      </c>
      <c r="F64" s="291">
        <f t="shared" si="2"/>
        <v>-0.10000000000000009</v>
      </c>
      <c r="G64" s="8"/>
      <c r="H64" s="8"/>
    </row>
    <row r="65" spans="1:8" s="42" customFormat="1" x14ac:dyDescent="0.25">
      <c r="A65" s="31" t="s">
        <v>63</v>
      </c>
      <c r="B65" s="32">
        <v>8</v>
      </c>
      <c r="C65" s="302">
        <v>38928487</v>
      </c>
      <c r="D65" s="298">
        <f t="shared" si="3"/>
        <v>-3892848.7</v>
      </c>
      <c r="E65" s="251">
        <f t="shared" si="1"/>
        <v>35035638.299999997</v>
      </c>
      <c r="F65" s="291">
        <f t="shared" si="2"/>
        <v>-0.10000000000000009</v>
      </c>
      <c r="G65" s="8"/>
      <c r="H65" s="8"/>
    </row>
    <row r="66" spans="1:8" s="42" customFormat="1" x14ac:dyDescent="0.25">
      <c r="A66" s="31" t="s">
        <v>64</v>
      </c>
      <c r="B66" s="32">
        <v>8</v>
      </c>
      <c r="C66" s="302">
        <v>30288553</v>
      </c>
      <c r="D66" s="298">
        <f t="shared" si="3"/>
        <v>-3028855.3000000003</v>
      </c>
      <c r="E66" s="251">
        <f t="shared" si="1"/>
        <v>27259697.699999999</v>
      </c>
      <c r="F66" s="291">
        <f t="shared" si="2"/>
        <v>-9.9999999999999978E-2</v>
      </c>
      <c r="G66" s="8"/>
      <c r="H66" s="8"/>
    </row>
    <row r="67" spans="1:8" s="42" customFormat="1" x14ac:dyDescent="0.25">
      <c r="A67" s="31" t="s">
        <v>65</v>
      </c>
      <c r="B67" s="32">
        <v>8</v>
      </c>
      <c r="C67" s="302">
        <v>70739517</v>
      </c>
      <c r="D67" s="298">
        <f t="shared" ref="D67:D69" si="4">-(C67*E$1)</f>
        <v>-7073951.7000000002</v>
      </c>
      <c r="E67" s="251">
        <f t="shared" si="1"/>
        <v>63665565.299999997</v>
      </c>
      <c r="F67" s="291">
        <f t="shared" si="2"/>
        <v>-0.10000000000000009</v>
      </c>
      <c r="G67" s="8"/>
      <c r="H67" s="8"/>
    </row>
    <row r="68" spans="1:8" x14ac:dyDescent="0.25">
      <c r="A68" s="31" t="s">
        <v>66</v>
      </c>
      <c r="B68" s="32">
        <v>8</v>
      </c>
      <c r="C68" s="302">
        <v>28984523</v>
      </c>
      <c r="D68" s="298">
        <f t="shared" si="4"/>
        <v>-2898452.3000000003</v>
      </c>
      <c r="E68" s="251">
        <f t="shared" ref="E68:E69" si="5">C68+D68</f>
        <v>26086070.699999999</v>
      </c>
      <c r="F68" s="291">
        <f t="shared" ref="F68:F69" si="6">E68/C68-1</f>
        <v>-9.9999999999999978E-2</v>
      </c>
    </row>
    <row r="69" spans="1:8" ht="14.25" thickBot="1" x14ac:dyDescent="0.3">
      <c r="A69" s="33" t="s">
        <v>67</v>
      </c>
      <c r="B69" s="34">
        <v>8</v>
      </c>
      <c r="C69" s="303">
        <v>30237171</v>
      </c>
      <c r="D69" s="299">
        <f t="shared" si="4"/>
        <v>-3023717.1</v>
      </c>
      <c r="E69" s="253">
        <f t="shared" si="5"/>
        <v>27213453.899999999</v>
      </c>
      <c r="F69" s="292">
        <f t="shared" si="6"/>
        <v>-0.10000000000000009</v>
      </c>
    </row>
    <row r="70" spans="1:8" ht="14.25" thickBot="1" x14ac:dyDescent="0.3">
      <c r="A70" s="35"/>
      <c r="B70" s="36"/>
      <c r="C70" s="82"/>
      <c r="D70" s="288"/>
      <c r="E70" s="19"/>
      <c r="F70" s="10"/>
    </row>
    <row r="71" spans="1:8" s="42" customFormat="1" ht="14.25" thickBot="1" x14ac:dyDescent="0.3">
      <c r="A71" s="310" t="s">
        <v>123</v>
      </c>
      <c r="B71" s="310"/>
      <c r="C71" s="304">
        <f t="shared" ref="C71" si="7">SUM(C3:C69)</f>
        <v>444778204</v>
      </c>
      <c r="D71" s="289">
        <f>SUM(D3:D69)</f>
        <v>-44477820.400000006</v>
      </c>
      <c r="E71" s="305">
        <f>SUM(E3:E69)</f>
        <v>400300383.59999996</v>
      </c>
      <c r="F71" s="293">
        <f>E71/C71-1</f>
        <v>-0.10000000000000009</v>
      </c>
      <c r="G71" s="8"/>
      <c r="H71" s="8"/>
    </row>
    <row r="72" spans="1:8" x14ac:dyDescent="0.25">
      <c r="C72" s="7"/>
      <c r="E72" s="261"/>
    </row>
    <row r="73" spans="1:8" x14ac:dyDescent="0.25">
      <c r="C73" s="7"/>
      <c r="E73" s="261"/>
    </row>
    <row r="74" spans="1:8" ht="42" customHeight="1" x14ac:dyDescent="0.25">
      <c r="A74" s="327" t="s">
        <v>240</v>
      </c>
      <c r="B74" s="328"/>
      <c r="C74" s="328"/>
      <c r="D74" s="328"/>
      <c r="E74" s="328"/>
      <c r="F74" s="329"/>
    </row>
    <row r="75" spans="1:8" ht="9.75" customHeight="1" x14ac:dyDescent="0.25">
      <c r="C75" s="7"/>
      <c r="F75" s="37"/>
    </row>
    <row r="76" spans="1:8" ht="105.75" customHeight="1" x14ac:dyDescent="0.25">
      <c r="A76" s="324" t="s">
        <v>239</v>
      </c>
      <c r="B76" s="325"/>
      <c r="C76" s="325"/>
      <c r="D76" s="325"/>
      <c r="E76" s="325"/>
      <c r="F76" s="326"/>
    </row>
    <row r="77" spans="1:8" x14ac:dyDescent="0.25">
      <c r="E77" s="38"/>
    </row>
    <row r="78" spans="1:8" x14ac:dyDescent="0.25">
      <c r="E78" s="38"/>
    </row>
  </sheetData>
  <autoFilter ref="A2:C69" xr:uid="{4EC7684B-053D-43A3-8CD8-BE9A689EFD27}"/>
  <mergeCells count="3">
    <mergeCell ref="A71:B71"/>
    <mergeCell ref="A76:F76"/>
    <mergeCell ref="A74:F74"/>
  </mergeCells>
  <printOptions horizontalCentered="1"/>
  <pageMargins left="0.2" right="0.2" top="0.5" bottom="0.5" header="0.25" footer="0.25"/>
  <pageSetup scale="84" fitToHeight="0" pageOrder="overThenDown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FCF2-DD73-4F32-9271-ACFE81C4F4E8}">
  <sheetPr>
    <pageSetUpPr fitToPage="1"/>
  </sheetPr>
  <dimension ref="A1:T78"/>
  <sheetViews>
    <sheetView zoomScaleNormal="100" zoomScalePageLayoutView="55" workbookViewId="0">
      <pane xSplit="2" ySplit="2" topLeftCell="C43" activePane="bottomRight" state="frozen"/>
      <selection pane="topRight" activeCell="C1" sqref="C1"/>
      <selection pane="bottomLeft" activeCell="A3" sqref="A3"/>
      <selection pane="bottomRight" activeCell="D74" sqref="D74"/>
    </sheetView>
  </sheetViews>
  <sheetFormatPr defaultColWidth="2.28515625" defaultRowHeight="13.5" x14ac:dyDescent="0.25"/>
  <cols>
    <col min="1" max="1" width="11.85546875" style="8" customWidth="1"/>
    <col min="2" max="2" width="6.28515625" style="8" customWidth="1"/>
    <col min="3" max="3" width="16.85546875" style="8" bestFit="1" customWidth="1"/>
    <col min="4" max="4" width="14.28515625" style="8" bestFit="1" customWidth="1"/>
    <col min="5" max="5" width="18.140625" style="8" customWidth="1"/>
    <col min="6" max="6" width="12.28515625" style="8" customWidth="1"/>
    <col min="7" max="7" width="12.7109375" style="8" customWidth="1"/>
    <col min="8" max="8" width="14" style="8" customWidth="1"/>
    <col min="9" max="9" width="16.140625" style="8" customWidth="1"/>
    <col min="10" max="10" width="14.7109375" style="8" customWidth="1"/>
    <col min="11" max="11" width="13" style="8" customWidth="1"/>
    <col min="12" max="12" width="13.42578125" style="8" customWidth="1"/>
    <col min="13" max="13" width="12.5703125" style="8" customWidth="1"/>
    <col min="14" max="14" width="13" style="8" customWidth="1"/>
    <col min="15" max="15" width="11.28515625" style="8" customWidth="1"/>
    <col min="16" max="16" width="15.85546875" style="1" customWidth="1"/>
    <col min="17" max="17" width="10.42578125" style="1" customWidth="1"/>
    <col min="18" max="18" width="17.5703125" style="1" customWidth="1"/>
    <col min="19" max="19" width="7.5703125" style="3" customWidth="1"/>
    <col min="20" max="20" width="7.28515625" style="3" customWidth="1"/>
    <col min="21" max="16384" width="2.28515625" style="8"/>
  </cols>
  <sheetData>
    <row r="1" spans="1:20" s="41" customFormat="1" ht="15.75" customHeight="1" thickBot="1" x14ac:dyDescent="0.3">
      <c r="B1" s="274"/>
      <c r="C1" s="311" t="s">
        <v>227</v>
      </c>
      <c r="D1" s="312"/>
      <c r="E1" s="313"/>
      <c r="F1" s="311" t="s">
        <v>80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/>
    </row>
    <row r="2" spans="1:20" s="51" customFormat="1" ht="66" thickBot="1" x14ac:dyDescent="0.3">
      <c r="A2" s="29" t="s">
        <v>0</v>
      </c>
      <c r="B2" s="30" t="s">
        <v>73</v>
      </c>
      <c r="C2" s="194" t="s">
        <v>72</v>
      </c>
      <c r="D2" s="200" t="s">
        <v>214</v>
      </c>
      <c r="E2" s="67" t="s">
        <v>228</v>
      </c>
      <c r="F2" s="201" t="s">
        <v>122</v>
      </c>
      <c r="G2" s="91" t="s">
        <v>210</v>
      </c>
      <c r="H2" s="91" t="s">
        <v>211</v>
      </c>
      <c r="I2" s="91" t="s">
        <v>82</v>
      </c>
      <c r="J2" s="256" t="s">
        <v>213</v>
      </c>
      <c r="K2" s="91" t="s">
        <v>85</v>
      </c>
      <c r="L2" s="91" t="s">
        <v>83</v>
      </c>
      <c r="M2" s="91" t="s">
        <v>89</v>
      </c>
      <c r="N2" s="91" t="s">
        <v>84</v>
      </c>
      <c r="O2" s="91" t="s">
        <v>81</v>
      </c>
      <c r="P2" s="52" t="s">
        <v>87</v>
      </c>
      <c r="Q2" s="99" t="s">
        <v>88</v>
      </c>
      <c r="R2" s="71" t="s">
        <v>86</v>
      </c>
      <c r="S2" s="18" t="s">
        <v>223</v>
      </c>
      <c r="T2" s="18" t="s">
        <v>224</v>
      </c>
    </row>
    <row r="3" spans="1:20" s="42" customFormat="1" ht="13.5" customHeight="1" x14ac:dyDescent="0.25">
      <c r="A3" s="50" t="s">
        <v>1</v>
      </c>
      <c r="B3" s="49">
        <v>1</v>
      </c>
      <c r="C3" s="195">
        <v>448334</v>
      </c>
      <c r="D3" s="202">
        <v>5762</v>
      </c>
      <c r="E3" s="72">
        <f>C3+D3</f>
        <v>454096</v>
      </c>
      <c r="F3" s="84"/>
      <c r="G3" s="85"/>
      <c r="H3" s="85">
        <v>6870</v>
      </c>
      <c r="I3" s="85">
        <v>15325</v>
      </c>
      <c r="J3" s="257">
        <v>41669</v>
      </c>
      <c r="K3" s="85"/>
      <c r="L3" s="85"/>
      <c r="M3" s="85"/>
      <c r="N3" s="85"/>
      <c r="O3" s="85"/>
      <c r="P3" s="72">
        <f t="shared" ref="P3:P34" si="0">SUM(F3:O3)</f>
        <v>63864</v>
      </c>
      <c r="Q3" s="93">
        <v>1</v>
      </c>
      <c r="R3" s="72">
        <f t="shared" ref="R3:R34" si="1">E3+P3</f>
        <v>517960</v>
      </c>
      <c r="S3" s="55">
        <f t="shared" ref="S3:S34" si="2">R3/E3-1</f>
        <v>0.14063986469821366</v>
      </c>
      <c r="T3" s="55">
        <f>R3/C3-1</f>
        <v>0.15529939732431619</v>
      </c>
    </row>
    <row r="4" spans="1:20" customFormat="1" ht="13.5" customHeight="1" x14ac:dyDescent="0.25">
      <c r="A4" s="31" t="s">
        <v>2</v>
      </c>
      <c r="B4" s="32">
        <v>1</v>
      </c>
      <c r="C4" s="196">
        <v>307140</v>
      </c>
      <c r="D4" s="203">
        <v>4521</v>
      </c>
      <c r="E4" s="80">
        <f t="shared" ref="E4:E67" si="3">C4+D4</f>
        <v>311661</v>
      </c>
      <c r="F4" s="86"/>
      <c r="G4" s="87"/>
      <c r="H4" s="87"/>
      <c r="I4" s="87"/>
      <c r="J4" s="87"/>
      <c r="K4" s="87"/>
      <c r="L4" s="87"/>
      <c r="M4" s="87"/>
      <c r="N4" s="87"/>
      <c r="O4" s="87"/>
      <c r="P4" s="73">
        <f t="shared" si="0"/>
        <v>0</v>
      </c>
      <c r="Q4" s="94"/>
      <c r="R4" s="73">
        <f t="shared" si="1"/>
        <v>311661</v>
      </c>
      <c r="S4" s="54">
        <f t="shared" si="2"/>
        <v>0</v>
      </c>
      <c r="T4" s="54">
        <f t="shared" ref="T4:T66" si="4">R4/C4-1</f>
        <v>1.4719671810900614E-2</v>
      </c>
    </row>
    <row r="5" spans="1:20" s="43" customFormat="1" ht="13.5" customHeight="1" x14ac:dyDescent="0.25">
      <c r="A5" s="31" t="s">
        <v>3</v>
      </c>
      <c r="B5" s="32">
        <v>1</v>
      </c>
      <c r="C5" s="196">
        <v>312333</v>
      </c>
      <c r="D5" s="203">
        <v>6708</v>
      </c>
      <c r="E5" s="80">
        <f t="shared" si="3"/>
        <v>319041</v>
      </c>
      <c r="F5" s="86"/>
      <c r="G5" s="87"/>
      <c r="H5" s="87">
        <v>3769</v>
      </c>
      <c r="I5" s="87">
        <v>10949</v>
      </c>
      <c r="J5" s="87"/>
      <c r="K5" s="87"/>
      <c r="L5" s="87"/>
      <c r="M5" s="87"/>
      <c r="N5" s="87"/>
      <c r="O5" s="87"/>
      <c r="P5" s="73">
        <f t="shared" si="0"/>
        <v>14718</v>
      </c>
      <c r="Q5" s="94"/>
      <c r="R5" s="73">
        <f t="shared" si="1"/>
        <v>333759</v>
      </c>
      <c r="S5" s="54">
        <f t="shared" si="2"/>
        <v>4.6132001843023351E-2</v>
      </c>
      <c r="T5" s="54">
        <f t="shared" si="4"/>
        <v>6.8599859765058557E-2</v>
      </c>
    </row>
    <row r="6" spans="1:20" s="42" customFormat="1" ht="13.5" customHeight="1" x14ac:dyDescent="0.25">
      <c r="A6" s="31" t="s">
        <v>4</v>
      </c>
      <c r="B6" s="32">
        <v>1</v>
      </c>
      <c r="C6" s="196">
        <v>485497</v>
      </c>
      <c r="D6" s="203">
        <v>7330</v>
      </c>
      <c r="E6" s="80">
        <f t="shared" si="3"/>
        <v>492827</v>
      </c>
      <c r="F6" s="86"/>
      <c r="G6" s="87">
        <f>11530-D6</f>
        <v>4200</v>
      </c>
      <c r="H6" s="87">
        <v>3232</v>
      </c>
      <c r="I6" s="87">
        <v>13468</v>
      </c>
      <c r="J6" s="87"/>
      <c r="K6" s="87"/>
      <c r="L6" s="87"/>
      <c r="M6" s="87"/>
      <c r="N6" s="87"/>
      <c r="O6" s="87"/>
      <c r="P6" s="74">
        <f t="shared" si="0"/>
        <v>20900</v>
      </c>
      <c r="Q6" s="95"/>
      <c r="R6" s="74">
        <f t="shared" si="1"/>
        <v>513727</v>
      </c>
      <c r="S6" s="54">
        <f t="shared" si="2"/>
        <v>4.2408390774044458E-2</v>
      </c>
      <c r="T6" s="54">
        <f t="shared" si="4"/>
        <v>5.8146600287952266E-2</v>
      </c>
    </row>
    <row r="7" spans="1:20" s="42" customFormat="1" ht="13.5" customHeight="1" x14ac:dyDescent="0.25">
      <c r="A7" s="31" t="s">
        <v>5</v>
      </c>
      <c r="B7" s="32">
        <v>2</v>
      </c>
      <c r="C7" s="196">
        <v>707152</v>
      </c>
      <c r="D7" s="203">
        <v>10514</v>
      </c>
      <c r="E7" s="80">
        <f t="shared" si="3"/>
        <v>717666</v>
      </c>
      <c r="F7" s="86"/>
      <c r="G7" s="87">
        <v>7696</v>
      </c>
      <c r="H7" s="87">
        <v>23536</v>
      </c>
      <c r="I7" s="87">
        <v>15949</v>
      </c>
      <c r="J7" s="87"/>
      <c r="K7" s="87"/>
      <c r="L7" s="87"/>
      <c r="M7" s="87"/>
      <c r="N7" s="87"/>
      <c r="O7" s="87"/>
      <c r="P7" s="74">
        <f t="shared" si="0"/>
        <v>47181</v>
      </c>
      <c r="Q7" s="95"/>
      <c r="R7" s="74">
        <f t="shared" si="1"/>
        <v>764847</v>
      </c>
      <c r="S7" s="54">
        <f t="shared" si="2"/>
        <v>6.5742281228315047E-2</v>
      </c>
      <c r="T7" s="54">
        <f t="shared" si="4"/>
        <v>8.158783401588332E-2</v>
      </c>
    </row>
    <row r="8" spans="1:20" s="42" customFormat="1" ht="13.5" customHeight="1" x14ac:dyDescent="0.25">
      <c r="A8" s="31" t="s">
        <v>6</v>
      </c>
      <c r="B8" s="32">
        <v>2</v>
      </c>
      <c r="C8" s="196">
        <v>489054</v>
      </c>
      <c r="D8" s="203">
        <v>7023</v>
      </c>
      <c r="E8" s="80">
        <f t="shared" si="3"/>
        <v>496077</v>
      </c>
      <c r="F8" s="86"/>
      <c r="G8" s="87"/>
      <c r="H8" s="87">
        <v>11050</v>
      </c>
      <c r="I8" s="87">
        <v>15605</v>
      </c>
      <c r="J8" s="87"/>
      <c r="K8" s="87"/>
      <c r="L8" s="87"/>
      <c r="M8" s="87"/>
      <c r="N8" s="87"/>
      <c r="O8" s="87"/>
      <c r="P8" s="74">
        <f t="shared" si="0"/>
        <v>26655</v>
      </c>
      <c r="Q8" s="95"/>
      <c r="R8" s="74">
        <f t="shared" si="1"/>
        <v>522732</v>
      </c>
      <c r="S8" s="54">
        <f t="shared" si="2"/>
        <v>5.3731577960679511E-2</v>
      </c>
      <c r="T8" s="54">
        <f t="shared" si="4"/>
        <v>6.8863561079144597E-2</v>
      </c>
    </row>
    <row r="9" spans="1:20" s="42" customFormat="1" ht="13.5" customHeight="1" x14ac:dyDescent="0.25">
      <c r="A9" s="31" t="s">
        <v>7</v>
      </c>
      <c r="B9" s="32">
        <v>2</v>
      </c>
      <c r="C9" s="196">
        <v>658287</v>
      </c>
      <c r="D9" s="203">
        <v>8624</v>
      </c>
      <c r="E9" s="80">
        <f t="shared" si="3"/>
        <v>666911</v>
      </c>
      <c r="F9" s="86"/>
      <c r="G9" s="87"/>
      <c r="H9" s="87">
        <v>4700</v>
      </c>
      <c r="I9" s="87">
        <v>14956</v>
      </c>
      <c r="J9" s="87"/>
      <c r="K9" s="87"/>
      <c r="L9" s="87"/>
      <c r="M9" s="87"/>
      <c r="N9" s="87"/>
      <c r="O9" s="87"/>
      <c r="P9" s="74">
        <f t="shared" si="0"/>
        <v>19656</v>
      </c>
      <c r="Q9" s="95"/>
      <c r="R9" s="74">
        <f t="shared" si="1"/>
        <v>686567</v>
      </c>
      <c r="S9" s="54">
        <f t="shared" si="2"/>
        <v>2.9473198072906381E-2</v>
      </c>
      <c r="T9" s="54">
        <f t="shared" si="4"/>
        <v>4.2959985538222778E-2</v>
      </c>
    </row>
    <row r="10" spans="1:20" s="42" customFormat="1" ht="13.5" customHeight="1" x14ac:dyDescent="0.25">
      <c r="A10" s="31" t="s">
        <v>8</v>
      </c>
      <c r="B10" s="32">
        <v>2</v>
      </c>
      <c r="C10" s="196">
        <v>545457</v>
      </c>
      <c r="D10" s="203">
        <v>6384</v>
      </c>
      <c r="E10" s="80">
        <f t="shared" si="3"/>
        <v>551841</v>
      </c>
      <c r="F10" s="86"/>
      <c r="G10" s="87"/>
      <c r="H10" s="87">
        <v>3460</v>
      </c>
      <c r="I10" s="87">
        <v>21003</v>
      </c>
      <c r="J10" s="87"/>
      <c r="K10" s="87"/>
      <c r="L10" s="87"/>
      <c r="M10" s="87"/>
      <c r="N10" s="87"/>
      <c r="O10" s="87"/>
      <c r="P10" s="74">
        <f t="shared" si="0"/>
        <v>24463</v>
      </c>
      <c r="Q10" s="95"/>
      <c r="R10" s="74">
        <f t="shared" si="1"/>
        <v>576304</v>
      </c>
      <c r="S10" s="54">
        <f t="shared" si="2"/>
        <v>4.4329797894683498E-2</v>
      </c>
      <c r="T10" s="54">
        <f t="shared" si="4"/>
        <v>5.6552578846728485E-2</v>
      </c>
    </row>
    <row r="11" spans="1:20" s="42" customFormat="1" ht="13.5" customHeight="1" x14ac:dyDescent="0.25">
      <c r="A11" s="31" t="s">
        <v>9</v>
      </c>
      <c r="B11" s="32">
        <v>2</v>
      </c>
      <c r="C11" s="196">
        <v>566489</v>
      </c>
      <c r="D11" s="203">
        <v>6334</v>
      </c>
      <c r="E11" s="80">
        <f t="shared" si="3"/>
        <v>572823</v>
      </c>
      <c r="F11" s="86"/>
      <c r="G11" s="87">
        <v>10614</v>
      </c>
      <c r="H11" s="87">
        <v>11021</v>
      </c>
      <c r="I11" s="87">
        <f>30600</f>
        <v>30600</v>
      </c>
      <c r="J11" s="87"/>
      <c r="K11" s="87"/>
      <c r="L11" s="87"/>
      <c r="M11" s="87">
        <v>4410</v>
      </c>
      <c r="N11" s="87"/>
      <c r="O11" s="87"/>
      <c r="P11" s="74">
        <f t="shared" si="0"/>
        <v>56645</v>
      </c>
      <c r="Q11" s="95"/>
      <c r="R11" s="74">
        <f t="shared" si="1"/>
        <v>629468</v>
      </c>
      <c r="S11" s="54">
        <f t="shared" si="2"/>
        <v>9.8887439924723708E-2</v>
      </c>
      <c r="T11" s="54">
        <f t="shared" si="4"/>
        <v>0.11117426816760778</v>
      </c>
    </row>
    <row r="12" spans="1:20" s="42" customFormat="1" ht="13.5" customHeight="1" x14ac:dyDescent="0.25">
      <c r="A12" s="31" t="s">
        <v>10</v>
      </c>
      <c r="B12" s="32">
        <v>2</v>
      </c>
      <c r="C12" s="196">
        <v>490361</v>
      </c>
      <c r="D12" s="203">
        <v>6824</v>
      </c>
      <c r="E12" s="80">
        <f t="shared" si="3"/>
        <v>497185</v>
      </c>
      <c r="F12" s="86"/>
      <c r="G12" s="87"/>
      <c r="H12" s="87"/>
      <c r="I12" s="87">
        <v>9382</v>
      </c>
      <c r="J12" s="257">
        <v>41273</v>
      </c>
      <c r="K12" s="87"/>
      <c r="L12" s="87"/>
      <c r="M12" s="87"/>
      <c r="N12" s="87"/>
      <c r="O12" s="87"/>
      <c r="P12" s="74">
        <f t="shared" si="0"/>
        <v>50655</v>
      </c>
      <c r="Q12" s="95">
        <v>1</v>
      </c>
      <c r="R12" s="74">
        <f t="shared" si="1"/>
        <v>547840</v>
      </c>
      <c r="S12" s="54">
        <f t="shared" si="2"/>
        <v>0.10188360469442959</v>
      </c>
      <c r="T12" s="54">
        <f t="shared" si="4"/>
        <v>0.11721772326918334</v>
      </c>
    </row>
    <row r="13" spans="1:20" s="42" customFormat="1" ht="13.5" customHeight="1" x14ac:dyDescent="0.25">
      <c r="A13" s="31" t="s">
        <v>11</v>
      </c>
      <c r="B13" s="32">
        <v>2</v>
      </c>
      <c r="C13" s="196">
        <v>596303</v>
      </c>
      <c r="D13" s="203">
        <v>7001</v>
      </c>
      <c r="E13" s="80">
        <f t="shared" si="3"/>
        <v>603304</v>
      </c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74">
        <f t="shared" si="0"/>
        <v>0</v>
      </c>
      <c r="Q13" s="95"/>
      <c r="R13" s="74">
        <f t="shared" si="1"/>
        <v>603304</v>
      </c>
      <c r="S13" s="54">
        <f t="shared" si="2"/>
        <v>0</v>
      </c>
      <c r="T13" s="54">
        <f t="shared" si="4"/>
        <v>1.174067546197155E-2</v>
      </c>
    </row>
    <row r="14" spans="1:20" s="42" customFormat="1" ht="13.5" customHeight="1" x14ac:dyDescent="0.25">
      <c r="A14" s="31" t="s">
        <v>12</v>
      </c>
      <c r="B14" s="32">
        <v>2</v>
      </c>
      <c r="C14" s="196">
        <v>589080</v>
      </c>
      <c r="D14" s="203">
        <v>8570</v>
      </c>
      <c r="E14" s="80">
        <f t="shared" si="3"/>
        <v>597650</v>
      </c>
      <c r="F14" s="86"/>
      <c r="G14" s="87"/>
      <c r="H14" s="87">
        <v>5246</v>
      </c>
      <c r="I14" s="87">
        <f>16834+1873+4987</f>
        <v>23694</v>
      </c>
      <c r="J14" s="87"/>
      <c r="K14" s="87"/>
      <c r="L14" s="87"/>
      <c r="M14" s="87"/>
      <c r="N14" s="87"/>
      <c r="O14" s="87"/>
      <c r="P14" s="74">
        <f t="shared" si="0"/>
        <v>28940</v>
      </c>
      <c r="Q14" s="95"/>
      <c r="R14" s="74">
        <f t="shared" si="1"/>
        <v>626590</v>
      </c>
      <c r="S14" s="54">
        <f t="shared" si="2"/>
        <v>4.8422990044340253E-2</v>
      </c>
      <c r="T14" s="54">
        <f t="shared" si="4"/>
        <v>6.3675561893121513E-2</v>
      </c>
    </row>
    <row r="15" spans="1:20" s="42" customFormat="1" ht="13.5" customHeight="1" x14ac:dyDescent="0.25">
      <c r="A15" s="31" t="s">
        <v>13</v>
      </c>
      <c r="B15" s="32">
        <v>2</v>
      </c>
      <c r="C15" s="196">
        <v>501826</v>
      </c>
      <c r="D15" s="203">
        <v>6569</v>
      </c>
      <c r="E15" s="80">
        <f t="shared" si="3"/>
        <v>508395</v>
      </c>
      <c r="F15" s="86"/>
      <c r="G15" s="87"/>
      <c r="H15" s="87">
        <v>7857</v>
      </c>
      <c r="I15" s="87"/>
      <c r="J15" s="257">
        <v>66714</v>
      </c>
      <c r="K15" s="87"/>
      <c r="L15" s="87"/>
      <c r="M15" s="87"/>
      <c r="N15" s="87"/>
      <c r="O15" s="87"/>
      <c r="P15" s="74">
        <f t="shared" si="0"/>
        <v>74571</v>
      </c>
      <c r="Q15" s="95">
        <v>1</v>
      </c>
      <c r="R15" s="74">
        <f t="shared" si="1"/>
        <v>582966</v>
      </c>
      <c r="S15" s="54">
        <f t="shared" si="2"/>
        <v>0.14667925530345505</v>
      </c>
      <c r="T15" s="54">
        <f t="shared" si="4"/>
        <v>0.16168950990980946</v>
      </c>
    </row>
    <row r="16" spans="1:20" s="42" customFormat="1" ht="13.5" customHeight="1" x14ac:dyDescent="0.25">
      <c r="A16" s="31" t="s">
        <v>14</v>
      </c>
      <c r="B16" s="32">
        <v>2</v>
      </c>
      <c r="C16" s="196">
        <v>562835</v>
      </c>
      <c r="D16" s="203">
        <v>5297</v>
      </c>
      <c r="E16" s="80">
        <f t="shared" si="3"/>
        <v>568132</v>
      </c>
      <c r="F16" s="86"/>
      <c r="G16" s="87"/>
      <c r="H16" s="87"/>
      <c r="I16" s="87">
        <v>22022</v>
      </c>
      <c r="J16" s="257">
        <v>44286</v>
      </c>
      <c r="K16" s="87"/>
      <c r="L16" s="257">
        <v>46773</v>
      </c>
      <c r="M16" s="87"/>
      <c r="N16" s="87"/>
      <c r="O16" s="87"/>
      <c r="P16" s="74">
        <f t="shared" si="0"/>
        <v>113081</v>
      </c>
      <c r="Q16" s="95">
        <f>1+1</f>
        <v>2</v>
      </c>
      <c r="R16" s="74">
        <f t="shared" si="1"/>
        <v>681213</v>
      </c>
      <c r="S16" s="54">
        <f t="shared" si="2"/>
        <v>0.19904001182823716</v>
      </c>
      <c r="T16" s="54">
        <f t="shared" si="4"/>
        <v>0.21032451784270711</v>
      </c>
    </row>
    <row r="17" spans="1:20" s="42" customFormat="1" ht="13.5" customHeight="1" x14ac:dyDescent="0.25">
      <c r="A17" s="31" t="s">
        <v>15</v>
      </c>
      <c r="B17" s="32">
        <v>2</v>
      </c>
      <c r="C17" s="196">
        <v>786795</v>
      </c>
      <c r="D17" s="203">
        <v>10408</v>
      </c>
      <c r="E17" s="80">
        <f t="shared" si="3"/>
        <v>797203</v>
      </c>
      <c r="F17" s="86"/>
      <c r="G17" s="87"/>
      <c r="H17" s="87"/>
      <c r="I17" s="87"/>
      <c r="J17" s="257">
        <v>24625</v>
      </c>
      <c r="K17" s="87"/>
      <c r="L17" s="87"/>
      <c r="M17" s="87"/>
      <c r="N17" s="87"/>
      <c r="O17" s="87"/>
      <c r="P17" s="74">
        <f t="shared" si="0"/>
        <v>24625</v>
      </c>
      <c r="Q17" s="95">
        <v>0.5</v>
      </c>
      <c r="R17" s="74">
        <f t="shared" si="1"/>
        <v>821828</v>
      </c>
      <c r="S17" s="54">
        <f t="shared" si="2"/>
        <v>3.0889246528174041E-2</v>
      </c>
      <c r="T17" s="54">
        <f t="shared" si="4"/>
        <v>4.4526210766463903E-2</v>
      </c>
    </row>
    <row r="18" spans="1:20" s="42" customFormat="1" ht="13.5" customHeight="1" x14ac:dyDescent="0.25">
      <c r="A18" s="31" t="s">
        <v>16</v>
      </c>
      <c r="B18" s="32">
        <v>3</v>
      </c>
      <c r="C18" s="196">
        <v>854135</v>
      </c>
      <c r="D18" s="203">
        <v>10413</v>
      </c>
      <c r="E18" s="80">
        <f t="shared" si="3"/>
        <v>864548</v>
      </c>
      <c r="F18" s="86"/>
      <c r="G18" s="87"/>
      <c r="H18" s="87">
        <v>7846</v>
      </c>
      <c r="I18" s="87">
        <v>29165</v>
      </c>
      <c r="J18" s="87"/>
      <c r="K18" s="87"/>
      <c r="L18" s="87"/>
      <c r="M18" s="87"/>
      <c r="N18" s="87"/>
      <c r="O18" s="87"/>
      <c r="P18" s="74">
        <f t="shared" si="0"/>
        <v>37011</v>
      </c>
      <c r="Q18" s="95"/>
      <c r="R18" s="74">
        <f t="shared" si="1"/>
        <v>901559</v>
      </c>
      <c r="S18" s="54">
        <f t="shared" si="2"/>
        <v>4.2809653136667958E-2</v>
      </c>
      <c r="T18" s="54">
        <f t="shared" si="4"/>
        <v>5.55228388954907E-2</v>
      </c>
    </row>
    <row r="19" spans="1:20" s="42" customFormat="1" ht="13.5" customHeight="1" x14ac:dyDescent="0.25">
      <c r="A19" s="31" t="s">
        <v>17</v>
      </c>
      <c r="B19" s="32">
        <v>3</v>
      </c>
      <c r="C19" s="196">
        <v>805964</v>
      </c>
      <c r="D19" s="203">
        <v>8826</v>
      </c>
      <c r="E19" s="80">
        <f t="shared" si="3"/>
        <v>814790</v>
      </c>
      <c r="F19" s="86"/>
      <c r="G19" s="87"/>
      <c r="H19" s="87"/>
      <c r="I19" s="87">
        <f>18500+19500</f>
        <v>38000</v>
      </c>
      <c r="J19" s="257">
        <v>47986</v>
      </c>
      <c r="K19" s="87"/>
      <c r="L19" s="87"/>
      <c r="M19" s="87"/>
      <c r="N19" s="87"/>
      <c r="O19" s="87"/>
      <c r="P19" s="74">
        <f t="shared" si="0"/>
        <v>85986</v>
      </c>
      <c r="Q19" s="95">
        <v>1</v>
      </c>
      <c r="R19" s="74">
        <f t="shared" si="1"/>
        <v>900776</v>
      </c>
      <c r="S19" s="54">
        <f t="shared" si="2"/>
        <v>0.10553148664072953</v>
      </c>
      <c r="T19" s="54">
        <f t="shared" si="4"/>
        <v>0.11763800864554752</v>
      </c>
    </row>
    <row r="20" spans="1:20" s="42" customFormat="1" ht="13.5" customHeight="1" x14ac:dyDescent="0.25">
      <c r="A20" s="31" t="s">
        <v>18</v>
      </c>
      <c r="B20" s="32">
        <v>3</v>
      </c>
      <c r="C20" s="196">
        <v>1334828</v>
      </c>
      <c r="D20" s="203">
        <v>15587</v>
      </c>
      <c r="E20" s="80">
        <f t="shared" si="3"/>
        <v>1350415</v>
      </c>
      <c r="F20" s="86"/>
      <c r="G20" s="87"/>
      <c r="H20" s="87">
        <v>18773</v>
      </c>
      <c r="I20" s="87">
        <f>39432+8443</f>
        <v>47875</v>
      </c>
      <c r="J20" s="87"/>
      <c r="K20" s="87"/>
      <c r="L20" s="87"/>
      <c r="M20" s="87"/>
      <c r="N20" s="87"/>
      <c r="O20" s="87"/>
      <c r="P20" s="74">
        <f t="shared" si="0"/>
        <v>66648</v>
      </c>
      <c r="Q20" s="95"/>
      <c r="R20" s="74">
        <f t="shared" si="1"/>
        <v>1417063</v>
      </c>
      <c r="S20" s="54">
        <f t="shared" si="2"/>
        <v>4.93537171906413E-2</v>
      </c>
      <c r="T20" s="54">
        <f t="shared" si="4"/>
        <v>6.1607188341868735E-2</v>
      </c>
    </row>
    <row r="21" spans="1:20" s="42" customFormat="1" ht="13.5" customHeight="1" x14ac:dyDescent="0.25">
      <c r="A21" s="31" t="s">
        <v>19</v>
      </c>
      <c r="B21" s="32">
        <v>3</v>
      </c>
      <c r="C21" s="196">
        <v>906252</v>
      </c>
      <c r="D21" s="203">
        <v>8213</v>
      </c>
      <c r="E21" s="80">
        <f t="shared" si="3"/>
        <v>914465</v>
      </c>
      <c r="F21" s="86"/>
      <c r="G21" s="87"/>
      <c r="H21" s="87">
        <v>26500</v>
      </c>
      <c r="I21" s="87">
        <v>45700</v>
      </c>
      <c r="J21" s="87"/>
      <c r="K21" s="87"/>
      <c r="L21" s="87"/>
      <c r="M21" s="87"/>
      <c r="N21" s="87"/>
      <c r="O21" s="87"/>
      <c r="P21" s="74">
        <f t="shared" si="0"/>
        <v>72200</v>
      </c>
      <c r="Q21" s="95"/>
      <c r="R21" s="74">
        <f t="shared" si="1"/>
        <v>986665</v>
      </c>
      <c r="S21" s="54">
        <f t="shared" si="2"/>
        <v>7.8953267757650547E-2</v>
      </c>
      <c r="T21" s="54">
        <f t="shared" si="4"/>
        <v>8.8731390385897058E-2</v>
      </c>
    </row>
    <row r="22" spans="1:20" s="42" customFormat="1" ht="13.5" customHeight="1" x14ac:dyDescent="0.25">
      <c r="A22" s="31" t="s">
        <v>20</v>
      </c>
      <c r="B22" s="32">
        <v>3</v>
      </c>
      <c r="C22" s="196">
        <v>1281071</v>
      </c>
      <c r="D22" s="203">
        <v>11681</v>
      </c>
      <c r="E22" s="80">
        <f t="shared" si="3"/>
        <v>1292752</v>
      </c>
      <c r="F22" s="86"/>
      <c r="G22" s="87"/>
      <c r="H22" s="87">
        <v>34500</v>
      </c>
      <c r="I22" s="87">
        <v>23600</v>
      </c>
      <c r="J22" s="257">
        <v>43800</v>
      </c>
      <c r="K22" s="87"/>
      <c r="L22" s="87"/>
      <c r="M22" s="87"/>
      <c r="N22" s="87"/>
      <c r="O22" s="87"/>
      <c r="P22" s="74">
        <f t="shared" si="0"/>
        <v>101900</v>
      </c>
      <c r="Q22" s="95">
        <v>1</v>
      </c>
      <c r="R22" s="74">
        <f t="shared" si="1"/>
        <v>1394652</v>
      </c>
      <c r="S22" s="54">
        <f t="shared" si="2"/>
        <v>7.8824090003341674E-2</v>
      </c>
      <c r="T22" s="54">
        <f t="shared" si="4"/>
        <v>8.8660971952374323E-2</v>
      </c>
    </row>
    <row r="23" spans="1:20" s="42" customFormat="1" ht="13.5" customHeight="1" x14ac:dyDescent="0.25">
      <c r="A23" s="31" t="s">
        <v>21</v>
      </c>
      <c r="B23" s="32">
        <v>3</v>
      </c>
      <c r="C23" s="196">
        <v>1104348</v>
      </c>
      <c r="D23" s="203">
        <v>12532</v>
      </c>
      <c r="E23" s="80">
        <f t="shared" si="3"/>
        <v>1116880</v>
      </c>
      <c r="F23" s="86"/>
      <c r="G23" s="87"/>
      <c r="H23" s="87">
        <v>30174</v>
      </c>
      <c r="I23" s="87">
        <v>47262</v>
      </c>
      <c r="J23" s="87"/>
      <c r="K23" s="87"/>
      <c r="L23" s="87"/>
      <c r="M23" s="87"/>
      <c r="N23" s="87"/>
      <c r="O23" s="87"/>
      <c r="P23" s="74">
        <f t="shared" si="0"/>
        <v>77436</v>
      </c>
      <c r="Q23" s="95"/>
      <c r="R23" s="74">
        <f t="shared" si="1"/>
        <v>1194316</v>
      </c>
      <c r="S23" s="54">
        <f t="shared" si="2"/>
        <v>6.93324260439796E-2</v>
      </c>
      <c r="T23" s="54">
        <f t="shared" si="4"/>
        <v>8.146707378471274E-2</v>
      </c>
    </row>
    <row r="24" spans="1:20" s="42" customFormat="1" ht="13.5" customHeight="1" x14ac:dyDescent="0.25">
      <c r="A24" s="31" t="s">
        <v>22</v>
      </c>
      <c r="B24" s="32">
        <v>3</v>
      </c>
      <c r="C24" s="196">
        <v>1122633</v>
      </c>
      <c r="D24" s="203">
        <v>13212</v>
      </c>
      <c r="E24" s="80">
        <f t="shared" si="3"/>
        <v>1135845</v>
      </c>
      <c r="F24" s="86"/>
      <c r="G24" s="87"/>
      <c r="H24" s="87">
        <v>7285</v>
      </c>
      <c r="I24" s="87">
        <f>38472+6500+4478</f>
        <v>49450</v>
      </c>
      <c r="J24" s="87"/>
      <c r="K24" s="87"/>
      <c r="L24" s="87"/>
      <c r="M24" s="87"/>
      <c r="N24" s="87">
        <v>9067</v>
      </c>
      <c r="O24" s="87"/>
      <c r="P24" s="74">
        <f t="shared" si="0"/>
        <v>65802</v>
      </c>
      <c r="Q24" s="95"/>
      <c r="R24" s="74">
        <f t="shared" si="1"/>
        <v>1201647</v>
      </c>
      <c r="S24" s="54">
        <f t="shared" si="2"/>
        <v>5.7932200256196831E-2</v>
      </c>
      <c r="T24" s="54">
        <f t="shared" si="4"/>
        <v>7.0382751976825864E-2</v>
      </c>
    </row>
    <row r="25" spans="1:20" s="42" customFormat="1" ht="13.5" customHeight="1" x14ac:dyDescent="0.25">
      <c r="A25" s="31" t="s">
        <v>23</v>
      </c>
      <c r="B25" s="32">
        <v>3</v>
      </c>
      <c r="C25" s="196">
        <v>556502</v>
      </c>
      <c r="D25" s="203">
        <v>6311</v>
      </c>
      <c r="E25" s="80">
        <f t="shared" si="3"/>
        <v>562813</v>
      </c>
      <c r="F25" s="86"/>
      <c r="G25" s="87"/>
      <c r="H25" s="87"/>
      <c r="I25" s="87">
        <v>10991</v>
      </c>
      <c r="J25" s="87"/>
      <c r="K25" s="87"/>
      <c r="L25" s="87"/>
      <c r="M25" s="87"/>
      <c r="N25" s="87"/>
      <c r="O25" s="87"/>
      <c r="P25" s="74">
        <f t="shared" si="0"/>
        <v>10991</v>
      </c>
      <c r="Q25" s="95"/>
      <c r="R25" s="74">
        <f t="shared" si="1"/>
        <v>573804</v>
      </c>
      <c r="S25" s="54">
        <f t="shared" si="2"/>
        <v>1.952868892509585E-2</v>
      </c>
      <c r="T25" s="54">
        <f t="shared" si="4"/>
        <v>3.1090633995924488E-2</v>
      </c>
    </row>
    <row r="26" spans="1:20" s="42" customFormat="1" ht="13.5" customHeight="1" x14ac:dyDescent="0.25">
      <c r="A26" s="31" t="s">
        <v>24</v>
      </c>
      <c r="B26" s="32">
        <v>3</v>
      </c>
      <c r="C26" s="196">
        <v>1273503</v>
      </c>
      <c r="D26" s="203">
        <v>11360</v>
      </c>
      <c r="E26" s="80">
        <f t="shared" si="3"/>
        <v>1284863</v>
      </c>
      <c r="F26" s="86"/>
      <c r="G26" s="87"/>
      <c r="H26" s="87"/>
      <c r="I26" s="87"/>
      <c r="J26" s="257">
        <v>51328</v>
      </c>
      <c r="K26" s="87"/>
      <c r="L26" s="87"/>
      <c r="M26" s="87"/>
      <c r="N26" s="87"/>
      <c r="O26" s="87"/>
      <c r="P26" s="74">
        <f t="shared" si="0"/>
        <v>51328</v>
      </c>
      <c r="Q26" s="95">
        <v>1</v>
      </c>
      <c r="R26" s="74">
        <f t="shared" si="1"/>
        <v>1336191</v>
      </c>
      <c r="S26" s="54">
        <f t="shared" si="2"/>
        <v>3.9948227943368275E-2</v>
      </c>
      <c r="T26" s="54">
        <f t="shared" si="4"/>
        <v>4.9224854593982181E-2</v>
      </c>
    </row>
    <row r="27" spans="1:20" s="42" customFormat="1" ht="13.5" customHeight="1" x14ac:dyDescent="0.25">
      <c r="A27" s="31" t="s">
        <v>25</v>
      </c>
      <c r="B27" s="32">
        <v>3</v>
      </c>
      <c r="C27" s="196">
        <v>1172095</v>
      </c>
      <c r="D27" s="203">
        <v>14456</v>
      </c>
      <c r="E27" s="80">
        <f t="shared" si="3"/>
        <v>1186551</v>
      </c>
      <c r="F27" s="86"/>
      <c r="G27" s="87"/>
      <c r="H27" s="87">
        <v>6930</v>
      </c>
      <c r="I27" s="87">
        <v>20650</v>
      </c>
      <c r="J27" s="87"/>
      <c r="K27" s="87"/>
      <c r="L27" s="87"/>
      <c r="M27" s="87"/>
      <c r="N27" s="87"/>
      <c r="O27" s="87"/>
      <c r="P27" s="74">
        <f t="shared" si="0"/>
        <v>27580</v>
      </c>
      <c r="Q27" s="95"/>
      <c r="R27" s="74">
        <f t="shared" si="1"/>
        <v>1214131</v>
      </c>
      <c r="S27" s="54">
        <f t="shared" si="2"/>
        <v>2.3243838655059967E-2</v>
      </c>
      <c r="T27" s="54">
        <f t="shared" si="4"/>
        <v>3.5863987134148623E-2</v>
      </c>
    </row>
    <row r="28" spans="1:20" s="42" customFormat="1" x14ac:dyDescent="0.25">
      <c r="A28" s="31" t="s">
        <v>26</v>
      </c>
      <c r="B28" s="32">
        <v>3</v>
      </c>
      <c r="C28" s="196">
        <v>688701</v>
      </c>
      <c r="D28" s="203">
        <v>8471</v>
      </c>
      <c r="E28" s="80">
        <f t="shared" si="3"/>
        <v>697172</v>
      </c>
      <c r="F28" s="86"/>
      <c r="G28" s="87"/>
      <c r="H28" s="87">
        <v>15602</v>
      </c>
      <c r="I28" s="87">
        <f>10082+771</f>
        <v>10853</v>
      </c>
      <c r="J28" s="87"/>
      <c r="K28" s="257">
        <v>56951</v>
      </c>
      <c r="L28" s="87"/>
      <c r="M28" s="87"/>
      <c r="N28" s="87"/>
      <c r="O28" s="87"/>
      <c r="P28" s="74">
        <f t="shared" si="0"/>
        <v>83406</v>
      </c>
      <c r="Q28" s="95">
        <v>1</v>
      </c>
      <c r="R28" s="74">
        <f t="shared" si="1"/>
        <v>780578</v>
      </c>
      <c r="S28" s="54">
        <f t="shared" si="2"/>
        <v>0.11963475297344117</v>
      </c>
      <c r="T28" s="54">
        <f t="shared" si="4"/>
        <v>0.13340622418146619</v>
      </c>
    </row>
    <row r="29" spans="1:20" s="42" customFormat="1" ht="13.5" customHeight="1" x14ac:dyDescent="0.25">
      <c r="A29" s="31" t="s">
        <v>27</v>
      </c>
      <c r="B29" s="32">
        <v>4</v>
      </c>
      <c r="C29" s="196">
        <v>2995549</v>
      </c>
      <c r="D29" s="203">
        <v>35440</v>
      </c>
      <c r="E29" s="80">
        <f t="shared" si="3"/>
        <v>3030989</v>
      </c>
      <c r="F29" s="86"/>
      <c r="G29" s="87"/>
      <c r="H29" s="87">
        <v>30013</v>
      </c>
      <c r="I29" s="87">
        <f>109213+26583</f>
        <v>135796</v>
      </c>
      <c r="J29" s="257">
        <v>44963</v>
      </c>
      <c r="K29" s="87"/>
      <c r="L29" s="87"/>
      <c r="M29" s="87"/>
      <c r="N29" s="87"/>
      <c r="O29" s="87"/>
      <c r="P29" s="74">
        <f t="shared" si="0"/>
        <v>210772</v>
      </c>
      <c r="Q29" s="95">
        <v>1</v>
      </c>
      <c r="R29" s="74">
        <f t="shared" si="1"/>
        <v>3241761</v>
      </c>
      <c r="S29" s="54">
        <f t="shared" si="2"/>
        <v>6.9539018452392964E-2</v>
      </c>
      <c r="T29" s="54">
        <f t="shared" si="4"/>
        <v>8.2192613106979673E-2</v>
      </c>
    </row>
    <row r="30" spans="1:20" s="42" customFormat="1" ht="13.5" customHeight="1" x14ac:dyDescent="0.25">
      <c r="A30" s="31" t="s">
        <v>28</v>
      </c>
      <c r="B30" s="32">
        <v>4</v>
      </c>
      <c r="C30" s="196">
        <v>1527140</v>
      </c>
      <c r="D30" s="203">
        <v>14068</v>
      </c>
      <c r="E30" s="80">
        <f t="shared" si="3"/>
        <v>1541208</v>
      </c>
      <c r="F30" s="86"/>
      <c r="G30" s="87"/>
      <c r="H30" s="87"/>
      <c r="I30" s="87">
        <f>33445+3276</f>
        <v>36721</v>
      </c>
      <c r="J30" s="257">
        <v>48103</v>
      </c>
      <c r="K30" s="87"/>
      <c r="L30" s="87"/>
      <c r="M30" s="87"/>
      <c r="N30" s="87"/>
      <c r="O30" s="87"/>
      <c r="P30" s="74">
        <f t="shared" si="0"/>
        <v>84824</v>
      </c>
      <c r="Q30" s="95">
        <v>1</v>
      </c>
      <c r="R30" s="74">
        <f t="shared" si="1"/>
        <v>1626032</v>
      </c>
      <c r="S30" s="54">
        <f t="shared" si="2"/>
        <v>5.5037347327550945E-2</v>
      </c>
      <c r="T30" s="54">
        <f t="shared" si="4"/>
        <v>6.4756341920190641E-2</v>
      </c>
    </row>
    <row r="31" spans="1:20" s="42" customFormat="1" ht="13.5" customHeight="1" x14ac:dyDescent="0.25">
      <c r="A31" s="31" t="s">
        <v>29</v>
      </c>
      <c r="B31" s="32">
        <v>4</v>
      </c>
      <c r="C31" s="196">
        <v>1818120</v>
      </c>
      <c r="D31" s="203">
        <v>19596</v>
      </c>
      <c r="E31" s="80">
        <f t="shared" si="3"/>
        <v>1837716</v>
      </c>
      <c r="F31" s="86"/>
      <c r="G31" s="87"/>
      <c r="H31" s="87">
        <v>12840</v>
      </c>
      <c r="I31" s="87">
        <f>45000+115660</f>
        <v>160660</v>
      </c>
      <c r="J31" s="257">
        <v>150000</v>
      </c>
      <c r="K31" s="87"/>
      <c r="L31" s="87"/>
      <c r="M31" s="87"/>
      <c r="N31" s="87"/>
      <c r="O31" s="87"/>
      <c r="P31" s="74">
        <f t="shared" si="0"/>
        <v>323500</v>
      </c>
      <c r="Q31" s="95">
        <v>3</v>
      </c>
      <c r="R31" s="74">
        <f t="shared" si="1"/>
        <v>2161216</v>
      </c>
      <c r="S31" s="54">
        <f t="shared" si="2"/>
        <v>0.17603372882425794</v>
      </c>
      <c r="T31" s="54">
        <f t="shared" si="4"/>
        <v>0.1887092161133479</v>
      </c>
    </row>
    <row r="32" spans="1:20" s="42" customFormat="1" ht="13.5" customHeight="1" x14ac:dyDescent="0.25">
      <c r="A32" s="31" t="s">
        <v>30</v>
      </c>
      <c r="B32" s="32">
        <v>4</v>
      </c>
      <c r="C32" s="196">
        <v>1963861</v>
      </c>
      <c r="D32" s="203">
        <v>24337</v>
      </c>
      <c r="E32" s="80">
        <f t="shared" si="3"/>
        <v>1988198</v>
      </c>
      <c r="F32" s="86"/>
      <c r="G32" s="87"/>
      <c r="H32" s="87">
        <v>30955</v>
      </c>
      <c r="I32" s="87">
        <v>79726</v>
      </c>
      <c r="J32" s="257">
        <f>50040+50040+50040</f>
        <v>150120</v>
      </c>
      <c r="K32" s="257">
        <v>50040</v>
      </c>
      <c r="L32" s="87"/>
      <c r="M32" s="87"/>
      <c r="N32" s="87"/>
      <c r="O32" s="87"/>
      <c r="P32" s="74">
        <f t="shared" si="0"/>
        <v>310841</v>
      </c>
      <c r="Q32" s="95">
        <f>1+1+1+1</f>
        <v>4</v>
      </c>
      <c r="R32" s="74">
        <f t="shared" si="1"/>
        <v>2299039</v>
      </c>
      <c r="S32" s="54">
        <f t="shared" si="2"/>
        <v>0.15634308051813761</v>
      </c>
      <c r="T32" s="54">
        <f t="shared" si="4"/>
        <v>0.17067297532768366</v>
      </c>
    </row>
    <row r="33" spans="1:20" s="42" customFormat="1" ht="13.5" customHeight="1" x14ac:dyDescent="0.25">
      <c r="A33" s="31" t="s">
        <v>31</v>
      </c>
      <c r="B33" s="32">
        <v>4</v>
      </c>
      <c r="C33" s="196">
        <v>2968481</v>
      </c>
      <c r="D33" s="203">
        <v>28724</v>
      </c>
      <c r="E33" s="80">
        <f t="shared" si="3"/>
        <v>2997205</v>
      </c>
      <c r="F33" s="86"/>
      <c r="G33" s="87"/>
      <c r="H33" s="87"/>
      <c r="I33" s="87">
        <f>153926+19349</f>
        <v>173275</v>
      </c>
      <c r="J33" s="87"/>
      <c r="K33" s="87"/>
      <c r="L33" s="87"/>
      <c r="M33" s="87"/>
      <c r="N33" s="87"/>
      <c r="O33" s="87"/>
      <c r="P33" s="74">
        <f t="shared" si="0"/>
        <v>173275</v>
      </c>
      <c r="Q33" s="95"/>
      <c r="R33" s="74">
        <f t="shared" si="1"/>
        <v>3170480</v>
      </c>
      <c r="S33" s="54">
        <f t="shared" si="2"/>
        <v>5.7812195028368096E-2</v>
      </c>
      <c r="T33" s="54">
        <f t="shared" si="4"/>
        <v>6.8047934280192512E-2</v>
      </c>
    </row>
    <row r="34" spans="1:20" s="42" customFormat="1" ht="13.5" customHeight="1" x14ac:dyDescent="0.25">
      <c r="A34" s="31" t="s">
        <v>32</v>
      </c>
      <c r="B34" s="32">
        <v>4</v>
      </c>
      <c r="C34" s="196">
        <v>1563243</v>
      </c>
      <c r="D34" s="203">
        <v>12716</v>
      </c>
      <c r="E34" s="80">
        <f t="shared" si="3"/>
        <v>1575959</v>
      </c>
      <c r="F34" s="86"/>
      <c r="G34" s="87"/>
      <c r="H34" s="87"/>
      <c r="I34" s="87">
        <v>61920</v>
      </c>
      <c r="J34" s="87"/>
      <c r="K34" s="257">
        <v>90416</v>
      </c>
      <c r="L34" s="87"/>
      <c r="M34" s="87"/>
      <c r="N34" s="87"/>
      <c r="O34" s="87"/>
      <c r="P34" s="74">
        <f t="shared" si="0"/>
        <v>152336</v>
      </c>
      <c r="Q34" s="95">
        <v>2</v>
      </c>
      <c r="R34" s="74">
        <f t="shared" si="1"/>
        <v>1728295</v>
      </c>
      <c r="S34" s="54">
        <f t="shared" si="2"/>
        <v>9.6662413171916262E-2</v>
      </c>
      <c r="T34" s="54">
        <f t="shared" si="4"/>
        <v>0.10558307313706194</v>
      </c>
    </row>
    <row r="35" spans="1:20" s="42" customFormat="1" ht="13.5" customHeight="1" x14ac:dyDescent="0.25">
      <c r="A35" s="31" t="s">
        <v>33</v>
      </c>
      <c r="B35" s="32">
        <v>4</v>
      </c>
      <c r="C35" s="196">
        <v>2147549</v>
      </c>
      <c r="D35" s="203">
        <v>22482</v>
      </c>
      <c r="E35" s="80">
        <f t="shared" si="3"/>
        <v>2170031</v>
      </c>
      <c r="F35" s="86"/>
      <c r="G35" s="87"/>
      <c r="H35" s="87">
        <v>26335</v>
      </c>
      <c r="I35" s="87">
        <v>108554</v>
      </c>
      <c r="J35" s="87"/>
      <c r="K35" s="87"/>
      <c r="L35" s="87"/>
      <c r="M35" s="87"/>
      <c r="N35" s="87"/>
      <c r="O35" s="87"/>
      <c r="P35" s="74">
        <f t="shared" ref="P35:P55" si="5">SUM(F35:O35)</f>
        <v>134889</v>
      </c>
      <c r="Q35" s="95"/>
      <c r="R35" s="74">
        <f t="shared" ref="R35:R69" si="6">E35+P35</f>
        <v>2304920</v>
      </c>
      <c r="S35" s="54">
        <f t="shared" ref="S35:S66" si="7">R35/E35-1</f>
        <v>6.2159941493923343E-2</v>
      </c>
      <c r="T35" s="54">
        <f t="shared" si="4"/>
        <v>7.327935241524175E-2</v>
      </c>
    </row>
    <row r="36" spans="1:20" s="42" customFormat="1" ht="13.5" customHeight="1" x14ac:dyDescent="0.25">
      <c r="A36" s="31" t="s">
        <v>34</v>
      </c>
      <c r="B36" s="32">
        <v>4</v>
      </c>
      <c r="C36" s="196">
        <v>1897084</v>
      </c>
      <c r="D36" s="203">
        <v>23147</v>
      </c>
      <c r="E36" s="80">
        <f t="shared" si="3"/>
        <v>1920231</v>
      </c>
      <c r="F36" s="86"/>
      <c r="G36" s="87"/>
      <c r="H36" s="87">
        <v>31270</v>
      </c>
      <c r="I36" s="87"/>
      <c r="J36" s="87"/>
      <c r="K36" s="87"/>
      <c r="L36" s="87"/>
      <c r="M36" s="87"/>
      <c r="N36" s="87"/>
      <c r="O36" s="87"/>
      <c r="P36" s="74">
        <f t="shared" si="5"/>
        <v>31270</v>
      </c>
      <c r="Q36" s="95"/>
      <c r="R36" s="74">
        <f t="shared" si="6"/>
        <v>1951501</v>
      </c>
      <c r="S36" s="54">
        <f t="shared" si="7"/>
        <v>1.6284499104534778E-2</v>
      </c>
      <c r="T36" s="54">
        <f t="shared" si="4"/>
        <v>2.8684549550784366E-2</v>
      </c>
    </row>
    <row r="37" spans="1:20" s="42" customFormat="1" ht="13.5" customHeight="1" x14ac:dyDescent="0.25">
      <c r="A37" s="31" t="s">
        <v>35</v>
      </c>
      <c r="B37" s="32">
        <v>4</v>
      </c>
      <c r="C37" s="196">
        <v>1649782</v>
      </c>
      <c r="D37" s="203">
        <v>20003</v>
      </c>
      <c r="E37" s="80">
        <f t="shared" si="3"/>
        <v>1669785</v>
      </c>
      <c r="F37" s="86"/>
      <c r="G37" s="87"/>
      <c r="H37" s="87">
        <v>46637</v>
      </c>
      <c r="I37" s="87">
        <f>75784+8333</f>
        <v>84117</v>
      </c>
      <c r="J37" s="87"/>
      <c r="K37" s="87"/>
      <c r="L37" s="87">
        <v>14220</v>
      </c>
      <c r="M37" s="87"/>
      <c r="N37" s="87"/>
      <c r="O37" s="87"/>
      <c r="P37" s="74">
        <f t="shared" si="5"/>
        <v>144974</v>
      </c>
      <c r="Q37" s="95"/>
      <c r="R37" s="74">
        <f t="shared" si="6"/>
        <v>1814759</v>
      </c>
      <c r="S37" s="54">
        <f t="shared" si="7"/>
        <v>8.6821956120099353E-2</v>
      </c>
      <c r="T37" s="54">
        <f t="shared" si="4"/>
        <v>9.9999272631171809E-2</v>
      </c>
    </row>
    <row r="38" spans="1:20" s="42" customFormat="1" ht="13.5" customHeight="1" x14ac:dyDescent="0.25">
      <c r="A38" s="31" t="s">
        <v>36</v>
      </c>
      <c r="B38" s="32">
        <v>5</v>
      </c>
      <c r="C38" s="196">
        <v>5812319</v>
      </c>
      <c r="D38" s="203">
        <v>48458</v>
      </c>
      <c r="E38" s="80">
        <f t="shared" si="3"/>
        <v>5860777</v>
      </c>
      <c r="F38" s="86"/>
      <c r="G38" s="87">
        <v>2193</v>
      </c>
      <c r="H38" s="87">
        <v>63044</v>
      </c>
      <c r="I38" s="87">
        <f>254703+6855</f>
        <v>261558</v>
      </c>
      <c r="J38" s="87"/>
      <c r="K38" s="87"/>
      <c r="L38" s="87"/>
      <c r="M38" s="87"/>
      <c r="N38" s="87"/>
      <c r="O38" s="87"/>
      <c r="P38" s="74">
        <f t="shared" si="5"/>
        <v>326795</v>
      </c>
      <c r="Q38" s="95"/>
      <c r="R38" s="74">
        <f t="shared" si="6"/>
        <v>6187572</v>
      </c>
      <c r="S38" s="54">
        <f t="shared" si="7"/>
        <v>5.5759671456532045E-2</v>
      </c>
      <c r="T38" s="54">
        <f t="shared" si="4"/>
        <v>6.4561666350384517E-2</v>
      </c>
    </row>
    <row r="39" spans="1:20" s="42" customFormat="1" ht="13.5" customHeight="1" x14ac:dyDescent="0.25">
      <c r="A39" s="31" t="s">
        <v>37</v>
      </c>
      <c r="B39" s="32">
        <v>5</v>
      </c>
      <c r="C39" s="196">
        <v>3537405</v>
      </c>
      <c r="D39" s="203">
        <v>31289</v>
      </c>
      <c r="E39" s="80">
        <f t="shared" si="3"/>
        <v>3568694</v>
      </c>
      <c r="F39" s="86"/>
      <c r="G39" s="87"/>
      <c r="H39" s="87">
        <v>79032</v>
      </c>
      <c r="I39" s="87"/>
      <c r="J39" s="87"/>
      <c r="K39" s="87"/>
      <c r="L39" s="87"/>
      <c r="M39" s="87"/>
      <c r="N39" s="87"/>
      <c r="O39" s="87"/>
      <c r="P39" s="74">
        <f t="shared" si="5"/>
        <v>79032</v>
      </c>
      <c r="Q39" s="95"/>
      <c r="R39" s="74">
        <f t="shared" si="6"/>
        <v>3647726</v>
      </c>
      <c r="S39" s="54">
        <f t="shared" si="7"/>
        <v>2.2145916685487821E-2</v>
      </c>
      <c r="T39" s="54">
        <f t="shared" si="4"/>
        <v>3.1186985940258483E-2</v>
      </c>
    </row>
    <row r="40" spans="1:20" s="42" customFormat="1" ht="13.5" customHeight="1" x14ac:dyDescent="0.25">
      <c r="A40" s="31" t="s">
        <v>38</v>
      </c>
      <c r="B40" s="32">
        <v>5</v>
      </c>
      <c r="C40" s="196">
        <v>3656087</v>
      </c>
      <c r="D40" s="203">
        <v>41416</v>
      </c>
      <c r="E40" s="80">
        <f t="shared" si="3"/>
        <v>3697503</v>
      </c>
      <c r="F40" s="86"/>
      <c r="G40" s="87">
        <v>989</v>
      </c>
      <c r="H40" s="87"/>
      <c r="I40" s="87">
        <v>120347</v>
      </c>
      <c r="J40" s="257">
        <v>68500</v>
      </c>
      <c r="K40" s="87"/>
      <c r="L40" s="87"/>
      <c r="M40" s="257">
        <v>32900</v>
      </c>
      <c r="N40" s="87"/>
      <c r="O40" s="87"/>
      <c r="P40" s="74">
        <f t="shared" si="5"/>
        <v>222736</v>
      </c>
      <c r="Q40" s="95">
        <f>1+0.5</f>
        <v>1.5</v>
      </c>
      <c r="R40" s="74">
        <f t="shared" si="6"/>
        <v>3920239</v>
      </c>
      <c r="S40" s="54">
        <f t="shared" si="7"/>
        <v>6.0239572489866777E-2</v>
      </c>
      <c r="T40" s="54">
        <f t="shared" si="4"/>
        <v>7.224992184266954E-2</v>
      </c>
    </row>
    <row r="41" spans="1:20" s="42" customFormat="1" ht="13.5" customHeight="1" x14ac:dyDescent="0.25">
      <c r="A41" s="31" t="s">
        <v>39</v>
      </c>
      <c r="B41" s="32">
        <v>5</v>
      </c>
      <c r="C41" s="196">
        <v>3417201</v>
      </c>
      <c r="D41" s="203">
        <v>33351</v>
      </c>
      <c r="E41" s="80">
        <f t="shared" si="3"/>
        <v>3450552</v>
      </c>
      <c r="F41" s="86"/>
      <c r="G41" s="87"/>
      <c r="H41" s="87">
        <v>39973</v>
      </c>
      <c r="I41" s="87">
        <f>121501+205777</f>
        <v>327278</v>
      </c>
      <c r="J41" s="87"/>
      <c r="K41" s="87"/>
      <c r="L41" s="87"/>
      <c r="M41" s="87"/>
      <c r="N41" s="87"/>
      <c r="O41" s="87"/>
      <c r="P41" s="74">
        <f t="shared" si="5"/>
        <v>367251</v>
      </c>
      <c r="Q41" s="95"/>
      <c r="R41" s="74">
        <f t="shared" si="6"/>
        <v>3817803</v>
      </c>
      <c r="S41" s="54">
        <f t="shared" si="7"/>
        <v>0.10643253601162939</v>
      </c>
      <c r="T41" s="54">
        <f t="shared" si="4"/>
        <v>0.11723103206396113</v>
      </c>
    </row>
    <row r="42" spans="1:20" s="42" customFormat="1" ht="13.5" customHeight="1" x14ac:dyDescent="0.25">
      <c r="A42" s="31" t="s">
        <v>40</v>
      </c>
      <c r="B42" s="32">
        <v>5</v>
      </c>
      <c r="C42" s="196">
        <v>3504902</v>
      </c>
      <c r="D42" s="203">
        <v>29183</v>
      </c>
      <c r="E42" s="80">
        <f t="shared" si="3"/>
        <v>3534085</v>
      </c>
      <c r="F42" s="86"/>
      <c r="G42" s="87"/>
      <c r="H42" s="87">
        <v>19101</v>
      </c>
      <c r="I42" s="87"/>
      <c r="J42" s="257">
        <f>51048+1422</f>
        <v>52470</v>
      </c>
      <c r="K42" s="87"/>
      <c r="L42" s="87"/>
      <c r="M42" s="87"/>
      <c r="N42" s="87"/>
      <c r="O42" s="87"/>
      <c r="P42" s="74">
        <f t="shared" si="5"/>
        <v>71571</v>
      </c>
      <c r="Q42" s="95">
        <f>1+0.5</f>
        <v>1.5</v>
      </c>
      <c r="R42" s="74">
        <f t="shared" si="6"/>
        <v>3605656</v>
      </c>
      <c r="S42" s="54">
        <f>R42/E42-1</f>
        <v>2.0251635147428448E-2</v>
      </c>
      <c r="T42" s="54">
        <f t="shared" si="4"/>
        <v>2.8746595482555648E-2</v>
      </c>
    </row>
    <row r="43" spans="1:20" s="42" customFormat="1" ht="13.5" customHeight="1" x14ac:dyDescent="0.25">
      <c r="A43" s="31" t="s">
        <v>41</v>
      </c>
      <c r="B43" s="32">
        <v>5</v>
      </c>
      <c r="C43" s="196">
        <v>3508532</v>
      </c>
      <c r="D43" s="203">
        <v>30860</v>
      </c>
      <c r="E43" s="80">
        <f t="shared" si="3"/>
        <v>3539392</v>
      </c>
      <c r="F43" s="86"/>
      <c r="G43" s="87"/>
      <c r="H43" s="87">
        <v>53184</v>
      </c>
      <c r="I43" s="87">
        <v>206127</v>
      </c>
      <c r="J43" s="87"/>
      <c r="K43" s="87"/>
      <c r="L43" s="87"/>
      <c r="M43" s="87"/>
      <c r="N43" s="87"/>
      <c r="O43" s="87"/>
      <c r="P43" s="74">
        <f t="shared" si="5"/>
        <v>259311</v>
      </c>
      <c r="Q43" s="95"/>
      <c r="R43" s="74">
        <f t="shared" si="6"/>
        <v>3798703</v>
      </c>
      <c r="S43" s="54">
        <f t="shared" si="7"/>
        <v>7.3264278158508667E-2</v>
      </c>
      <c r="T43" s="54">
        <f t="shared" si="4"/>
        <v>8.2704390326210575E-2</v>
      </c>
    </row>
    <row r="44" spans="1:20" s="42" customFormat="1" ht="13.5" customHeight="1" x14ac:dyDescent="0.25">
      <c r="A44" s="31" t="s">
        <v>42</v>
      </c>
      <c r="B44" s="32">
        <v>5</v>
      </c>
      <c r="C44" s="196">
        <v>3639385</v>
      </c>
      <c r="D44" s="203">
        <v>37681</v>
      </c>
      <c r="E44" s="80">
        <f t="shared" si="3"/>
        <v>3677066</v>
      </c>
      <c r="F44" s="86"/>
      <c r="G44" s="87"/>
      <c r="H44" s="87"/>
      <c r="I44" s="87">
        <f>273869</f>
        <v>273869</v>
      </c>
      <c r="J44" s="87"/>
      <c r="K44" s="87"/>
      <c r="L44" s="87">
        <v>89762</v>
      </c>
      <c r="M44" s="87"/>
      <c r="N44" s="87"/>
      <c r="O44" s="87"/>
      <c r="P44" s="74">
        <f t="shared" si="5"/>
        <v>363631</v>
      </c>
      <c r="Q44" s="95"/>
      <c r="R44" s="74">
        <f t="shared" si="6"/>
        <v>4040697</v>
      </c>
      <c r="S44" s="54">
        <f t="shared" si="7"/>
        <v>9.8891616304956242E-2</v>
      </c>
      <c r="T44" s="54">
        <f t="shared" si="4"/>
        <v>0.11026918009498865</v>
      </c>
    </row>
    <row r="45" spans="1:20" s="42" customFormat="1" ht="13.5" customHeight="1" x14ac:dyDescent="0.25">
      <c r="A45" s="31" t="s">
        <v>43</v>
      </c>
      <c r="B45" s="32">
        <v>5</v>
      </c>
      <c r="C45" s="196">
        <v>3582299</v>
      </c>
      <c r="D45" s="203">
        <v>34114</v>
      </c>
      <c r="E45" s="80">
        <f t="shared" si="3"/>
        <v>3616413</v>
      </c>
      <c r="F45" s="86"/>
      <c r="G45" s="87"/>
      <c r="H45" s="87"/>
      <c r="I45" s="87">
        <f>227794+300430</f>
        <v>528224</v>
      </c>
      <c r="J45" s="257">
        <v>460016</v>
      </c>
      <c r="K45" s="87"/>
      <c r="L45" s="87"/>
      <c r="M45" s="87"/>
      <c r="N45" s="87"/>
      <c r="O45" s="87"/>
      <c r="P45" s="74">
        <f t="shared" si="5"/>
        <v>988240</v>
      </c>
      <c r="Q45" s="95">
        <v>8</v>
      </c>
      <c r="R45" s="74">
        <f t="shared" si="6"/>
        <v>4604653</v>
      </c>
      <c r="S45" s="54">
        <f t="shared" si="7"/>
        <v>0.27326524929536533</v>
      </c>
      <c r="T45" s="54">
        <f t="shared" si="4"/>
        <v>0.28539047131465023</v>
      </c>
    </row>
    <row r="46" spans="1:20" s="42" customFormat="1" ht="13.5" customHeight="1" x14ac:dyDescent="0.25">
      <c r="A46" s="31" t="s">
        <v>44</v>
      </c>
      <c r="B46" s="32">
        <v>5</v>
      </c>
      <c r="C46" s="196">
        <v>3178098</v>
      </c>
      <c r="D46" s="203">
        <v>30734</v>
      </c>
      <c r="E46" s="80">
        <f t="shared" si="3"/>
        <v>3208832</v>
      </c>
      <c r="F46" s="86"/>
      <c r="G46" s="87"/>
      <c r="H46" s="87">
        <v>56757</v>
      </c>
      <c r="I46" s="87">
        <v>172468</v>
      </c>
      <c r="J46" s="257">
        <v>153081</v>
      </c>
      <c r="K46" s="87"/>
      <c r="L46" s="87"/>
      <c r="M46" s="87"/>
      <c r="N46" s="87"/>
      <c r="O46" s="87"/>
      <c r="P46" s="74">
        <f t="shared" si="5"/>
        <v>382306</v>
      </c>
      <c r="Q46" s="95">
        <v>3</v>
      </c>
      <c r="R46" s="74">
        <f t="shared" si="6"/>
        <v>3591138</v>
      </c>
      <c r="S46" s="54">
        <f t="shared" si="7"/>
        <v>0.11914179364952737</v>
      </c>
      <c r="T46" s="54">
        <f t="shared" si="4"/>
        <v>0.12996452595231478</v>
      </c>
    </row>
    <row r="47" spans="1:20" s="42" customFormat="1" ht="13.5" customHeight="1" x14ac:dyDescent="0.25">
      <c r="A47" s="31" t="s">
        <v>45</v>
      </c>
      <c r="B47" s="32">
        <v>6</v>
      </c>
      <c r="C47" s="196">
        <v>3866025</v>
      </c>
      <c r="D47" s="203">
        <v>33495</v>
      </c>
      <c r="E47" s="80">
        <f t="shared" si="3"/>
        <v>3899520</v>
      </c>
      <c r="F47" s="86"/>
      <c r="G47" s="87"/>
      <c r="H47" s="87">
        <v>126510</v>
      </c>
      <c r="I47" s="87">
        <f>142320+30630</f>
        <v>172950</v>
      </c>
      <c r="J47" s="87"/>
      <c r="K47" s="87"/>
      <c r="L47" s="87"/>
      <c r="M47" s="87"/>
      <c r="N47" s="87"/>
      <c r="O47" s="87"/>
      <c r="P47" s="74">
        <f t="shared" si="5"/>
        <v>299460</v>
      </c>
      <c r="Q47" s="95"/>
      <c r="R47" s="74">
        <f t="shared" si="6"/>
        <v>4198980</v>
      </c>
      <c r="S47" s="54">
        <f t="shared" si="7"/>
        <v>7.6794066962087681E-2</v>
      </c>
      <c r="T47" s="54">
        <f t="shared" si="4"/>
        <v>8.612334374454389E-2</v>
      </c>
    </row>
    <row r="48" spans="1:20" s="42" customFormat="1" ht="13.5" customHeight="1" x14ac:dyDescent="0.25">
      <c r="A48" s="31" t="s">
        <v>46</v>
      </c>
      <c r="B48" s="32">
        <v>6</v>
      </c>
      <c r="C48" s="196">
        <v>11310285</v>
      </c>
      <c r="D48" s="203">
        <v>84285</v>
      </c>
      <c r="E48" s="80">
        <f t="shared" si="3"/>
        <v>11394570</v>
      </c>
      <c r="F48" s="86"/>
      <c r="G48" s="87"/>
      <c r="H48" s="87">
        <v>159700</v>
      </c>
      <c r="I48" s="87">
        <v>450000</v>
      </c>
      <c r="J48" s="87"/>
      <c r="K48" s="87"/>
      <c r="L48" s="87"/>
      <c r="M48" s="87"/>
      <c r="N48" s="87"/>
      <c r="O48" s="87"/>
      <c r="P48" s="74">
        <f t="shared" si="5"/>
        <v>609700</v>
      </c>
      <c r="Q48" s="95"/>
      <c r="R48" s="74">
        <f t="shared" si="6"/>
        <v>12004270</v>
      </c>
      <c r="S48" s="54">
        <f t="shared" si="7"/>
        <v>5.3507942818377563E-2</v>
      </c>
      <c r="T48" s="54">
        <f t="shared" si="4"/>
        <v>6.1358754443411545E-2</v>
      </c>
    </row>
    <row r="49" spans="1:20" s="42" customFormat="1" ht="13.5" customHeight="1" x14ac:dyDescent="0.25">
      <c r="A49" s="31" t="s">
        <v>47</v>
      </c>
      <c r="B49" s="32">
        <v>6</v>
      </c>
      <c r="C49" s="196">
        <v>6428666</v>
      </c>
      <c r="D49" s="203">
        <v>50758</v>
      </c>
      <c r="E49" s="80">
        <f t="shared" si="3"/>
        <v>6479424</v>
      </c>
      <c r="F49" s="86"/>
      <c r="G49" s="87"/>
      <c r="H49" s="87"/>
      <c r="I49" s="87">
        <v>836828</v>
      </c>
      <c r="J49" s="87"/>
      <c r="K49" s="87"/>
      <c r="L49" s="87"/>
      <c r="M49" s="87"/>
      <c r="N49" s="87"/>
      <c r="O49" s="87"/>
      <c r="P49" s="74">
        <f t="shared" si="5"/>
        <v>836828</v>
      </c>
      <c r="Q49" s="95"/>
      <c r="R49" s="74">
        <f t="shared" si="6"/>
        <v>7316252</v>
      </c>
      <c r="S49" s="54">
        <f t="shared" si="7"/>
        <v>0.12915160359933231</v>
      </c>
      <c r="T49" s="54">
        <f t="shared" si="4"/>
        <v>0.1380669022157941</v>
      </c>
    </row>
    <row r="50" spans="1:20" s="42" customFormat="1" ht="13.5" customHeight="1" x14ac:dyDescent="0.25">
      <c r="A50" s="31" t="s">
        <v>48</v>
      </c>
      <c r="B50" s="32">
        <v>6</v>
      </c>
      <c r="C50" s="196">
        <v>6977883</v>
      </c>
      <c r="D50" s="203">
        <v>54353</v>
      </c>
      <c r="E50" s="80">
        <f t="shared" si="3"/>
        <v>7032236</v>
      </c>
      <c r="F50" s="86"/>
      <c r="G50" s="87"/>
      <c r="H50" s="87">
        <v>46223</v>
      </c>
      <c r="I50" s="87">
        <v>274288</v>
      </c>
      <c r="J50" s="87"/>
      <c r="K50" s="87"/>
      <c r="L50" s="87"/>
      <c r="M50" s="87"/>
      <c r="N50" s="87"/>
      <c r="O50" s="87"/>
      <c r="P50" s="74">
        <f t="shared" si="5"/>
        <v>320511</v>
      </c>
      <c r="Q50" s="95"/>
      <c r="R50" s="74">
        <f t="shared" si="6"/>
        <v>7352747</v>
      </c>
      <c r="S50" s="54">
        <f t="shared" si="7"/>
        <v>4.5577395297882406E-2</v>
      </c>
      <c r="T50" s="54">
        <f t="shared" si="4"/>
        <v>5.3721737667427272E-2</v>
      </c>
    </row>
    <row r="51" spans="1:20" s="42" customFormat="1" ht="13.5" customHeight="1" x14ac:dyDescent="0.25">
      <c r="A51" s="31" t="s">
        <v>49</v>
      </c>
      <c r="B51" s="32">
        <v>6</v>
      </c>
      <c r="C51" s="196">
        <v>6136866</v>
      </c>
      <c r="D51" s="203">
        <v>50892</v>
      </c>
      <c r="E51" s="80">
        <f t="shared" si="3"/>
        <v>6187758</v>
      </c>
      <c r="F51" s="86">
        <v>260128</v>
      </c>
      <c r="G51" s="87">
        <v>42261</v>
      </c>
      <c r="H51" s="87">
        <v>68563</v>
      </c>
      <c r="I51" s="87">
        <v>371087</v>
      </c>
      <c r="J51" s="87"/>
      <c r="K51" s="257">
        <v>94144</v>
      </c>
      <c r="L51" s="87"/>
      <c r="M51" s="87"/>
      <c r="N51" s="87"/>
      <c r="O51" s="87"/>
      <c r="P51" s="74">
        <f t="shared" si="5"/>
        <v>836183</v>
      </c>
      <c r="Q51" s="95">
        <f>5.5+2</f>
        <v>7.5</v>
      </c>
      <c r="R51" s="74">
        <f t="shared" si="6"/>
        <v>7023941</v>
      </c>
      <c r="S51" s="54">
        <f t="shared" si="7"/>
        <v>0.13513505214651245</v>
      </c>
      <c r="T51" s="54">
        <f t="shared" si="4"/>
        <v>0.1445485366635022</v>
      </c>
    </row>
    <row r="52" spans="1:20" s="42" customFormat="1" ht="13.5" customHeight="1" x14ac:dyDescent="0.25">
      <c r="A52" s="31" t="s">
        <v>50</v>
      </c>
      <c r="B52" s="32">
        <v>6</v>
      </c>
      <c r="C52" s="196">
        <v>5905602</v>
      </c>
      <c r="D52" s="203">
        <v>52927</v>
      </c>
      <c r="E52" s="80">
        <f t="shared" si="3"/>
        <v>5958529</v>
      </c>
      <c r="F52" s="86"/>
      <c r="G52" s="87"/>
      <c r="H52" s="87"/>
      <c r="I52" s="87"/>
      <c r="J52" s="257">
        <v>162893</v>
      </c>
      <c r="K52" s="87"/>
      <c r="L52" s="87"/>
      <c r="M52" s="87"/>
      <c r="N52" s="87">
        <v>74625</v>
      </c>
      <c r="O52" s="87"/>
      <c r="P52" s="74">
        <f t="shared" si="5"/>
        <v>237518</v>
      </c>
      <c r="Q52" s="95">
        <v>3</v>
      </c>
      <c r="R52" s="74">
        <f t="shared" si="6"/>
        <v>6196047</v>
      </c>
      <c r="S52" s="54">
        <f t="shared" si="7"/>
        <v>3.986185180939783E-2</v>
      </c>
      <c r="T52" s="54">
        <f t="shared" si="4"/>
        <v>4.9181268903661257E-2</v>
      </c>
    </row>
    <row r="53" spans="1:20" s="42" customFormat="1" ht="13.5" customHeight="1" x14ac:dyDescent="0.25">
      <c r="A53" s="31" t="s">
        <v>51</v>
      </c>
      <c r="B53" s="32">
        <v>6</v>
      </c>
      <c r="C53" s="196">
        <v>5938958</v>
      </c>
      <c r="D53" s="203">
        <v>46550</v>
      </c>
      <c r="E53" s="80">
        <f t="shared" si="3"/>
        <v>5985508</v>
      </c>
      <c r="F53" s="86"/>
      <c r="G53" s="87">
        <v>9533</v>
      </c>
      <c r="H53" s="87">
        <v>94650</v>
      </c>
      <c r="I53" s="87">
        <f>138348+55539</f>
        <v>193887</v>
      </c>
      <c r="J53" s="87"/>
      <c r="K53" s="87"/>
      <c r="L53" s="87"/>
      <c r="M53" s="87"/>
      <c r="N53" s="87"/>
      <c r="O53" s="87"/>
      <c r="P53" s="74">
        <f t="shared" si="5"/>
        <v>298070</v>
      </c>
      <c r="Q53" s="95"/>
      <c r="R53" s="74">
        <f t="shared" si="6"/>
        <v>6283578</v>
      </c>
      <c r="S53" s="54">
        <f t="shared" si="7"/>
        <v>4.9798613584678186E-2</v>
      </c>
      <c r="T53" s="54">
        <f t="shared" si="4"/>
        <v>5.8027014166458057E-2</v>
      </c>
    </row>
    <row r="54" spans="1:20" s="42" customFormat="1" ht="13.5" customHeight="1" x14ac:dyDescent="0.25">
      <c r="A54" s="31" t="s">
        <v>52</v>
      </c>
      <c r="B54" s="32">
        <v>6</v>
      </c>
      <c r="C54" s="196">
        <v>6558206</v>
      </c>
      <c r="D54" s="203">
        <v>54834</v>
      </c>
      <c r="E54" s="80">
        <f t="shared" si="3"/>
        <v>6613040</v>
      </c>
      <c r="F54" s="86"/>
      <c r="G54" s="87"/>
      <c r="H54" s="87">
        <v>55541</v>
      </c>
      <c r="I54" s="87">
        <v>303214</v>
      </c>
      <c r="J54" s="257">
        <v>119217</v>
      </c>
      <c r="K54" s="87"/>
      <c r="L54" s="87"/>
      <c r="M54" s="87"/>
      <c r="N54" s="87">
        <v>3243</v>
      </c>
      <c r="O54" s="87"/>
      <c r="P54" s="74">
        <f t="shared" si="5"/>
        <v>481215</v>
      </c>
      <c r="Q54" s="95">
        <v>2</v>
      </c>
      <c r="R54" s="74">
        <f t="shared" si="6"/>
        <v>7094255</v>
      </c>
      <c r="S54" s="54">
        <f t="shared" si="7"/>
        <v>7.2767592514184187E-2</v>
      </c>
      <c r="T54" s="54">
        <f t="shared" si="4"/>
        <v>8.1737139699484818E-2</v>
      </c>
    </row>
    <row r="55" spans="1:20" s="42" customFormat="1" ht="13.5" customHeight="1" x14ac:dyDescent="0.25">
      <c r="A55" s="31" t="s">
        <v>53</v>
      </c>
      <c r="B55" s="32">
        <v>6</v>
      </c>
      <c r="C55" s="196">
        <v>7748730</v>
      </c>
      <c r="D55" s="203">
        <v>65421</v>
      </c>
      <c r="E55" s="80">
        <f t="shared" si="3"/>
        <v>7814151</v>
      </c>
      <c r="F55" s="86"/>
      <c r="G55" s="87"/>
      <c r="H55" s="87">
        <v>229636</v>
      </c>
      <c r="I55" s="87">
        <f>581107</f>
        <v>581107</v>
      </c>
      <c r="J55" s="87"/>
      <c r="K55" s="87"/>
      <c r="L55" s="87"/>
      <c r="M55" s="87"/>
      <c r="N55" s="87"/>
      <c r="O55" s="87"/>
      <c r="P55" s="74">
        <f t="shared" si="5"/>
        <v>810743</v>
      </c>
      <c r="Q55" s="95"/>
      <c r="R55" s="74">
        <f t="shared" si="6"/>
        <v>8624894</v>
      </c>
      <c r="S55" s="54">
        <f t="shared" si="7"/>
        <v>0.10375317804838935</v>
      </c>
      <c r="T55" s="54">
        <f t="shared" si="4"/>
        <v>0.11307194856447444</v>
      </c>
    </row>
    <row r="56" spans="1:20" s="42" customFormat="1" ht="13.5" customHeight="1" x14ac:dyDescent="0.25">
      <c r="A56" s="31" t="s">
        <v>54</v>
      </c>
      <c r="B56" s="32">
        <v>6</v>
      </c>
      <c r="C56" s="196">
        <v>11604036</v>
      </c>
      <c r="D56" s="203">
        <v>106960</v>
      </c>
      <c r="E56" s="80">
        <f t="shared" si="3"/>
        <v>11710996</v>
      </c>
      <c r="F56" s="86"/>
      <c r="G56" s="87"/>
      <c r="H56" s="87">
        <v>109500</v>
      </c>
      <c r="I56" s="87">
        <v>638826</v>
      </c>
      <c r="J56" s="257">
        <v>44781</v>
      </c>
      <c r="K56" s="87"/>
      <c r="L56" s="87"/>
      <c r="M56" s="87"/>
      <c r="N56" s="87"/>
      <c r="O56" s="87"/>
      <c r="P56" s="74">
        <f>SUM(F56:O56)</f>
        <v>793107</v>
      </c>
      <c r="Q56" s="95">
        <v>1</v>
      </c>
      <c r="R56" s="74">
        <f t="shared" si="6"/>
        <v>12504103</v>
      </c>
      <c r="S56" s="54">
        <f t="shared" si="7"/>
        <v>6.7723274775262521E-2</v>
      </c>
      <c r="T56" s="54">
        <f t="shared" si="4"/>
        <v>7.7564995489500355E-2</v>
      </c>
    </row>
    <row r="57" spans="1:20" s="42" customFormat="1" ht="13.5" customHeight="1" x14ac:dyDescent="0.25">
      <c r="A57" s="31" t="s">
        <v>55</v>
      </c>
      <c r="B57" s="32">
        <v>6</v>
      </c>
      <c r="C57" s="196">
        <v>6684411</v>
      </c>
      <c r="D57" s="203">
        <v>47616</v>
      </c>
      <c r="E57" s="80">
        <f t="shared" si="3"/>
        <v>6732027</v>
      </c>
      <c r="F57" s="86"/>
      <c r="G57" s="87"/>
      <c r="H57" s="87">
        <v>212412</v>
      </c>
      <c r="I57" s="87">
        <v>323125</v>
      </c>
      <c r="J57" s="257">
        <f>187650</f>
        <v>187650</v>
      </c>
      <c r="K57" s="87"/>
      <c r="L57" s="87"/>
      <c r="M57" s="87"/>
      <c r="N57" s="87"/>
      <c r="O57" s="87"/>
      <c r="P57" s="74">
        <f t="shared" ref="P57:P69" si="8">SUM(F57:O57)</f>
        <v>723187</v>
      </c>
      <c r="Q57" s="95">
        <v>3</v>
      </c>
      <c r="R57" s="74">
        <f t="shared" si="6"/>
        <v>7455214</v>
      </c>
      <c r="S57" s="54">
        <f t="shared" si="7"/>
        <v>0.1074248513857714</v>
      </c>
      <c r="T57" s="54">
        <f t="shared" si="4"/>
        <v>0.11531352575417642</v>
      </c>
    </row>
    <row r="58" spans="1:20" s="42" customFormat="1" ht="13.5" customHeight="1" x14ac:dyDescent="0.25">
      <c r="A58" s="31" t="s">
        <v>56</v>
      </c>
      <c r="B58" s="32">
        <v>6</v>
      </c>
      <c r="C58" s="196">
        <v>8122696</v>
      </c>
      <c r="D58" s="203">
        <v>64227</v>
      </c>
      <c r="E58" s="80">
        <f t="shared" si="3"/>
        <v>8186923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74">
        <f t="shared" si="8"/>
        <v>0</v>
      </c>
      <c r="Q58" s="95"/>
      <c r="R58" s="74">
        <f t="shared" si="6"/>
        <v>8186923</v>
      </c>
      <c r="S58" s="54">
        <f t="shared" si="7"/>
        <v>0</v>
      </c>
      <c r="T58" s="54">
        <f t="shared" si="4"/>
        <v>7.9071037497895347E-3</v>
      </c>
    </row>
    <row r="59" spans="1:20" s="42" customFormat="1" ht="13.5" customHeight="1" x14ac:dyDescent="0.25">
      <c r="A59" s="31" t="s">
        <v>57</v>
      </c>
      <c r="B59" s="32">
        <v>6</v>
      </c>
      <c r="C59" s="196">
        <v>8861209</v>
      </c>
      <c r="D59" s="203">
        <v>66899</v>
      </c>
      <c r="E59" s="80">
        <f t="shared" si="3"/>
        <v>8928108</v>
      </c>
      <c r="F59" s="86"/>
      <c r="G59" s="87"/>
      <c r="H59" s="87">
        <v>156515</v>
      </c>
      <c r="I59" s="87">
        <v>256600</v>
      </c>
      <c r="J59" s="87"/>
      <c r="K59" s="87"/>
      <c r="L59" s="87"/>
      <c r="M59" s="87"/>
      <c r="N59" s="87"/>
      <c r="O59" s="87"/>
      <c r="P59" s="74">
        <f t="shared" si="8"/>
        <v>413115</v>
      </c>
      <c r="Q59" s="95"/>
      <c r="R59" s="74">
        <f t="shared" si="6"/>
        <v>9341223</v>
      </c>
      <c r="S59" s="54">
        <f t="shared" si="7"/>
        <v>4.6271281664603592E-2</v>
      </c>
      <c r="T59" s="54">
        <f t="shared" si="4"/>
        <v>5.4170260514112778E-2</v>
      </c>
    </row>
    <row r="60" spans="1:20" s="42" customFormat="1" ht="13.5" customHeight="1" x14ac:dyDescent="0.25">
      <c r="A60" s="31" t="s">
        <v>58</v>
      </c>
      <c r="B60" s="32">
        <v>7</v>
      </c>
      <c r="C60" s="196">
        <v>19581816</v>
      </c>
      <c r="D60" s="203">
        <v>144168</v>
      </c>
      <c r="E60" s="80">
        <f t="shared" si="3"/>
        <v>19725984</v>
      </c>
      <c r="F60" s="86"/>
      <c r="G60" s="87">
        <v>81693</v>
      </c>
      <c r="H60" s="87"/>
      <c r="I60" s="87">
        <v>354942</v>
      </c>
      <c r="J60" s="257">
        <f>86383+94333+20957</f>
        <v>201673</v>
      </c>
      <c r="K60" s="87">
        <v>57607</v>
      </c>
      <c r="L60" s="87"/>
      <c r="M60" s="87">
        <f>221503+15000+15000</f>
        <v>251503</v>
      </c>
      <c r="N60" s="87">
        <f>100000+11988</f>
        <v>111988</v>
      </c>
      <c r="O60" s="87"/>
      <c r="P60" s="74">
        <f t="shared" si="8"/>
        <v>1059406</v>
      </c>
      <c r="Q60" s="95">
        <f>1+1+0.63</f>
        <v>2.63</v>
      </c>
      <c r="R60" s="74">
        <f t="shared" si="6"/>
        <v>20785390</v>
      </c>
      <c r="S60" s="54">
        <f t="shared" si="7"/>
        <v>5.3706116764568046E-2</v>
      </c>
      <c r="T60" s="54">
        <f t="shared" si="4"/>
        <v>6.1463860144534088E-2</v>
      </c>
    </row>
    <row r="61" spans="1:20" s="42" customFormat="1" ht="13.5" customHeight="1" x14ac:dyDescent="0.25">
      <c r="A61" s="31" t="s">
        <v>59</v>
      </c>
      <c r="B61" s="32">
        <v>7</v>
      </c>
      <c r="C61" s="196">
        <v>11689883</v>
      </c>
      <c r="D61" s="203">
        <v>85933</v>
      </c>
      <c r="E61" s="80">
        <f t="shared" si="3"/>
        <v>11775816</v>
      </c>
      <c r="F61" s="86"/>
      <c r="G61" s="87"/>
      <c r="H61" s="87"/>
      <c r="I61" s="87"/>
      <c r="J61" s="257">
        <f>360000+660000</f>
        <v>1020000</v>
      </c>
      <c r="K61" s="87"/>
      <c r="L61" s="87"/>
      <c r="M61" s="87"/>
      <c r="N61" s="87"/>
      <c r="O61" s="87"/>
      <c r="P61" s="74">
        <f t="shared" si="8"/>
        <v>1020000</v>
      </c>
      <c r="Q61" s="95">
        <f>6+11</f>
        <v>17</v>
      </c>
      <c r="R61" s="74">
        <f t="shared" si="6"/>
        <v>12795816</v>
      </c>
      <c r="S61" s="54">
        <f t="shared" si="7"/>
        <v>8.6618201235481251E-2</v>
      </c>
      <c r="T61" s="54">
        <f t="shared" si="4"/>
        <v>9.4605993917988851E-2</v>
      </c>
    </row>
    <row r="62" spans="1:20" s="42" customFormat="1" ht="13.5" customHeight="1" x14ac:dyDescent="0.25">
      <c r="A62" s="31" t="s">
        <v>60</v>
      </c>
      <c r="B62" s="32">
        <v>7</v>
      </c>
      <c r="C62" s="196">
        <v>22646675</v>
      </c>
      <c r="D62" s="203">
        <v>143775</v>
      </c>
      <c r="E62" s="80">
        <f t="shared" si="3"/>
        <v>22790450</v>
      </c>
      <c r="F62" s="86"/>
      <c r="G62" s="87">
        <v>70309</v>
      </c>
      <c r="H62" s="87"/>
      <c r="I62" s="87">
        <v>628565</v>
      </c>
      <c r="J62" s="257">
        <v>318555</v>
      </c>
      <c r="K62" s="87"/>
      <c r="L62" s="87"/>
      <c r="M62" s="87"/>
      <c r="N62" s="87"/>
      <c r="O62" s="87"/>
      <c r="P62" s="74">
        <f t="shared" si="8"/>
        <v>1017429</v>
      </c>
      <c r="Q62" s="95">
        <v>6.52</v>
      </c>
      <c r="R62" s="74">
        <f t="shared" si="6"/>
        <v>23807879</v>
      </c>
      <c r="S62" s="54">
        <f t="shared" si="7"/>
        <v>4.4642778005699713E-2</v>
      </c>
      <c r="T62" s="54">
        <f t="shared" si="4"/>
        <v>5.1274811865317904E-2</v>
      </c>
    </row>
    <row r="63" spans="1:20" s="42" customFormat="1" ht="13.5" customHeight="1" x14ac:dyDescent="0.25">
      <c r="A63" s="31" t="s">
        <v>61</v>
      </c>
      <c r="B63" s="32">
        <v>7</v>
      </c>
      <c r="C63" s="196">
        <v>12397921</v>
      </c>
      <c r="D63" s="203">
        <v>93431</v>
      </c>
      <c r="E63" s="80">
        <f t="shared" si="3"/>
        <v>12491352</v>
      </c>
      <c r="F63" s="86"/>
      <c r="G63" s="87"/>
      <c r="H63" s="87">
        <v>219737</v>
      </c>
      <c r="I63" s="87">
        <f>879006+528293</f>
        <v>1407299</v>
      </c>
      <c r="J63" s="257">
        <v>113261</v>
      </c>
      <c r="K63" s="87"/>
      <c r="L63" s="87"/>
      <c r="M63" s="87"/>
      <c r="N63" s="87"/>
      <c r="O63" s="87"/>
      <c r="P63" s="74">
        <f t="shared" si="8"/>
        <v>1740297</v>
      </c>
      <c r="Q63" s="95">
        <v>1.84</v>
      </c>
      <c r="R63" s="74">
        <f t="shared" si="6"/>
        <v>14231649</v>
      </c>
      <c r="S63" s="54">
        <f t="shared" si="7"/>
        <v>0.13932014725067399</v>
      </c>
      <c r="T63" s="54">
        <f t="shared" si="4"/>
        <v>0.1479060884482164</v>
      </c>
    </row>
    <row r="64" spans="1:20" s="42" customFormat="1" ht="13.5" customHeight="1" x14ac:dyDescent="0.25">
      <c r="A64" s="31" t="s">
        <v>62</v>
      </c>
      <c r="B64" s="32">
        <v>7</v>
      </c>
      <c r="C64" s="196">
        <v>11626073</v>
      </c>
      <c r="D64" s="203">
        <v>94260</v>
      </c>
      <c r="E64" s="80">
        <f t="shared" si="3"/>
        <v>11720333</v>
      </c>
      <c r="F64" s="86"/>
      <c r="G64" s="87"/>
      <c r="H64" s="87">
        <v>133252</v>
      </c>
      <c r="I64" s="87">
        <v>467045</v>
      </c>
      <c r="J64" s="257">
        <v>271080</v>
      </c>
      <c r="K64" s="257">
        <v>46577</v>
      </c>
      <c r="L64" s="87"/>
      <c r="M64" s="87"/>
      <c r="N64" s="87"/>
      <c r="O64" s="87"/>
      <c r="P64" s="74">
        <f t="shared" si="8"/>
        <v>917954</v>
      </c>
      <c r="Q64" s="95">
        <f>1+6</f>
        <v>7</v>
      </c>
      <c r="R64" s="74">
        <f t="shared" si="6"/>
        <v>12638287</v>
      </c>
      <c r="S64" s="54">
        <f t="shared" si="7"/>
        <v>7.8321494790293045E-2</v>
      </c>
      <c r="T64" s="54">
        <f t="shared" si="4"/>
        <v>8.7064135929647124E-2</v>
      </c>
    </row>
    <row r="65" spans="1:20" s="42" customFormat="1" ht="13.5" customHeight="1" x14ac:dyDescent="0.25">
      <c r="A65" s="31" t="s">
        <v>63</v>
      </c>
      <c r="B65" s="32">
        <v>8</v>
      </c>
      <c r="C65" s="196">
        <v>38928487</v>
      </c>
      <c r="D65" s="203">
        <v>310868</v>
      </c>
      <c r="E65" s="80">
        <f t="shared" si="3"/>
        <v>39239355</v>
      </c>
      <c r="F65" s="86"/>
      <c r="G65" s="87"/>
      <c r="H65" s="87">
        <v>492076</v>
      </c>
      <c r="I65" s="87">
        <v>3151161</v>
      </c>
      <c r="J65" s="87"/>
      <c r="K65" s="87"/>
      <c r="L65" s="87"/>
      <c r="M65" s="87"/>
      <c r="N65" s="87"/>
      <c r="O65" s="87"/>
      <c r="P65" s="74">
        <f t="shared" si="8"/>
        <v>3643237</v>
      </c>
      <c r="Q65" s="95"/>
      <c r="R65" s="74">
        <f t="shared" si="6"/>
        <v>42882592</v>
      </c>
      <c r="S65" s="54">
        <f t="shared" si="7"/>
        <v>9.284650575933262E-2</v>
      </c>
      <c r="T65" s="54">
        <f t="shared" si="4"/>
        <v>0.10157355974302318</v>
      </c>
    </row>
    <row r="66" spans="1:20" s="42" customFormat="1" ht="13.5" customHeight="1" x14ac:dyDescent="0.25">
      <c r="A66" s="31" t="s">
        <v>64</v>
      </c>
      <c r="B66" s="32">
        <v>8</v>
      </c>
      <c r="C66" s="196">
        <v>30288553</v>
      </c>
      <c r="D66" s="203">
        <v>206725</v>
      </c>
      <c r="E66" s="80">
        <f t="shared" si="3"/>
        <v>30495278</v>
      </c>
      <c r="F66" s="86"/>
      <c r="G66" s="87"/>
      <c r="H66" s="87">
        <v>288420</v>
      </c>
      <c r="I66" s="87">
        <v>1432728</v>
      </c>
      <c r="J66" s="87"/>
      <c r="K66" s="87"/>
      <c r="L66" s="87"/>
      <c r="M66" s="87"/>
      <c r="N66" s="87"/>
      <c r="O66" s="87"/>
      <c r="P66" s="74">
        <f t="shared" si="8"/>
        <v>1721148</v>
      </c>
      <c r="Q66" s="95"/>
      <c r="R66" s="74">
        <f t="shared" si="6"/>
        <v>32216426</v>
      </c>
      <c r="S66" s="54">
        <f t="shared" si="7"/>
        <v>5.6439819961634718E-2</v>
      </c>
      <c r="T66" s="54">
        <f t="shared" si="4"/>
        <v>6.3650217955278254E-2</v>
      </c>
    </row>
    <row r="67" spans="1:20" s="42" customFormat="1" ht="13.5" customHeight="1" x14ac:dyDescent="0.25">
      <c r="A67" s="31" t="s">
        <v>65</v>
      </c>
      <c r="B67" s="32">
        <v>8</v>
      </c>
      <c r="C67" s="196">
        <v>70739517</v>
      </c>
      <c r="D67" s="203">
        <v>479759</v>
      </c>
      <c r="E67" s="80">
        <f t="shared" si="3"/>
        <v>71219276</v>
      </c>
      <c r="F67" s="86"/>
      <c r="G67" s="87"/>
      <c r="H67" s="87">
        <v>484386</v>
      </c>
      <c r="I67" s="87">
        <v>1415415</v>
      </c>
      <c r="J67" s="257">
        <v>5481558</v>
      </c>
      <c r="K67" s="87"/>
      <c r="L67" s="87"/>
      <c r="M67" s="87"/>
      <c r="N67" s="87"/>
      <c r="O67" s="87"/>
      <c r="P67" s="74">
        <f t="shared" si="8"/>
        <v>7381359</v>
      </c>
      <c r="Q67" s="95">
        <v>75</v>
      </c>
      <c r="R67" s="74">
        <f t="shared" si="6"/>
        <v>78600635</v>
      </c>
      <c r="S67" s="54">
        <f t="shared" ref="S67:S69" si="9">R67/E67-1</f>
        <v>0.10364271324521757</v>
      </c>
      <c r="T67" s="54">
        <f>R67/C67-1</f>
        <v>0.11112767422486081</v>
      </c>
    </row>
    <row r="68" spans="1:20" ht="13.5" customHeight="1" x14ac:dyDescent="0.25">
      <c r="A68" s="31" t="s">
        <v>66</v>
      </c>
      <c r="B68" s="32">
        <v>8</v>
      </c>
      <c r="C68" s="196">
        <v>28984523</v>
      </c>
      <c r="D68" s="203">
        <v>220184</v>
      </c>
      <c r="E68" s="80">
        <f t="shared" ref="E68:E69" si="10">C68+D68</f>
        <v>29204707</v>
      </c>
      <c r="F68" s="86"/>
      <c r="G68" s="87"/>
      <c r="H68" s="87">
        <v>398958</v>
      </c>
      <c r="I68" s="87">
        <v>96638</v>
      </c>
      <c r="J68" s="87"/>
      <c r="K68" s="87"/>
      <c r="L68" s="87"/>
      <c r="M68" s="87"/>
      <c r="N68" s="87">
        <v>322852</v>
      </c>
      <c r="O68" s="87"/>
      <c r="P68" s="74">
        <f t="shared" si="8"/>
        <v>818448</v>
      </c>
      <c r="Q68" s="95"/>
      <c r="R68" s="74">
        <f t="shared" si="6"/>
        <v>30023155</v>
      </c>
      <c r="S68" s="54">
        <f t="shared" si="9"/>
        <v>2.8024523581078986E-2</v>
      </c>
      <c r="T68" s="54">
        <f t="shared" ref="T68:T69" si="11">R68/C68-1</f>
        <v>3.5834020797927302E-2</v>
      </c>
    </row>
    <row r="69" spans="1:20" ht="13.5" customHeight="1" thickBot="1" x14ac:dyDescent="0.3">
      <c r="A69" s="33" t="s">
        <v>67</v>
      </c>
      <c r="B69" s="34">
        <v>8</v>
      </c>
      <c r="C69" s="197">
        <v>30237171</v>
      </c>
      <c r="D69" s="204">
        <v>213287</v>
      </c>
      <c r="E69" s="81">
        <f t="shared" si="10"/>
        <v>30450458</v>
      </c>
      <c r="F69" s="88"/>
      <c r="G69" s="89">
        <v>32384</v>
      </c>
      <c r="H69" s="88">
        <v>368572</v>
      </c>
      <c r="I69" s="89">
        <v>644551</v>
      </c>
      <c r="J69" s="89"/>
      <c r="K69" s="89"/>
      <c r="L69" s="89"/>
      <c r="M69" s="89"/>
      <c r="N69" s="89"/>
      <c r="O69" s="89"/>
      <c r="P69" s="75">
        <f t="shared" si="8"/>
        <v>1045507</v>
      </c>
      <c r="Q69" s="96"/>
      <c r="R69" s="75">
        <f t="shared" si="6"/>
        <v>31495965</v>
      </c>
      <c r="S69" s="53">
        <f t="shared" si="9"/>
        <v>3.4334688824713133E-2</v>
      </c>
      <c r="T69" s="53">
        <f t="shared" si="11"/>
        <v>4.1630680330511094E-2</v>
      </c>
    </row>
    <row r="70" spans="1:20" ht="14.25" thickBot="1" x14ac:dyDescent="0.3">
      <c r="A70" s="35"/>
      <c r="B70" s="36"/>
      <c r="C70" s="82"/>
      <c r="D70" s="82"/>
      <c r="E70" s="82"/>
      <c r="F70" s="90"/>
      <c r="G70" s="19"/>
      <c r="H70" s="19"/>
      <c r="I70" s="19"/>
      <c r="J70" s="19"/>
      <c r="K70" s="19"/>
      <c r="L70" s="19"/>
      <c r="M70" s="19"/>
      <c r="N70" s="19"/>
      <c r="O70" s="19"/>
      <c r="P70" s="76"/>
      <c r="Q70" s="97"/>
      <c r="R70" s="76"/>
      <c r="S70" s="12"/>
      <c r="T70" s="12"/>
    </row>
    <row r="71" spans="1:20" s="42" customFormat="1" ht="14.25" thickBot="1" x14ac:dyDescent="0.3">
      <c r="A71" s="310" t="s">
        <v>68</v>
      </c>
      <c r="B71" s="310"/>
      <c r="C71" s="193">
        <f t="shared" ref="C71:E71" si="12">SUM(C3:C69)</f>
        <v>444778204</v>
      </c>
      <c r="D71" s="193">
        <f t="shared" si="12"/>
        <v>3518137</v>
      </c>
      <c r="E71" s="83">
        <f t="shared" si="12"/>
        <v>448296341</v>
      </c>
      <c r="F71" s="77">
        <f>SUM(F3:F69)</f>
        <v>260128</v>
      </c>
      <c r="G71" s="77">
        <f t="shared" ref="G71:R71" si="13">SUM(G3:G69)</f>
        <v>261872</v>
      </c>
      <c r="H71" s="77">
        <f t="shared" si="13"/>
        <v>4362143</v>
      </c>
      <c r="I71" s="77">
        <f t="shared" ref="I71:K71" si="14">SUM(I3:I69)</f>
        <v>17247395</v>
      </c>
      <c r="J71" s="77">
        <f t="shared" si="14"/>
        <v>9409602</v>
      </c>
      <c r="K71" s="77">
        <f t="shared" si="14"/>
        <v>395735</v>
      </c>
      <c r="L71" s="77">
        <f>(SUM(L3:L69))-L56</f>
        <v>150755</v>
      </c>
      <c r="M71" s="77">
        <f t="shared" ref="M71" si="15">SUM(M3:M69)</f>
        <v>288813</v>
      </c>
      <c r="N71" s="77">
        <f t="shared" ref="N71" si="16">SUM(N3:N69)</f>
        <v>521775</v>
      </c>
      <c r="O71" s="77">
        <f t="shared" si="13"/>
        <v>0</v>
      </c>
      <c r="P71" s="77">
        <f t="shared" si="13"/>
        <v>32898218</v>
      </c>
      <c r="Q71" s="98">
        <f>SUM(Q3:Q69)</f>
        <v>160.99</v>
      </c>
      <c r="R71" s="79">
        <f t="shared" si="13"/>
        <v>481194559</v>
      </c>
      <c r="S71" s="92">
        <f>R71/E71-1</f>
        <v>7.3384979959048913E-2</v>
      </c>
      <c r="T71" s="92">
        <f>R71/C71-1</f>
        <v>8.1875313746264444E-2</v>
      </c>
    </row>
    <row r="72" spans="1:20" ht="14.25" thickBot="1" x14ac:dyDescent="0.3">
      <c r="E72" s="7"/>
      <c r="F72" s="11"/>
      <c r="G72" s="7"/>
      <c r="H72" s="7"/>
      <c r="I72" s="7"/>
      <c r="J72" s="7"/>
      <c r="K72" s="7"/>
      <c r="L72" s="7"/>
      <c r="M72" s="7"/>
      <c r="N72" s="7"/>
      <c r="O72" s="7"/>
    </row>
    <row r="73" spans="1:20" ht="14.25" thickBot="1" x14ac:dyDescent="0.3">
      <c r="E73" s="260"/>
      <c r="F73" s="254" t="s">
        <v>212</v>
      </c>
      <c r="G73" s="255">
        <f>D71+G71</f>
        <v>3780009</v>
      </c>
      <c r="H73" s="48"/>
      <c r="I73" s="254" t="s">
        <v>220</v>
      </c>
      <c r="J73" s="270">
        <f>J71+K64+K51+M40+K34+K32+K28+L16</f>
        <v>9827403</v>
      </c>
      <c r="K73" s="48"/>
      <c r="L73" s="48"/>
      <c r="M73" s="48"/>
      <c r="N73" s="48"/>
      <c r="O73" s="254" t="s">
        <v>222</v>
      </c>
      <c r="P73" s="272">
        <f>P71+D71</f>
        <v>36416355</v>
      </c>
      <c r="Q73" s="47"/>
      <c r="R73" s="258"/>
      <c r="S73" s="46"/>
      <c r="T73" s="46"/>
    </row>
    <row r="74" spans="1:20" ht="15" customHeight="1" x14ac:dyDescent="0.25">
      <c r="E74" s="7"/>
      <c r="L74" s="45"/>
      <c r="M74" s="45"/>
      <c r="N74" s="45"/>
      <c r="O74" s="11"/>
    </row>
    <row r="75" spans="1:20" x14ac:dyDescent="0.25">
      <c r="G75" s="259">
        <v>10</v>
      </c>
      <c r="H75" s="259">
        <v>47</v>
      </c>
      <c r="I75" s="259">
        <v>56</v>
      </c>
      <c r="J75" s="259">
        <v>29</v>
      </c>
      <c r="K75" s="259">
        <v>6</v>
      </c>
      <c r="L75" s="259">
        <v>3</v>
      </c>
      <c r="M75" s="259">
        <v>3</v>
      </c>
      <c r="N75" s="259">
        <v>5</v>
      </c>
      <c r="P75" s="259">
        <v>64</v>
      </c>
      <c r="Q75" s="259">
        <v>29</v>
      </c>
      <c r="S75" s="273"/>
      <c r="T75" s="273"/>
    </row>
    <row r="76" spans="1:20" x14ac:dyDescent="0.25">
      <c r="S76" s="273"/>
      <c r="T76" s="273"/>
    </row>
    <row r="77" spans="1:20" x14ac:dyDescent="0.25">
      <c r="S77" s="286"/>
      <c r="T77" s="286"/>
    </row>
    <row r="78" spans="1:20" x14ac:dyDescent="0.25">
      <c r="S78" s="286"/>
      <c r="T78" s="286"/>
    </row>
  </sheetData>
  <autoFilter ref="A2:S69" xr:uid="{4EC7684B-053D-43A3-8CD8-BE9A689EFD27}"/>
  <mergeCells count="3">
    <mergeCell ref="A71:B71"/>
    <mergeCell ref="F1:Q1"/>
    <mergeCell ref="C1:E1"/>
  </mergeCells>
  <conditionalFormatting sqref="S3:S69 F3:F69">
    <cfRule type="cellIs" dxfId="4" priority="3" operator="lessThan">
      <formula>0</formula>
    </cfRule>
  </conditionalFormatting>
  <conditionalFormatting sqref="P71:Q71">
    <cfRule type="cellIs" dxfId="3" priority="2" operator="lessThan">
      <formula>0</formula>
    </cfRule>
  </conditionalFormatting>
  <conditionalFormatting sqref="T3:T69">
    <cfRule type="cellIs" dxfId="2" priority="1" operator="lessThan">
      <formula>0</formula>
    </cfRule>
  </conditionalFormatting>
  <pageMargins left="0.2" right="0.2" top="0.37" bottom="1.1499999999999999" header="0.25" footer="0.25"/>
  <pageSetup paperSize="5" scale="62" fitToHeight="0" pageOrder="overThenDown" orientation="landscape" r:id="rId1"/>
  <headerFooter>
    <oddFooter>&amp;C&amp;G&amp;R&amp;P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68AB-6B73-432F-8E0F-36B4222370A5}">
  <sheetPr>
    <pageSetUpPr fitToPage="1"/>
  </sheetPr>
  <dimension ref="A1:M78"/>
  <sheetViews>
    <sheetView zoomScale="120" zoomScaleNormal="120" zoomScalePageLayoutView="55" workbookViewId="0">
      <pane ySplit="1" topLeftCell="A53" activePane="bottomLeft" state="frozen"/>
      <selection pane="bottomLeft" activeCell="J73" sqref="J73"/>
    </sheetView>
  </sheetViews>
  <sheetFormatPr defaultColWidth="2.28515625" defaultRowHeight="13.5" x14ac:dyDescent="0.25"/>
  <cols>
    <col min="1" max="1" width="13.28515625" style="8" customWidth="1"/>
    <col min="2" max="2" width="6.28515625" style="8" customWidth="1"/>
    <col min="3" max="3" width="18.140625" style="8" customWidth="1"/>
    <col min="4" max="4" width="13" style="8" customWidth="1"/>
    <col min="5" max="5" width="14.28515625" style="8" customWidth="1"/>
    <col min="6" max="6" width="16.140625" style="8" customWidth="1"/>
    <col min="7" max="7" width="14.140625" style="8" customWidth="1"/>
    <col min="8" max="8" width="10.42578125" style="1" customWidth="1"/>
    <col min="9" max="9" width="17.5703125" style="1" customWidth="1"/>
    <col min="10" max="10" width="8" style="3" customWidth="1"/>
    <col min="11" max="16384" width="2.28515625" style="8"/>
  </cols>
  <sheetData>
    <row r="1" spans="1:13" s="51" customFormat="1" ht="81.75" thickBot="1" x14ac:dyDescent="0.3">
      <c r="A1" s="29" t="s">
        <v>0</v>
      </c>
      <c r="B1" s="30" t="s">
        <v>73</v>
      </c>
      <c r="C1" s="67" t="s">
        <v>228</v>
      </c>
      <c r="D1" s="201" t="s">
        <v>122</v>
      </c>
      <c r="E1" s="91" t="s">
        <v>215</v>
      </c>
      <c r="F1" s="91" t="s">
        <v>221</v>
      </c>
      <c r="G1" s="91" t="s">
        <v>216</v>
      </c>
      <c r="H1" s="52" t="s">
        <v>230</v>
      </c>
      <c r="I1" s="71" t="s">
        <v>229</v>
      </c>
      <c r="J1" s="18" t="s">
        <v>70</v>
      </c>
      <c r="K1" s="8"/>
      <c r="L1" s="8"/>
      <c r="M1" s="8"/>
    </row>
    <row r="2" spans="1:13" s="42" customFormat="1" ht="13.5" customHeight="1" x14ac:dyDescent="0.25">
      <c r="A2" s="50" t="s">
        <v>1</v>
      </c>
      <c r="B2" s="49">
        <v>1</v>
      </c>
      <c r="C2" s="72">
        <v>454096</v>
      </c>
      <c r="D2" s="84"/>
      <c r="E2" s="85">
        <v>6870</v>
      </c>
      <c r="F2" s="85">
        <f>15325+41669</f>
        <v>56994</v>
      </c>
      <c r="G2" s="85"/>
      <c r="H2" s="93">
        <v>1</v>
      </c>
      <c r="I2" s="72">
        <f>SUM(C2:G2)</f>
        <v>517960</v>
      </c>
      <c r="J2" s="55">
        <f t="shared" ref="J2:J33" si="0">I2/C2-1</f>
        <v>0.14063986469821366</v>
      </c>
      <c r="K2" s="8"/>
      <c r="L2" s="8"/>
      <c r="M2" s="8"/>
    </row>
    <row r="3" spans="1:13" customFormat="1" ht="13.5" customHeight="1" thickBot="1" x14ac:dyDescent="0.3">
      <c r="A3" s="31" t="s">
        <v>2</v>
      </c>
      <c r="B3" s="32">
        <v>1</v>
      </c>
      <c r="C3" s="80">
        <v>311661</v>
      </c>
      <c r="D3" s="86"/>
      <c r="E3" s="87"/>
      <c r="F3" s="87"/>
      <c r="G3" s="87"/>
      <c r="H3" s="94"/>
      <c r="I3" s="73">
        <f t="shared" ref="I3:I66" si="1">SUM(C3:G3)</f>
        <v>311661</v>
      </c>
      <c r="J3" s="54">
        <f t="shared" si="0"/>
        <v>0</v>
      </c>
    </row>
    <row r="4" spans="1:13" s="43" customFormat="1" ht="13.5" customHeight="1" x14ac:dyDescent="0.25">
      <c r="A4" s="31" t="s">
        <v>3</v>
      </c>
      <c r="B4" s="32">
        <v>1</v>
      </c>
      <c r="C4" s="80">
        <v>319041</v>
      </c>
      <c r="D4" s="86"/>
      <c r="E4" s="87">
        <v>3769</v>
      </c>
      <c r="F4" s="87">
        <v>10949</v>
      </c>
      <c r="G4" s="87"/>
      <c r="H4" s="94"/>
      <c r="I4" s="73">
        <f t="shared" si="1"/>
        <v>333759</v>
      </c>
      <c r="J4" s="54">
        <f t="shared" si="0"/>
        <v>4.6132001843023351E-2</v>
      </c>
      <c r="K4" s="8"/>
      <c r="L4" s="8"/>
      <c r="M4" s="8"/>
    </row>
    <row r="5" spans="1:13" s="42" customFormat="1" ht="13.5" customHeight="1" x14ac:dyDescent="0.25">
      <c r="A5" s="31" t="s">
        <v>4</v>
      </c>
      <c r="B5" s="32">
        <v>1</v>
      </c>
      <c r="C5" s="80">
        <v>492827</v>
      </c>
      <c r="D5" s="86"/>
      <c r="E5" s="87">
        <f>3232+4200</f>
        <v>7432</v>
      </c>
      <c r="F5" s="87">
        <v>13468</v>
      </c>
      <c r="G5" s="87"/>
      <c r="H5" s="95"/>
      <c r="I5" s="74">
        <f t="shared" si="1"/>
        <v>513727</v>
      </c>
      <c r="J5" s="54">
        <f t="shared" si="0"/>
        <v>4.2408390774044458E-2</v>
      </c>
      <c r="K5" s="8"/>
      <c r="L5" s="8"/>
      <c r="M5" s="8"/>
    </row>
    <row r="6" spans="1:13" s="42" customFormat="1" ht="13.5" customHeight="1" x14ac:dyDescent="0.25">
      <c r="A6" s="31" t="s">
        <v>5</v>
      </c>
      <c r="B6" s="32">
        <v>2</v>
      </c>
      <c r="C6" s="80">
        <v>717666</v>
      </c>
      <c r="D6" s="86"/>
      <c r="E6" s="87">
        <f>23536+7696</f>
        <v>31232</v>
      </c>
      <c r="F6" s="87">
        <v>15949</v>
      </c>
      <c r="G6" s="87"/>
      <c r="H6" s="95"/>
      <c r="I6" s="74">
        <f t="shared" si="1"/>
        <v>764847</v>
      </c>
      <c r="J6" s="54">
        <f t="shared" si="0"/>
        <v>6.5742281228315047E-2</v>
      </c>
      <c r="K6" s="8"/>
      <c r="L6" s="8"/>
      <c r="M6" s="8"/>
    </row>
    <row r="7" spans="1:13" s="42" customFormat="1" ht="13.5" customHeight="1" x14ac:dyDescent="0.25">
      <c r="A7" s="31" t="s">
        <v>6</v>
      </c>
      <c r="B7" s="32">
        <v>2</v>
      </c>
      <c r="C7" s="80">
        <v>496077</v>
      </c>
      <c r="D7" s="86"/>
      <c r="E7" s="87">
        <f>11050</f>
        <v>11050</v>
      </c>
      <c r="F7" s="87">
        <v>15605</v>
      </c>
      <c r="G7" s="87"/>
      <c r="H7" s="95"/>
      <c r="I7" s="74">
        <f t="shared" si="1"/>
        <v>522732</v>
      </c>
      <c r="J7" s="54">
        <f t="shared" si="0"/>
        <v>5.3731577960679511E-2</v>
      </c>
      <c r="K7" s="8"/>
      <c r="L7" s="8"/>
      <c r="M7" s="8"/>
    </row>
    <row r="8" spans="1:13" s="42" customFormat="1" ht="13.5" customHeight="1" x14ac:dyDescent="0.25">
      <c r="A8" s="31" t="s">
        <v>7</v>
      </c>
      <c r="B8" s="32">
        <v>2</v>
      </c>
      <c r="C8" s="80">
        <v>666911</v>
      </c>
      <c r="D8" s="86"/>
      <c r="E8" s="87">
        <v>4700</v>
      </c>
      <c r="F8" s="87">
        <v>14956</v>
      </c>
      <c r="G8" s="87"/>
      <c r="H8" s="95"/>
      <c r="I8" s="74">
        <f t="shared" si="1"/>
        <v>686567</v>
      </c>
      <c r="J8" s="54">
        <f t="shared" si="0"/>
        <v>2.9473198072906381E-2</v>
      </c>
      <c r="K8" s="8"/>
      <c r="L8" s="8"/>
      <c r="M8" s="8"/>
    </row>
    <row r="9" spans="1:13" s="42" customFormat="1" ht="13.5" customHeight="1" x14ac:dyDescent="0.25">
      <c r="A9" s="31" t="s">
        <v>8</v>
      </c>
      <c r="B9" s="32">
        <v>2</v>
      </c>
      <c r="C9" s="80">
        <v>551841</v>
      </c>
      <c r="D9" s="86"/>
      <c r="E9" s="87">
        <v>3460</v>
      </c>
      <c r="F9" s="87">
        <v>21003</v>
      </c>
      <c r="G9" s="87"/>
      <c r="H9" s="95"/>
      <c r="I9" s="74">
        <f t="shared" si="1"/>
        <v>576304</v>
      </c>
      <c r="J9" s="54">
        <f t="shared" si="0"/>
        <v>4.4329797894683498E-2</v>
      </c>
      <c r="K9" s="8"/>
      <c r="L9" s="8"/>
      <c r="M9" s="8"/>
    </row>
    <row r="10" spans="1:13" s="42" customFormat="1" ht="13.5" customHeight="1" x14ac:dyDescent="0.25">
      <c r="A10" s="31" t="s">
        <v>9</v>
      </c>
      <c r="B10" s="32">
        <v>2</v>
      </c>
      <c r="C10" s="80">
        <v>572823</v>
      </c>
      <c r="D10" s="86"/>
      <c r="E10" s="87">
        <f>11021+10614</f>
        <v>21635</v>
      </c>
      <c r="F10" s="87">
        <f>30600</f>
        <v>30600</v>
      </c>
      <c r="G10" s="87">
        <v>4410</v>
      </c>
      <c r="H10" s="95"/>
      <c r="I10" s="74">
        <f t="shared" si="1"/>
        <v>629468</v>
      </c>
      <c r="J10" s="54">
        <f t="shared" si="0"/>
        <v>9.8887439924723708E-2</v>
      </c>
      <c r="K10" s="8"/>
      <c r="L10" s="8"/>
      <c r="M10" s="8"/>
    </row>
    <row r="11" spans="1:13" s="42" customFormat="1" ht="13.5" customHeight="1" x14ac:dyDescent="0.25">
      <c r="A11" s="31" t="s">
        <v>10</v>
      </c>
      <c r="B11" s="32">
        <v>2</v>
      </c>
      <c r="C11" s="80">
        <v>497185</v>
      </c>
      <c r="D11" s="86"/>
      <c r="E11" s="87"/>
      <c r="F11" s="87">
        <f>9382+41273</f>
        <v>50655</v>
      </c>
      <c r="G11" s="87"/>
      <c r="H11" s="95">
        <v>1</v>
      </c>
      <c r="I11" s="74">
        <f t="shared" si="1"/>
        <v>547840</v>
      </c>
      <c r="J11" s="54">
        <f t="shared" si="0"/>
        <v>0.10188360469442959</v>
      </c>
      <c r="K11" s="8"/>
      <c r="L11" s="8"/>
      <c r="M11" s="8"/>
    </row>
    <row r="12" spans="1:13" s="42" customFormat="1" ht="13.5" customHeight="1" x14ac:dyDescent="0.25">
      <c r="A12" s="31" t="s">
        <v>11</v>
      </c>
      <c r="B12" s="32">
        <v>2</v>
      </c>
      <c r="C12" s="80">
        <v>603304</v>
      </c>
      <c r="D12" s="86"/>
      <c r="E12" s="87"/>
      <c r="F12" s="87"/>
      <c r="G12" s="87"/>
      <c r="H12" s="95"/>
      <c r="I12" s="74">
        <f t="shared" si="1"/>
        <v>603304</v>
      </c>
      <c r="J12" s="54">
        <f t="shared" si="0"/>
        <v>0</v>
      </c>
      <c r="K12" s="8"/>
      <c r="L12" s="8"/>
      <c r="M12" s="8"/>
    </row>
    <row r="13" spans="1:13" s="42" customFormat="1" ht="13.5" customHeight="1" x14ac:dyDescent="0.25">
      <c r="A13" s="31" t="s">
        <v>12</v>
      </c>
      <c r="B13" s="32">
        <v>2</v>
      </c>
      <c r="C13" s="80">
        <v>597650</v>
      </c>
      <c r="D13" s="86"/>
      <c r="E13" s="87">
        <v>5246</v>
      </c>
      <c r="F13" s="87">
        <f>16834+1873+4987</f>
        <v>23694</v>
      </c>
      <c r="G13" s="87"/>
      <c r="H13" s="95"/>
      <c r="I13" s="74">
        <f t="shared" si="1"/>
        <v>626590</v>
      </c>
      <c r="J13" s="54">
        <f t="shared" si="0"/>
        <v>4.8422990044340253E-2</v>
      </c>
      <c r="K13" s="8"/>
      <c r="L13" s="8"/>
      <c r="M13" s="8"/>
    </row>
    <row r="14" spans="1:13" s="42" customFormat="1" ht="13.5" customHeight="1" x14ac:dyDescent="0.25">
      <c r="A14" s="31" t="s">
        <v>13</v>
      </c>
      <c r="B14" s="32">
        <v>2</v>
      </c>
      <c r="C14" s="80">
        <v>508395</v>
      </c>
      <c r="D14" s="86"/>
      <c r="E14" s="87">
        <v>7857</v>
      </c>
      <c r="F14" s="87">
        <v>66714</v>
      </c>
      <c r="G14" s="87"/>
      <c r="H14" s="95">
        <v>1</v>
      </c>
      <c r="I14" s="74">
        <f t="shared" si="1"/>
        <v>582966</v>
      </c>
      <c r="J14" s="54">
        <f t="shared" si="0"/>
        <v>0.14667925530345505</v>
      </c>
      <c r="K14" s="8"/>
      <c r="L14" s="8"/>
      <c r="M14" s="8"/>
    </row>
    <row r="15" spans="1:13" s="42" customFormat="1" ht="13.5" customHeight="1" x14ac:dyDescent="0.25">
      <c r="A15" s="31" t="s">
        <v>14</v>
      </c>
      <c r="B15" s="32">
        <v>2</v>
      </c>
      <c r="C15" s="80">
        <v>568132</v>
      </c>
      <c r="D15" s="86"/>
      <c r="E15" s="87"/>
      <c r="F15" s="87">
        <f>22022+44286+46773</f>
        <v>113081</v>
      </c>
      <c r="G15" s="87"/>
      <c r="H15" s="95">
        <f>1+1</f>
        <v>2</v>
      </c>
      <c r="I15" s="74">
        <f t="shared" si="1"/>
        <v>681213</v>
      </c>
      <c r="J15" s="54">
        <f t="shared" si="0"/>
        <v>0.19904001182823716</v>
      </c>
      <c r="K15" s="8"/>
      <c r="L15" s="8"/>
      <c r="M15" s="8"/>
    </row>
    <row r="16" spans="1:13" s="42" customFormat="1" ht="13.5" customHeight="1" x14ac:dyDescent="0.25">
      <c r="A16" s="31" t="s">
        <v>15</v>
      </c>
      <c r="B16" s="32">
        <v>2</v>
      </c>
      <c r="C16" s="80">
        <v>797203</v>
      </c>
      <c r="D16" s="86"/>
      <c r="E16" s="87"/>
      <c r="F16" s="87">
        <v>24625</v>
      </c>
      <c r="G16" s="87"/>
      <c r="H16" s="95">
        <v>0.5</v>
      </c>
      <c r="I16" s="74">
        <f t="shared" si="1"/>
        <v>821828</v>
      </c>
      <c r="J16" s="54">
        <f t="shared" si="0"/>
        <v>3.0889246528174041E-2</v>
      </c>
      <c r="K16" s="8"/>
      <c r="L16" s="8"/>
      <c r="M16" s="8"/>
    </row>
    <row r="17" spans="1:13" s="42" customFormat="1" ht="13.5" customHeight="1" x14ac:dyDescent="0.25">
      <c r="A17" s="31" t="s">
        <v>16</v>
      </c>
      <c r="B17" s="32">
        <v>3</v>
      </c>
      <c r="C17" s="80">
        <v>864548</v>
      </c>
      <c r="D17" s="86"/>
      <c r="E17" s="87">
        <v>7846</v>
      </c>
      <c r="F17" s="87">
        <v>29165</v>
      </c>
      <c r="G17" s="87"/>
      <c r="H17" s="95"/>
      <c r="I17" s="74">
        <f t="shared" si="1"/>
        <v>901559</v>
      </c>
      <c r="J17" s="54">
        <f t="shared" si="0"/>
        <v>4.2809653136667958E-2</v>
      </c>
      <c r="K17" s="8"/>
      <c r="L17" s="8"/>
      <c r="M17" s="8"/>
    </row>
    <row r="18" spans="1:13" s="42" customFormat="1" ht="13.5" customHeight="1" x14ac:dyDescent="0.25">
      <c r="A18" s="31" t="s">
        <v>17</v>
      </c>
      <c r="B18" s="32">
        <v>3</v>
      </c>
      <c r="C18" s="80">
        <v>814790</v>
      </c>
      <c r="D18" s="86"/>
      <c r="E18" s="87"/>
      <c r="F18" s="87">
        <f>18500+19500+47986</f>
        <v>85986</v>
      </c>
      <c r="G18" s="87"/>
      <c r="H18" s="95">
        <v>1</v>
      </c>
      <c r="I18" s="74">
        <f t="shared" si="1"/>
        <v>900776</v>
      </c>
      <c r="J18" s="54">
        <f t="shared" si="0"/>
        <v>0.10553148664072953</v>
      </c>
      <c r="K18" s="8"/>
      <c r="L18" s="8"/>
      <c r="M18" s="8"/>
    </row>
    <row r="19" spans="1:13" s="42" customFormat="1" ht="13.5" customHeight="1" x14ac:dyDescent="0.25">
      <c r="A19" s="31" t="s">
        <v>18</v>
      </c>
      <c r="B19" s="32">
        <v>3</v>
      </c>
      <c r="C19" s="80">
        <v>1350415</v>
      </c>
      <c r="D19" s="86"/>
      <c r="E19" s="87">
        <v>18773</v>
      </c>
      <c r="F19" s="87">
        <f>39432+8443</f>
        <v>47875</v>
      </c>
      <c r="G19" s="87"/>
      <c r="H19" s="95"/>
      <c r="I19" s="74">
        <f t="shared" si="1"/>
        <v>1417063</v>
      </c>
      <c r="J19" s="54">
        <f t="shared" si="0"/>
        <v>4.93537171906413E-2</v>
      </c>
      <c r="K19" s="8"/>
      <c r="L19" s="8"/>
      <c r="M19" s="8"/>
    </row>
    <row r="20" spans="1:13" s="42" customFormat="1" ht="13.5" customHeight="1" x14ac:dyDescent="0.25">
      <c r="A20" s="31" t="s">
        <v>19</v>
      </c>
      <c r="B20" s="32">
        <v>3</v>
      </c>
      <c r="C20" s="80">
        <v>914465</v>
      </c>
      <c r="D20" s="86"/>
      <c r="E20" s="87">
        <v>26500</v>
      </c>
      <c r="F20" s="87">
        <v>45700</v>
      </c>
      <c r="G20" s="87"/>
      <c r="H20" s="95"/>
      <c r="I20" s="74">
        <f t="shared" si="1"/>
        <v>986665</v>
      </c>
      <c r="J20" s="54">
        <f t="shared" si="0"/>
        <v>7.8953267757650547E-2</v>
      </c>
      <c r="K20" s="8"/>
      <c r="L20" s="8"/>
      <c r="M20" s="8"/>
    </row>
    <row r="21" spans="1:13" s="42" customFormat="1" ht="13.5" customHeight="1" x14ac:dyDescent="0.25">
      <c r="A21" s="31" t="s">
        <v>20</v>
      </c>
      <c r="B21" s="32">
        <v>3</v>
      </c>
      <c r="C21" s="80">
        <v>1292752</v>
      </c>
      <c r="D21" s="86"/>
      <c r="E21" s="87">
        <f>34500</f>
        <v>34500</v>
      </c>
      <c r="F21" s="87">
        <f>23600+43800</f>
        <v>67400</v>
      </c>
      <c r="G21" s="87"/>
      <c r="H21" s="95">
        <v>1</v>
      </c>
      <c r="I21" s="74">
        <f t="shared" si="1"/>
        <v>1394652</v>
      </c>
      <c r="J21" s="54">
        <f t="shared" si="0"/>
        <v>7.8824090003341674E-2</v>
      </c>
      <c r="K21" s="8"/>
      <c r="L21" s="8"/>
      <c r="M21" s="8"/>
    </row>
    <row r="22" spans="1:13" s="42" customFormat="1" ht="13.5" customHeight="1" x14ac:dyDescent="0.25">
      <c r="A22" s="31" t="s">
        <v>21</v>
      </c>
      <c r="B22" s="32">
        <v>3</v>
      </c>
      <c r="C22" s="80">
        <v>1116880</v>
      </c>
      <c r="D22" s="86"/>
      <c r="E22" s="87">
        <v>30174</v>
      </c>
      <c r="F22" s="87">
        <v>47262</v>
      </c>
      <c r="G22" s="87"/>
      <c r="H22" s="95"/>
      <c r="I22" s="74">
        <f t="shared" si="1"/>
        <v>1194316</v>
      </c>
      <c r="J22" s="54">
        <f t="shared" si="0"/>
        <v>6.93324260439796E-2</v>
      </c>
      <c r="K22" s="8"/>
      <c r="L22" s="8"/>
      <c r="M22" s="8"/>
    </row>
    <row r="23" spans="1:13" s="42" customFormat="1" ht="13.5" customHeight="1" x14ac:dyDescent="0.25">
      <c r="A23" s="31" t="s">
        <v>22</v>
      </c>
      <c r="B23" s="32">
        <v>3</v>
      </c>
      <c r="C23" s="80">
        <v>1135845</v>
      </c>
      <c r="D23" s="86"/>
      <c r="E23" s="87">
        <v>7285</v>
      </c>
      <c r="F23" s="87">
        <f>38472+6500+4478</f>
        <v>49450</v>
      </c>
      <c r="G23" s="87">
        <v>9067</v>
      </c>
      <c r="H23" s="95"/>
      <c r="I23" s="74">
        <f t="shared" si="1"/>
        <v>1201647</v>
      </c>
      <c r="J23" s="54">
        <f t="shared" si="0"/>
        <v>5.7932200256196831E-2</v>
      </c>
      <c r="K23" s="8"/>
      <c r="L23" s="8"/>
      <c r="M23" s="8"/>
    </row>
    <row r="24" spans="1:13" s="42" customFormat="1" ht="13.5" customHeight="1" x14ac:dyDescent="0.25">
      <c r="A24" s="31" t="s">
        <v>23</v>
      </c>
      <c r="B24" s="32">
        <v>3</v>
      </c>
      <c r="C24" s="80">
        <v>562813</v>
      </c>
      <c r="D24" s="86"/>
      <c r="E24" s="87"/>
      <c r="F24" s="87">
        <v>10991</v>
      </c>
      <c r="G24" s="87"/>
      <c r="H24" s="95"/>
      <c r="I24" s="74">
        <f t="shared" si="1"/>
        <v>573804</v>
      </c>
      <c r="J24" s="54">
        <f t="shared" si="0"/>
        <v>1.952868892509585E-2</v>
      </c>
      <c r="K24" s="8"/>
      <c r="L24" s="8"/>
      <c r="M24" s="8"/>
    </row>
    <row r="25" spans="1:13" s="42" customFormat="1" ht="13.5" customHeight="1" x14ac:dyDescent="0.25">
      <c r="A25" s="31" t="s">
        <v>24</v>
      </c>
      <c r="B25" s="32">
        <v>3</v>
      </c>
      <c r="C25" s="80">
        <v>1284863</v>
      </c>
      <c r="D25" s="86"/>
      <c r="E25" s="87"/>
      <c r="F25" s="87">
        <v>51328</v>
      </c>
      <c r="G25" s="87"/>
      <c r="H25" s="95">
        <v>1</v>
      </c>
      <c r="I25" s="74">
        <f t="shared" si="1"/>
        <v>1336191</v>
      </c>
      <c r="J25" s="54">
        <f t="shared" si="0"/>
        <v>3.9948227943368275E-2</v>
      </c>
      <c r="K25" s="8"/>
      <c r="L25" s="8"/>
      <c r="M25" s="8"/>
    </row>
    <row r="26" spans="1:13" s="42" customFormat="1" ht="13.5" customHeight="1" x14ac:dyDescent="0.25">
      <c r="A26" s="31" t="s">
        <v>25</v>
      </c>
      <c r="B26" s="32">
        <v>3</v>
      </c>
      <c r="C26" s="80">
        <v>1186551</v>
      </c>
      <c r="D26" s="86"/>
      <c r="E26" s="87">
        <v>6930</v>
      </c>
      <c r="F26" s="87">
        <v>20650</v>
      </c>
      <c r="G26" s="87"/>
      <c r="H26" s="95"/>
      <c r="I26" s="74">
        <f t="shared" si="1"/>
        <v>1214131</v>
      </c>
      <c r="J26" s="54">
        <f t="shared" si="0"/>
        <v>2.3243838655059967E-2</v>
      </c>
      <c r="K26" s="8"/>
      <c r="L26" s="8"/>
      <c r="M26" s="8"/>
    </row>
    <row r="27" spans="1:13" s="42" customFormat="1" ht="13.5" customHeight="1" x14ac:dyDescent="0.25">
      <c r="A27" s="31" t="s">
        <v>26</v>
      </c>
      <c r="B27" s="32">
        <v>3</v>
      </c>
      <c r="C27" s="80">
        <v>697172</v>
      </c>
      <c r="D27" s="86"/>
      <c r="E27" s="87">
        <v>15602</v>
      </c>
      <c r="F27" s="87">
        <f>10082+771+56951</f>
        <v>67804</v>
      </c>
      <c r="G27" s="87"/>
      <c r="H27" s="95">
        <v>1</v>
      </c>
      <c r="I27" s="74">
        <f t="shared" si="1"/>
        <v>780578</v>
      </c>
      <c r="J27" s="54">
        <f t="shared" si="0"/>
        <v>0.11963475297344117</v>
      </c>
      <c r="K27" s="8"/>
      <c r="L27" s="8"/>
      <c r="M27" s="8"/>
    </row>
    <row r="28" spans="1:13" s="42" customFormat="1" ht="13.5" customHeight="1" x14ac:dyDescent="0.25">
      <c r="A28" s="31" t="s">
        <v>27</v>
      </c>
      <c r="B28" s="32">
        <v>4</v>
      </c>
      <c r="C28" s="80">
        <v>3030989</v>
      </c>
      <c r="D28" s="86"/>
      <c r="E28" s="87">
        <f>30013</f>
        <v>30013</v>
      </c>
      <c r="F28" s="87">
        <f>109213+44963+26583</f>
        <v>180759</v>
      </c>
      <c r="G28" s="87"/>
      <c r="H28" s="95">
        <v>1</v>
      </c>
      <c r="I28" s="74">
        <f t="shared" si="1"/>
        <v>3241761</v>
      </c>
      <c r="J28" s="54">
        <f t="shared" si="0"/>
        <v>6.9539018452392964E-2</v>
      </c>
      <c r="K28" s="8"/>
      <c r="L28" s="8"/>
      <c r="M28" s="8"/>
    </row>
    <row r="29" spans="1:13" s="42" customFormat="1" ht="13.5" customHeight="1" x14ac:dyDescent="0.25">
      <c r="A29" s="31" t="s">
        <v>28</v>
      </c>
      <c r="B29" s="32">
        <v>4</v>
      </c>
      <c r="C29" s="80">
        <v>1541208</v>
      </c>
      <c r="D29" s="86"/>
      <c r="E29" s="87"/>
      <c r="F29" s="87">
        <f>33445+3276+48103</f>
        <v>84824</v>
      </c>
      <c r="G29" s="87"/>
      <c r="H29" s="95">
        <v>1</v>
      </c>
      <c r="I29" s="74">
        <f t="shared" si="1"/>
        <v>1626032</v>
      </c>
      <c r="J29" s="54">
        <f t="shared" si="0"/>
        <v>5.5037347327550945E-2</v>
      </c>
      <c r="K29" s="8"/>
      <c r="L29" s="8"/>
      <c r="M29" s="8"/>
    </row>
    <row r="30" spans="1:13" s="42" customFormat="1" ht="13.5" customHeight="1" x14ac:dyDescent="0.25">
      <c r="A30" s="31" t="s">
        <v>29</v>
      </c>
      <c r="B30" s="32">
        <v>4</v>
      </c>
      <c r="C30" s="80">
        <v>1837716</v>
      </c>
      <c r="D30" s="86"/>
      <c r="E30" s="87">
        <v>12840</v>
      </c>
      <c r="F30" s="87">
        <f>45000+115660+150000</f>
        <v>310660</v>
      </c>
      <c r="G30" s="87"/>
      <c r="H30" s="95">
        <v>3</v>
      </c>
      <c r="I30" s="74">
        <f t="shared" si="1"/>
        <v>2161216</v>
      </c>
      <c r="J30" s="54">
        <f t="shared" si="0"/>
        <v>0.17603372882425794</v>
      </c>
      <c r="K30" s="8"/>
      <c r="L30" s="8"/>
      <c r="M30" s="8"/>
    </row>
    <row r="31" spans="1:13" s="42" customFormat="1" ht="13.5" customHeight="1" x14ac:dyDescent="0.25">
      <c r="A31" s="31" t="s">
        <v>30</v>
      </c>
      <c r="B31" s="32">
        <v>4</v>
      </c>
      <c r="C31" s="80">
        <v>1988198</v>
      </c>
      <c r="D31" s="86"/>
      <c r="E31" s="87">
        <v>30955</v>
      </c>
      <c r="F31" s="87">
        <f>50040+50040+50040+79726+50040</f>
        <v>279886</v>
      </c>
      <c r="G31" s="87"/>
      <c r="H31" s="95">
        <f>1+1+1+1</f>
        <v>4</v>
      </c>
      <c r="I31" s="74">
        <f t="shared" si="1"/>
        <v>2299039</v>
      </c>
      <c r="J31" s="54">
        <f t="shared" si="0"/>
        <v>0.15634308051813761</v>
      </c>
      <c r="K31" s="8"/>
      <c r="L31" s="8"/>
      <c r="M31" s="8"/>
    </row>
    <row r="32" spans="1:13" s="42" customFormat="1" ht="13.5" customHeight="1" x14ac:dyDescent="0.25">
      <c r="A32" s="31" t="s">
        <v>31</v>
      </c>
      <c r="B32" s="32">
        <v>4</v>
      </c>
      <c r="C32" s="80">
        <v>2997205</v>
      </c>
      <c r="D32" s="86"/>
      <c r="E32" s="87"/>
      <c r="F32" s="87">
        <f>153926+19349</f>
        <v>173275</v>
      </c>
      <c r="G32" s="87"/>
      <c r="H32" s="95"/>
      <c r="I32" s="74">
        <f t="shared" si="1"/>
        <v>3170480</v>
      </c>
      <c r="J32" s="54">
        <f t="shared" si="0"/>
        <v>5.7812195028368096E-2</v>
      </c>
      <c r="K32" s="8"/>
      <c r="L32" s="8"/>
      <c r="M32" s="8"/>
    </row>
    <row r="33" spans="1:13" s="42" customFormat="1" ht="13.5" customHeight="1" x14ac:dyDescent="0.25">
      <c r="A33" s="31" t="s">
        <v>32</v>
      </c>
      <c r="B33" s="32">
        <v>4</v>
      </c>
      <c r="C33" s="80">
        <v>1575959</v>
      </c>
      <c r="D33" s="86"/>
      <c r="E33" s="87"/>
      <c r="F33" s="87">
        <f>90416+61920</f>
        <v>152336</v>
      </c>
      <c r="G33" s="263"/>
      <c r="H33" s="95">
        <v>2</v>
      </c>
      <c r="I33" s="74">
        <f t="shared" si="1"/>
        <v>1728295</v>
      </c>
      <c r="J33" s="54">
        <f t="shared" si="0"/>
        <v>9.6662413171916262E-2</v>
      </c>
      <c r="K33" s="8"/>
      <c r="L33" s="8"/>
      <c r="M33" s="8"/>
    </row>
    <row r="34" spans="1:13" s="42" customFormat="1" ht="13.5" customHeight="1" x14ac:dyDescent="0.25">
      <c r="A34" s="31" t="s">
        <v>33</v>
      </c>
      <c r="B34" s="32">
        <v>4</v>
      </c>
      <c r="C34" s="80">
        <v>2170031</v>
      </c>
      <c r="D34" s="86"/>
      <c r="E34" s="87">
        <f>26335</f>
        <v>26335</v>
      </c>
      <c r="F34" s="87">
        <v>108554</v>
      </c>
      <c r="G34" s="87"/>
      <c r="H34" s="95"/>
      <c r="I34" s="74">
        <f t="shared" si="1"/>
        <v>2304920</v>
      </c>
      <c r="J34" s="54">
        <f t="shared" ref="J34:J65" si="2">I34/C34-1</f>
        <v>6.2159941493923343E-2</v>
      </c>
      <c r="K34" s="8"/>
      <c r="L34" s="8"/>
      <c r="M34" s="8"/>
    </row>
    <row r="35" spans="1:13" s="42" customFormat="1" ht="13.5" customHeight="1" x14ac:dyDescent="0.25">
      <c r="A35" s="31" t="s">
        <v>34</v>
      </c>
      <c r="B35" s="32">
        <v>4</v>
      </c>
      <c r="C35" s="80">
        <v>1920231</v>
      </c>
      <c r="D35" s="86"/>
      <c r="E35" s="87">
        <v>31270</v>
      </c>
      <c r="F35" s="87"/>
      <c r="G35" s="87"/>
      <c r="H35" s="95"/>
      <c r="I35" s="74">
        <f t="shared" si="1"/>
        <v>1951501</v>
      </c>
      <c r="J35" s="54">
        <f t="shared" si="2"/>
        <v>1.6284499104534778E-2</v>
      </c>
      <c r="K35" s="8"/>
      <c r="L35" s="8"/>
      <c r="M35" s="8"/>
    </row>
    <row r="36" spans="1:13" s="42" customFormat="1" ht="13.5" customHeight="1" x14ac:dyDescent="0.25">
      <c r="A36" s="31" t="s">
        <v>35</v>
      </c>
      <c r="B36" s="32">
        <v>4</v>
      </c>
      <c r="C36" s="80">
        <v>1669785</v>
      </c>
      <c r="D36" s="86"/>
      <c r="E36" s="87">
        <v>46637</v>
      </c>
      <c r="F36" s="87">
        <f>75784+8333</f>
        <v>84117</v>
      </c>
      <c r="G36" s="87">
        <v>14220</v>
      </c>
      <c r="H36" s="95"/>
      <c r="I36" s="74">
        <f t="shared" si="1"/>
        <v>1814759</v>
      </c>
      <c r="J36" s="54">
        <f t="shared" si="2"/>
        <v>8.6821956120099353E-2</v>
      </c>
      <c r="K36" s="8"/>
      <c r="L36" s="8"/>
      <c r="M36" s="8"/>
    </row>
    <row r="37" spans="1:13" s="42" customFormat="1" ht="13.5" customHeight="1" x14ac:dyDescent="0.25">
      <c r="A37" s="31" t="s">
        <v>36</v>
      </c>
      <c r="B37" s="32">
        <v>5</v>
      </c>
      <c r="C37" s="80">
        <v>5860777</v>
      </c>
      <c r="D37" s="86"/>
      <c r="E37" s="87">
        <f>63044+2193</f>
        <v>65237</v>
      </c>
      <c r="F37" s="87">
        <f>254703+6855</f>
        <v>261558</v>
      </c>
      <c r="G37" s="87"/>
      <c r="H37" s="95"/>
      <c r="I37" s="74">
        <f t="shared" si="1"/>
        <v>6187572</v>
      </c>
      <c r="J37" s="54">
        <f t="shared" si="2"/>
        <v>5.5759671456532045E-2</v>
      </c>
      <c r="K37" s="8"/>
      <c r="L37" s="8"/>
      <c r="M37" s="8"/>
    </row>
    <row r="38" spans="1:13" s="42" customFormat="1" ht="13.5" customHeight="1" x14ac:dyDescent="0.25">
      <c r="A38" s="31" t="s">
        <v>37</v>
      </c>
      <c r="B38" s="32">
        <v>5</v>
      </c>
      <c r="C38" s="80">
        <v>3568694</v>
      </c>
      <c r="D38" s="86"/>
      <c r="E38" s="87">
        <v>79032</v>
      </c>
      <c r="F38" s="87"/>
      <c r="G38" s="87"/>
      <c r="H38" s="95"/>
      <c r="I38" s="74">
        <f t="shared" si="1"/>
        <v>3647726</v>
      </c>
      <c r="J38" s="54">
        <f t="shared" si="2"/>
        <v>2.2145916685487821E-2</v>
      </c>
      <c r="K38" s="8"/>
      <c r="L38" s="8"/>
      <c r="M38" s="8"/>
    </row>
    <row r="39" spans="1:13" s="42" customFormat="1" ht="13.5" customHeight="1" x14ac:dyDescent="0.25">
      <c r="A39" s="31" t="s">
        <v>38</v>
      </c>
      <c r="B39" s="32">
        <v>5</v>
      </c>
      <c r="C39" s="80">
        <v>3697503</v>
      </c>
      <c r="D39" s="86"/>
      <c r="E39" s="87">
        <v>989</v>
      </c>
      <c r="F39" s="87">
        <f>120347+68500+32900</f>
        <v>221747</v>
      </c>
      <c r="G39" s="87"/>
      <c r="H39" s="95">
        <f>1+0.5</f>
        <v>1.5</v>
      </c>
      <c r="I39" s="74">
        <f t="shared" si="1"/>
        <v>3920239</v>
      </c>
      <c r="J39" s="54">
        <f t="shared" si="2"/>
        <v>6.0239572489866777E-2</v>
      </c>
      <c r="K39" s="8"/>
      <c r="L39" s="8"/>
      <c r="M39" s="8"/>
    </row>
    <row r="40" spans="1:13" s="42" customFormat="1" ht="13.5" customHeight="1" x14ac:dyDescent="0.25">
      <c r="A40" s="31" t="s">
        <v>39</v>
      </c>
      <c r="B40" s="32">
        <v>5</v>
      </c>
      <c r="C40" s="80">
        <v>3450552</v>
      </c>
      <c r="D40" s="86"/>
      <c r="E40" s="87">
        <v>39973</v>
      </c>
      <c r="F40" s="87">
        <f>121501+205777</f>
        <v>327278</v>
      </c>
      <c r="G40" s="87"/>
      <c r="H40" s="95"/>
      <c r="I40" s="74">
        <f t="shared" si="1"/>
        <v>3817803</v>
      </c>
      <c r="J40" s="54">
        <f t="shared" si="2"/>
        <v>0.10643253601162939</v>
      </c>
      <c r="K40" s="8"/>
      <c r="L40" s="8"/>
      <c r="M40" s="8"/>
    </row>
    <row r="41" spans="1:13" s="42" customFormat="1" ht="13.5" customHeight="1" x14ac:dyDescent="0.25">
      <c r="A41" s="31" t="s">
        <v>40</v>
      </c>
      <c r="B41" s="32">
        <v>5</v>
      </c>
      <c r="C41" s="80">
        <v>3534085</v>
      </c>
      <c r="D41" s="86"/>
      <c r="E41" s="87">
        <v>19101</v>
      </c>
      <c r="F41" s="87">
        <f>51048+1422</f>
        <v>52470</v>
      </c>
      <c r="G41" s="87"/>
      <c r="H41" s="95">
        <f>1+0.5</f>
        <v>1.5</v>
      </c>
      <c r="I41" s="74">
        <f t="shared" si="1"/>
        <v>3605656</v>
      </c>
      <c r="J41" s="54">
        <f t="shared" si="2"/>
        <v>2.0251635147428448E-2</v>
      </c>
      <c r="K41" s="8"/>
      <c r="L41" s="8"/>
      <c r="M41" s="8"/>
    </row>
    <row r="42" spans="1:13" s="42" customFormat="1" ht="13.5" customHeight="1" x14ac:dyDescent="0.25">
      <c r="A42" s="31" t="s">
        <v>41</v>
      </c>
      <c r="B42" s="32">
        <v>5</v>
      </c>
      <c r="C42" s="80">
        <v>3539392</v>
      </c>
      <c r="D42" s="86"/>
      <c r="E42" s="87">
        <v>53184</v>
      </c>
      <c r="F42" s="87">
        <v>206127</v>
      </c>
      <c r="G42" s="87"/>
      <c r="H42" s="95"/>
      <c r="I42" s="74">
        <f t="shared" si="1"/>
        <v>3798703</v>
      </c>
      <c r="J42" s="54">
        <f t="shared" si="2"/>
        <v>7.3264278158508667E-2</v>
      </c>
      <c r="K42" s="8"/>
      <c r="L42" s="8"/>
      <c r="M42" s="8"/>
    </row>
    <row r="43" spans="1:13" s="42" customFormat="1" ht="13.5" customHeight="1" x14ac:dyDescent="0.25">
      <c r="A43" s="31" t="s">
        <v>42</v>
      </c>
      <c r="B43" s="32">
        <v>5</v>
      </c>
      <c r="C43" s="80">
        <v>3677066</v>
      </c>
      <c r="D43" s="86"/>
      <c r="E43" s="87"/>
      <c r="F43" s="87">
        <f>263653+10216</f>
        <v>273869</v>
      </c>
      <c r="G43" s="87">
        <v>89762</v>
      </c>
      <c r="H43" s="95"/>
      <c r="I43" s="74">
        <f t="shared" si="1"/>
        <v>4040697</v>
      </c>
      <c r="J43" s="54">
        <f t="shared" si="2"/>
        <v>9.8891616304956242E-2</v>
      </c>
      <c r="K43" s="8"/>
      <c r="L43" s="8"/>
      <c r="M43" s="8"/>
    </row>
    <row r="44" spans="1:13" s="42" customFormat="1" ht="13.5" customHeight="1" x14ac:dyDescent="0.25">
      <c r="A44" s="31" t="s">
        <v>43</v>
      </c>
      <c r="B44" s="32">
        <v>5</v>
      </c>
      <c r="C44" s="80">
        <v>3616413</v>
      </c>
      <c r="D44" s="86"/>
      <c r="E44" s="87"/>
      <c r="F44" s="87">
        <f>227794+300430+460016</f>
        <v>988240</v>
      </c>
      <c r="G44" s="87"/>
      <c r="H44" s="95">
        <v>8</v>
      </c>
      <c r="I44" s="74">
        <f t="shared" si="1"/>
        <v>4604653</v>
      </c>
      <c r="J44" s="54">
        <f t="shared" si="2"/>
        <v>0.27326524929536533</v>
      </c>
      <c r="K44" s="8"/>
      <c r="L44" s="8"/>
      <c r="M44" s="8"/>
    </row>
    <row r="45" spans="1:13" s="42" customFormat="1" ht="13.5" customHeight="1" x14ac:dyDescent="0.25">
      <c r="A45" s="31" t="s">
        <v>44</v>
      </c>
      <c r="B45" s="32">
        <v>5</v>
      </c>
      <c r="C45" s="80">
        <v>3208832</v>
      </c>
      <c r="D45" s="86"/>
      <c r="E45" s="87">
        <v>56757</v>
      </c>
      <c r="F45" s="87">
        <f>172468+153081</f>
        <v>325549</v>
      </c>
      <c r="G45" s="87"/>
      <c r="H45" s="95">
        <v>3</v>
      </c>
      <c r="I45" s="74">
        <f t="shared" si="1"/>
        <v>3591138</v>
      </c>
      <c r="J45" s="54">
        <f t="shared" si="2"/>
        <v>0.11914179364952737</v>
      </c>
      <c r="K45" s="8"/>
      <c r="L45" s="8"/>
      <c r="M45" s="8"/>
    </row>
    <row r="46" spans="1:13" s="42" customFormat="1" ht="13.5" customHeight="1" x14ac:dyDescent="0.25">
      <c r="A46" s="31" t="s">
        <v>45</v>
      </c>
      <c r="B46" s="32">
        <v>6</v>
      </c>
      <c r="C46" s="80">
        <v>3899520</v>
      </c>
      <c r="D46" s="86"/>
      <c r="E46" s="87">
        <f>126510</f>
        <v>126510</v>
      </c>
      <c r="F46" s="87">
        <f>142320+30630</f>
        <v>172950</v>
      </c>
      <c r="G46" s="87"/>
      <c r="H46" s="95"/>
      <c r="I46" s="74">
        <f t="shared" si="1"/>
        <v>4198980</v>
      </c>
      <c r="J46" s="54">
        <f t="shared" si="2"/>
        <v>7.6794066962087681E-2</v>
      </c>
      <c r="K46" s="8"/>
      <c r="L46" s="8"/>
      <c r="M46" s="8"/>
    </row>
    <row r="47" spans="1:13" s="42" customFormat="1" ht="13.5" customHeight="1" x14ac:dyDescent="0.25">
      <c r="A47" s="31" t="s">
        <v>46</v>
      </c>
      <c r="B47" s="32">
        <v>6</v>
      </c>
      <c r="C47" s="80">
        <v>11394570</v>
      </c>
      <c r="D47" s="86"/>
      <c r="E47" s="87">
        <v>159700</v>
      </c>
      <c r="F47" s="87">
        <v>450000</v>
      </c>
      <c r="G47" s="87"/>
      <c r="H47" s="95"/>
      <c r="I47" s="74">
        <f t="shared" si="1"/>
        <v>12004270</v>
      </c>
      <c r="J47" s="54">
        <f t="shared" si="2"/>
        <v>5.3507942818377563E-2</v>
      </c>
      <c r="K47" s="8"/>
      <c r="L47" s="8"/>
      <c r="M47" s="8"/>
    </row>
    <row r="48" spans="1:13" s="42" customFormat="1" ht="13.5" customHeight="1" x14ac:dyDescent="0.25">
      <c r="A48" s="31" t="s">
        <v>47</v>
      </c>
      <c r="B48" s="32">
        <v>6</v>
      </c>
      <c r="C48" s="80">
        <v>6479424</v>
      </c>
      <c r="D48" s="86"/>
      <c r="E48" s="87"/>
      <c r="F48" s="87">
        <v>836828</v>
      </c>
      <c r="G48" s="87"/>
      <c r="H48" s="95"/>
      <c r="I48" s="74">
        <f t="shared" si="1"/>
        <v>7316252</v>
      </c>
      <c r="J48" s="54">
        <f t="shared" si="2"/>
        <v>0.12915160359933231</v>
      </c>
      <c r="K48" s="8"/>
      <c r="L48" s="8"/>
      <c r="M48" s="8"/>
    </row>
    <row r="49" spans="1:13" s="42" customFormat="1" ht="13.5" customHeight="1" x14ac:dyDescent="0.25">
      <c r="A49" s="31" t="s">
        <v>48</v>
      </c>
      <c r="B49" s="32">
        <v>6</v>
      </c>
      <c r="C49" s="80">
        <v>7032236</v>
      </c>
      <c r="D49" s="86"/>
      <c r="E49" s="87">
        <v>46223</v>
      </c>
      <c r="F49" s="87">
        <v>274288</v>
      </c>
      <c r="G49" s="87"/>
      <c r="H49" s="95"/>
      <c r="I49" s="74">
        <f t="shared" si="1"/>
        <v>7352747</v>
      </c>
      <c r="J49" s="54">
        <f t="shared" si="2"/>
        <v>4.5577395297882406E-2</v>
      </c>
      <c r="K49" s="8"/>
      <c r="L49" s="8"/>
      <c r="M49" s="8"/>
    </row>
    <row r="50" spans="1:13" s="42" customFormat="1" ht="13.5" customHeight="1" x14ac:dyDescent="0.25">
      <c r="A50" s="31" t="s">
        <v>49</v>
      </c>
      <c r="B50" s="32">
        <v>6</v>
      </c>
      <c r="C50" s="80">
        <v>6187758</v>
      </c>
      <c r="D50" s="86">
        <v>260128</v>
      </c>
      <c r="E50" s="87">
        <f>68563+42261</f>
        <v>110824</v>
      </c>
      <c r="F50" s="87">
        <f>371087+94144</f>
        <v>465231</v>
      </c>
      <c r="G50" s="263"/>
      <c r="H50" s="95">
        <f>5.5+2</f>
        <v>7.5</v>
      </c>
      <c r="I50" s="74">
        <f t="shared" si="1"/>
        <v>7023941</v>
      </c>
      <c r="J50" s="54">
        <f t="shared" si="2"/>
        <v>0.13513505214651245</v>
      </c>
      <c r="K50" s="8"/>
      <c r="L50" s="8"/>
      <c r="M50" s="8"/>
    </row>
    <row r="51" spans="1:13" s="42" customFormat="1" ht="13.5" customHeight="1" x14ac:dyDescent="0.25">
      <c r="A51" s="31" t="s">
        <v>50</v>
      </c>
      <c r="B51" s="32">
        <v>6</v>
      </c>
      <c r="C51" s="80">
        <v>5958529</v>
      </c>
      <c r="D51" s="86"/>
      <c r="E51" s="87"/>
      <c r="F51" s="87">
        <v>162893</v>
      </c>
      <c r="G51" s="87">
        <v>74625</v>
      </c>
      <c r="H51" s="95">
        <v>3</v>
      </c>
      <c r="I51" s="74">
        <f t="shared" si="1"/>
        <v>6196047</v>
      </c>
      <c r="J51" s="54">
        <f t="shared" si="2"/>
        <v>3.986185180939783E-2</v>
      </c>
      <c r="K51" s="8"/>
      <c r="L51" s="8"/>
      <c r="M51" s="8"/>
    </row>
    <row r="52" spans="1:13" s="42" customFormat="1" ht="13.5" customHeight="1" x14ac:dyDescent="0.25">
      <c r="A52" s="31" t="s">
        <v>51</v>
      </c>
      <c r="B52" s="32">
        <v>6</v>
      </c>
      <c r="C52" s="80">
        <v>5985508</v>
      </c>
      <c r="D52" s="86"/>
      <c r="E52" s="87">
        <f>94650+9533</f>
        <v>104183</v>
      </c>
      <c r="F52" s="87">
        <f>138348+55539</f>
        <v>193887</v>
      </c>
      <c r="G52" s="87"/>
      <c r="H52" s="95"/>
      <c r="I52" s="74">
        <f t="shared" si="1"/>
        <v>6283578</v>
      </c>
      <c r="J52" s="54">
        <f t="shared" si="2"/>
        <v>4.9798613584678186E-2</v>
      </c>
      <c r="K52" s="8"/>
      <c r="L52" s="8"/>
      <c r="M52" s="8"/>
    </row>
    <row r="53" spans="1:13" s="42" customFormat="1" ht="13.5" customHeight="1" x14ac:dyDescent="0.25">
      <c r="A53" s="31" t="s">
        <v>52</v>
      </c>
      <c r="B53" s="32">
        <v>6</v>
      </c>
      <c r="C53" s="80">
        <v>6613040</v>
      </c>
      <c r="D53" s="86"/>
      <c r="E53" s="87">
        <v>55541</v>
      </c>
      <c r="F53" s="87">
        <f>303214+119217</f>
        <v>422431</v>
      </c>
      <c r="G53" s="87">
        <v>3243</v>
      </c>
      <c r="H53" s="95">
        <v>2</v>
      </c>
      <c r="I53" s="74">
        <f t="shared" si="1"/>
        <v>7094255</v>
      </c>
      <c r="J53" s="54">
        <f t="shared" si="2"/>
        <v>7.2767592514184187E-2</v>
      </c>
      <c r="K53" s="8"/>
      <c r="L53" s="8"/>
      <c r="M53" s="8"/>
    </row>
    <row r="54" spans="1:13" s="42" customFormat="1" ht="13.5" customHeight="1" x14ac:dyDescent="0.25">
      <c r="A54" s="31" t="s">
        <v>53</v>
      </c>
      <c r="B54" s="32">
        <v>6</v>
      </c>
      <c r="C54" s="80">
        <v>7814151</v>
      </c>
      <c r="D54" s="86"/>
      <c r="E54" s="87">
        <v>229636</v>
      </c>
      <c r="F54" s="87">
        <f>581107</f>
        <v>581107</v>
      </c>
      <c r="G54" s="87"/>
      <c r="H54" s="95"/>
      <c r="I54" s="74">
        <f t="shared" si="1"/>
        <v>8624894</v>
      </c>
      <c r="J54" s="54">
        <f t="shared" si="2"/>
        <v>0.10375317804838935</v>
      </c>
      <c r="K54" s="8"/>
      <c r="L54" s="8"/>
      <c r="M54" s="8"/>
    </row>
    <row r="55" spans="1:13" s="42" customFormat="1" ht="13.5" customHeight="1" x14ac:dyDescent="0.25">
      <c r="A55" s="31" t="s">
        <v>54</v>
      </c>
      <c r="B55" s="32">
        <v>6</v>
      </c>
      <c r="C55" s="80">
        <v>11710996</v>
      </c>
      <c r="D55" s="86"/>
      <c r="E55" s="87">
        <v>109500</v>
      </c>
      <c r="F55" s="87">
        <f>638826+44781</f>
        <v>683607</v>
      </c>
      <c r="G55" s="87"/>
      <c r="H55" s="95">
        <v>1</v>
      </c>
      <c r="I55" s="74">
        <f t="shared" si="1"/>
        <v>12504103</v>
      </c>
      <c r="J55" s="54">
        <f t="shared" si="2"/>
        <v>6.7723274775262521E-2</v>
      </c>
      <c r="K55" s="8"/>
      <c r="L55" s="8"/>
      <c r="M55" s="8"/>
    </row>
    <row r="56" spans="1:13" s="42" customFormat="1" ht="13.5" customHeight="1" x14ac:dyDescent="0.25">
      <c r="A56" s="31" t="s">
        <v>55</v>
      </c>
      <c r="B56" s="32">
        <v>6</v>
      </c>
      <c r="C56" s="80">
        <v>6732027</v>
      </c>
      <c r="D56" s="86"/>
      <c r="E56" s="87">
        <v>212412</v>
      </c>
      <c r="F56" s="87">
        <f>187650+323125</f>
        <v>510775</v>
      </c>
      <c r="G56" s="87"/>
      <c r="H56" s="95">
        <v>3</v>
      </c>
      <c r="I56" s="74">
        <f t="shared" si="1"/>
        <v>7455214</v>
      </c>
      <c r="J56" s="54">
        <f t="shared" si="2"/>
        <v>0.1074248513857714</v>
      </c>
      <c r="K56" s="8"/>
      <c r="L56" s="8"/>
      <c r="M56" s="8"/>
    </row>
    <row r="57" spans="1:13" s="42" customFormat="1" ht="13.5" customHeight="1" x14ac:dyDescent="0.25">
      <c r="A57" s="31" t="s">
        <v>56</v>
      </c>
      <c r="B57" s="32">
        <v>6</v>
      </c>
      <c r="C57" s="80">
        <v>8186923</v>
      </c>
      <c r="D57" s="86"/>
      <c r="E57" s="87"/>
      <c r="F57" s="87"/>
      <c r="G57" s="87"/>
      <c r="H57" s="95"/>
      <c r="I57" s="74">
        <f t="shared" si="1"/>
        <v>8186923</v>
      </c>
      <c r="J57" s="54">
        <f t="shared" si="2"/>
        <v>0</v>
      </c>
      <c r="K57" s="8"/>
      <c r="L57" s="8"/>
      <c r="M57" s="8"/>
    </row>
    <row r="58" spans="1:13" s="42" customFormat="1" ht="13.5" customHeight="1" x14ac:dyDescent="0.25">
      <c r="A58" s="31" t="s">
        <v>57</v>
      </c>
      <c r="B58" s="32">
        <v>6</v>
      </c>
      <c r="C58" s="80">
        <v>8928108</v>
      </c>
      <c r="D58" s="86"/>
      <c r="E58" s="87">
        <v>156515</v>
      </c>
      <c r="F58" s="87">
        <v>256600</v>
      </c>
      <c r="G58" s="87"/>
      <c r="H58" s="95"/>
      <c r="I58" s="74">
        <f t="shared" si="1"/>
        <v>9341223</v>
      </c>
      <c r="J58" s="54">
        <f t="shared" si="2"/>
        <v>4.6271281664603592E-2</v>
      </c>
      <c r="K58" s="8"/>
      <c r="L58" s="8"/>
      <c r="M58" s="8"/>
    </row>
    <row r="59" spans="1:13" s="42" customFormat="1" ht="13.5" customHeight="1" x14ac:dyDescent="0.25">
      <c r="A59" s="31" t="s">
        <v>58</v>
      </c>
      <c r="B59" s="32">
        <v>7</v>
      </c>
      <c r="C59" s="80">
        <v>19725984</v>
      </c>
      <c r="D59" s="86"/>
      <c r="E59" s="87">
        <v>81693</v>
      </c>
      <c r="F59" s="87">
        <f>86383+94333+20957+354942</f>
        <v>556615</v>
      </c>
      <c r="G59" s="87">
        <f>221503+15000+15000+57607+100000+11988</f>
        <v>421098</v>
      </c>
      <c r="H59" s="95">
        <f>1+1+0.63</f>
        <v>2.63</v>
      </c>
      <c r="I59" s="74">
        <f t="shared" si="1"/>
        <v>20785390</v>
      </c>
      <c r="J59" s="54">
        <f t="shared" si="2"/>
        <v>5.3706116764568046E-2</v>
      </c>
      <c r="K59" s="8"/>
      <c r="L59" s="8"/>
      <c r="M59" s="8"/>
    </row>
    <row r="60" spans="1:13" s="42" customFormat="1" ht="13.5" customHeight="1" x14ac:dyDescent="0.25">
      <c r="A60" s="31" t="s">
        <v>59</v>
      </c>
      <c r="B60" s="32">
        <v>7</v>
      </c>
      <c r="C60" s="80">
        <v>11775816</v>
      </c>
      <c r="D60" s="86"/>
      <c r="E60" s="87"/>
      <c r="F60" s="87">
        <f>360000+660000</f>
        <v>1020000</v>
      </c>
      <c r="G60" s="87"/>
      <c r="H60" s="95">
        <f>6+11</f>
        <v>17</v>
      </c>
      <c r="I60" s="74">
        <f t="shared" si="1"/>
        <v>12795816</v>
      </c>
      <c r="J60" s="54">
        <f t="shared" si="2"/>
        <v>8.6618201235481251E-2</v>
      </c>
      <c r="K60" s="8"/>
      <c r="L60" s="8"/>
      <c r="M60" s="8"/>
    </row>
    <row r="61" spans="1:13" s="42" customFormat="1" ht="13.5" customHeight="1" x14ac:dyDescent="0.25">
      <c r="A61" s="31" t="s">
        <v>60</v>
      </c>
      <c r="B61" s="32">
        <v>7</v>
      </c>
      <c r="C61" s="80">
        <v>22790450</v>
      </c>
      <c r="D61" s="86"/>
      <c r="E61" s="87">
        <v>70309</v>
      </c>
      <c r="F61" s="87">
        <f>628565+318555</f>
        <v>947120</v>
      </c>
      <c r="G61" s="87"/>
      <c r="H61" s="95">
        <v>6.52</v>
      </c>
      <c r="I61" s="74">
        <f t="shared" si="1"/>
        <v>23807879</v>
      </c>
      <c r="J61" s="54">
        <f t="shared" si="2"/>
        <v>4.4642778005699713E-2</v>
      </c>
      <c r="K61" s="8"/>
      <c r="L61" s="8"/>
      <c r="M61" s="8"/>
    </row>
    <row r="62" spans="1:13" s="42" customFormat="1" ht="13.5" customHeight="1" x14ac:dyDescent="0.25">
      <c r="A62" s="31" t="s">
        <v>61</v>
      </c>
      <c r="B62" s="32">
        <v>7</v>
      </c>
      <c r="C62" s="80">
        <v>12491352</v>
      </c>
      <c r="D62" s="86"/>
      <c r="E62" s="87">
        <v>219737</v>
      </c>
      <c r="F62" s="87">
        <f>879006+528293+113261</f>
        <v>1520560</v>
      </c>
      <c r="G62" s="87"/>
      <c r="H62" s="95">
        <v>1.84</v>
      </c>
      <c r="I62" s="74">
        <f t="shared" si="1"/>
        <v>14231649</v>
      </c>
      <c r="J62" s="54">
        <f t="shared" si="2"/>
        <v>0.13932014725067399</v>
      </c>
      <c r="K62" s="8"/>
      <c r="L62" s="8"/>
      <c r="M62" s="8"/>
    </row>
    <row r="63" spans="1:13" s="42" customFormat="1" ht="13.5" customHeight="1" x14ac:dyDescent="0.25">
      <c r="A63" s="31" t="s">
        <v>62</v>
      </c>
      <c r="B63" s="32">
        <v>7</v>
      </c>
      <c r="C63" s="80">
        <v>11720333</v>
      </c>
      <c r="D63" s="86"/>
      <c r="E63" s="87">
        <v>133252</v>
      </c>
      <c r="F63" s="87">
        <f>467045+271080+46577</f>
        <v>784702</v>
      </c>
      <c r="G63" s="87"/>
      <c r="H63" s="95">
        <f>1+6</f>
        <v>7</v>
      </c>
      <c r="I63" s="74">
        <f t="shared" si="1"/>
        <v>12638287</v>
      </c>
      <c r="J63" s="54">
        <f t="shared" si="2"/>
        <v>7.8321494790293045E-2</v>
      </c>
      <c r="K63" s="8"/>
      <c r="L63" s="8"/>
      <c r="M63" s="8"/>
    </row>
    <row r="64" spans="1:13" s="42" customFormat="1" ht="13.5" customHeight="1" x14ac:dyDescent="0.25">
      <c r="A64" s="31" t="s">
        <v>63</v>
      </c>
      <c r="B64" s="32">
        <v>8</v>
      </c>
      <c r="C64" s="80">
        <v>39239355</v>
      </c>
      <c r="D64" s="86"/>
      <c r="E64" s="87">
        <v>492076</v>
      </c>
      <c r="F64" s="87">
        <v>3151161</v>
      </c>
      <c r="G64" s="87"/>
      <c r="H64" s="95"/>
      <c r="I64" s="74">
        <f t="shared" si="1"/>
        <v>42882592</v>
      </c>
      <c r="J64" s="54">
        <f t="shared" si="2"/>
        <v>9.284650575933262E-2</v>
      </c>
      <c r="K64" s="8"/>
      <c r="L64" s="8"/>
      <c r="M64" s="8"/>
    </row>
    <row r="65" spans="1:13" s="42" customFormat="1" ht="13.5" customHeight="1" x14ac:dyDescent="0.25">
      <c r="A65" s="31" t="s">
        <v>64</v>
      </c>
      <c r="B65" s="32">
        <v>8</v>
      </c>
      <c r="C65" s="80">
        <v>30495278</v>
      </c>
      <c r="D65" s="86"/>
      <c r="E65" s="87">
        <v>288420</v>
      </c>
      <c r="F65" s="87">
        <v>1432728</v>
      </c>
      <c r="G65" s="87"/>
      <c r="H65" s="95"/>
      <c r="I65" s="74">
        <f t="shared" si="1"/>
        <v>32216426</v>
      </c>
      <c r="J65" s="54">
        <f t="shared" si="2"/>
        <v>5.6439819961634718E-2</v>
      </c>
      <c r="K65" s="8"/>
      <c r="L65" s="8"/>
      <c r="M65" s="8"/>
    </row>
    <row r="66" spans="1:13" s="42" customFormat="1" ht="13.5" customHeight="1" x14ac:dyDescent="0.25">
      <c r="A66" s="31" t="s">
        <v>65</v>
      </c>
      <c r="B66" s="32">
        <v>8</v>
      </c>
      <c r="C66" s="80">
        <v>71219276</v>
      </c>
      <c r="D66" s="86"/>
      <c r="E66" s="87">
        <v>484386</v>
      </c>
      <c r="F66" s="87">
        <f>1415415+5481558</f>
        <v>6896973</v>
      </c>
      <c r="G66" s="87"/>
      <c r="H66" s="95">
        <v>75</v>
      </c>
      <c r="I66" s="74">
        <f t="shared" si="1"/>
        <v>78600635</v>
      </c>
      <c r="J66" s="54">
        <f t="shared" ref="J66:J68" si="3">I66/C66-1</f>
        <v>0.10364271324521757</v>
      </c>
      <c r="K66" s="8"/>
      <c r="L66" s="8"/>
      <c r="M66" s="8"/>
    </row>
    <row r="67" spans="1:13" ht="13.5" customHeight="1" x14ac:dyDescent="0.25">
      <c r="A67" s="31" t="s">
        <v>66</v>
      </c>
      <c r="B67" s="32">
        <v>8</v>
      </c>
      <c r="C67" s="80">
        <v>29204707</v>
      </c>
      <c r="D67" s="86"/>
      <c r="E67" s="87">
        <v>398958</v>
      </c>
      <c r="F67" s="87">
        <v>96638</v>
      </c>
      <c r="G67" s="87">
        <v>322852</v>
      </c>
      <c r="H67" s="95"/>
      <c r="I67" s="74">
        <f t="shared" ref="I67:I68" si="4">SUM(C67:G67)</f>
        <v>30023155</v>
      </c>
      <c r="J67" s="54">
        <f t="shared" si="3"/>
        <v>2.8024523581078986E-2</v>
      </c>
    </row>
    <row r="68" spans="1:13" ht="13.5" customHeight="1" thickBot="1" x14ac:dyDescent="0.3">
      <c r="A68" s="33" t="s">
        <v>67</v>
      </c>
      <c r="B68" s="34">
        <v>8</v>
      </c>
      <c r="C68" s="81">
        <v>30450458</v>
      </c>
      <c r="D68" s="88"/>
      <c r="E68" s="88">
        <f>368572+32384</f>
        <v>400956</v>
      </c>
      <c r="F68" s="89">
        <v>644551</v>
      </c>
      <c r="G68" s="89"/>
      <c r="H68" s="96"/>
      <c r="I68" s="75">
        <f t="shared" si="4"/>
        <v>31495965</v>
      </c>
      <c r="J68" s="53">
        <f t="shared" si="3"/>
        <v>3.4334688824713133E-2</v>
      </c>
    </row>
    <row r="69" spans="1:13" ht="14.25" thickBot="1" x14ac:dyDescent="0.3">
      <c r="A69" s="35"/>
      <c r="B69" s="36"/>
      <c r="C69" s="82"/>
      <c r="D69" s="90"/>
      <c r="E69" s="19"/>
      <c r="F69" s="19"/>
      <c r="G69" s="19"/>
      <c r="H69" s="97"/>
      <c r="I69" s="76"/>
      <c r="J69" s="12"/>
    </row>
    <row r="70" spans="1:13" s="42" customFormat="1" ht="14.25" thickBot="1" x14ac:dyDescent="0.3">
      <c r="A70" s="314" t="s">
        <v>68</v>
      </c>
      <c r="B70" s="314"/>
      <c r="C70" s="83">
        <f t="shared" ref="C70" si="5">SUM(C2:C68)</f>
        <v>448296341</v>
      </c>
      <c r="D70" s="77">
        <f>SUM(D2:D68)</f>
        <v>260128</v>
      </c>
      <c r="E70" s="77">
        <f t="shared" ref="E70:I70" si="6">SUM(E2:E68)</f>
        <v>4624015</v>
      </c>
      <c r="F70" s="77">
        <f t="shared" si="6"/>
        <v>27074798</v>
      </c>
      <c r="G70" s="77">
        <f t="shared" si="6"/>
        <v>939277</v>
      </c>
      <c r="H70" s="98">
        <f>SUM(H2:H68)</f>
        <v>160.99</v>
      </c>
      <c r="I70" s="79">
        <f t="shared" si="6"/>
        <v>481194559</v>
      </c>
      <c r="J70" s="92">
        <f>I70/C70-1</f>
        <v>7.3384979959048913E-2</v>
      </c>
      <c r="K70" s="8"/>
      <c r="L70" s="8"/>
      <c r="M70" s="8"/>
    </row>
    <row r="71" spans="1:13" x14ac:dyDescent="0.25">
      <c r="C71" s="7"/>
      <c r="D71" s="11"/>
      <c r="E71" s="7"/>
      <c r="F71" s="7"/>
      <c r="G71" s="7"/>
    </row>
    <row r="72" spans="1:13" ht="15" customHeight="1" x14ac:dyDescent="0.25">
      <c r="C72" s="7"/>
      <c r="H72" s="8"/>
      <c r="I72" s="262"/>
    </row>
    <row r="73" spans="1:13" x14ac:dyDescent="0.25">
      <c r="E73" s="259"/>
      <c r="F73" s="259"/>
      <c r="G73" s="259"/>
      <c r="H73" s="269" t="s">
        <v>218</v>
      </c>
      <c r="I73" s="267">
        <f>11700000+2274341.75</f>
        <v>13974341.75</v>
      </c>
    </row>
    <row r="74" spans="1:13" ht="14.25" thickBot="1" x14ac:dyDescent="0.3">
      <c r="H74" s="269" t="s">
        <v>219</v>
      </c>
      <c r="I74" s="267">
        <v>6250000</v>
      </c>
    </row>
    <row r="75" spans="1:13" ht="14.25" thickBot="1" x14ac:dyDescent="0.3">
      <c r="F75" s="264"/>
      <c r="G75" s="265"/>
      <c r="H75" s="266" t="s">
        <v>217</v>
      </c>
      <c r="I75" s="268">
        <f>I70+11700000+2274341.75+6250000</f>
        <v>501418900.75</v>
      </c>
    </row>
    <row r="77" spans="1:13" x14ac:dyDescent="0.25">
      <c r="H77" s="308" t="s">
        <v>242</v>
      </c>
      <c r="I77" s="307">
        <f>I70-'BUDGET CALCULATION '!H71</f>
        <v>27984762.00000006</v>
      </c>
    </row>
    <row r="78" spans="1:13" x14ac:dyDescent="0.25">
      <c r="I78" s="306"/>
    </row>
  </sheetData>
  <autoFilter ref="A1:J68" xr:uid="{4EC7684B-053D-43A3-8CD8-BE9A689EFD27}"/>
  <mergeCells count="1">
    <mergeCell ref="A70:B70"/>
  </mergeCells>
  <conditionalFormatting sqref="J2:J68 D2:D68 H70">
    <cfRule type="cellIs" dxfId="1" priority="2" operator="lessThan">
      <formula>0</formula>
    </cfRule>
  </conditionalFormatting>
  <printOptions horizontalCentered="1"/>
  <pageMargins left="0.45" right="0.45" top="0.37" bottom="0.6" header="0.25" footer="0.25"/>
  <pageSetup scale="85" fitToHeight="0" pageOrder="overThenDown" orientation="landscape" r:id="rId1"/>
  <headerFoot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24CCC-9320-421B-AC5B-02E72BD85C32}">
  <sheetPr>
    <pageSetUpPr fitToPage="1"/>
  </sheetPr>
  <dimension ref="A1:K77"/>
  <sheetViews>
    <sheetView zoomScale="140" zoomScaleNormal="140" zoomScalePageLayoutView="55" workbookViewId="0">
      <pane xSplit="2" ySplit="2" topLeftCell="C57" activePane="bottomRight" state="frozen"/>
      <selection pane="topRight" activeCell="C1" sqref="C1"/>
      <selection pane="bottomLeft" activeCell="A3" sqref="A3"/>
      <selection pane="bottomRight" activeCell="H76" sqref="H76"/>
    </sheetView>
  </sheetViews>
  <sheetFormatPr defaultColWidth="2.28515625" defaultRowHeight="13.5" x14ac:dyDescent="0.25"/>
  <cols>
    <col min="1" max="1" width="12.42578125" style="8" customWidth="1"/>
    <col min="2" max="2" width="6.28515625" style="8" customWidth="1"/>
    <col min="3" max="3" width="16.140625" style="8" customWidth="1"/>
    <col min="4" max="4" width="13.85546875" style="8" customWidth="1"/>
    <col min="5" max="5" width="16" style="8" customWidth="1"/>
    <col min="6" max="6" width="11.85546875" style="8" customWidth="1"/>
    <col min="7" max="7" width="14.85546875" style="3" customWidth="1"/>
    <col min="8" max="8" width="17" style="8" customWidth="1"/>
    <col min="9" max="9" width="7.85546875" style="24" customWidth="1"/>
    <col min="10" max="16384" width="2.28515625" style="8"/>
  </cols>
  <sheetData>
    <row r="1" spans="1:11" ht="14.25" hidden="1" thickBot="1" x14ac:dyDescent="0.3">
      <c r="A1" s="244" t="s">
        <v>69</v>
      </c>
      <c r="F1" s="245"/>
      <c r="G1" s="246">
        <f>ROUND((H1*1),0)</f>
        <v>4855771</v>
      </c>
      <c r="H1" s="68">
        <v>4855771.4150000196</v>
      </c>
    </row>
    <row r="2" spans="1:11" s="51" customFormat="1" ht="66.75" thickBot="1" x14ac:dyDescent="0.3">
      <c r="A2" s="284" t="s">
        <v>0</v>
      </c>
      <c r="B2" s="210" t="s">
        <v>73</v>
      </c>
      <c r="C2" s="194" t="s">
        <v>72</v>
      </c>
      <c r="D2" s="200" t="s">
        <v>214</v>
      </c>
      <c r="E2" s="67" t="s">
        <v>228</v>
      </c>
      <c r="F2" s="30" t="s">
        <v>232</v>
      </c>
      <c r="G2" s="247" t="s">
        <v>233</v>
      </c>
      <c r="H2" s="271" t="s">
        <v>234</v>
      </c>
      <c r="I2" s="285" t="s">
        <v>235</v>
      </c>
      <c r="J2" s="8"/>
      <c r="K2" s="8"/>
    </row>
    <row r="3" spans="1:11" s="42" customFormat="1" x14ac:dyDescent="0.25">
      <c r="A3" s="50" t="s">
        <v>1</v>
      </c>
      <c r="B3" s="49">
        <v>1</v>
      </c>
      <c r="C3" s="195">
        <v>448334</v>
      </c>
      <c r="D3" s="202">
        <v>5762</v>
      </c>
      <c r="E3" s="72">
        <f>C3+D3</f>
        <v>454096</v>
      </c>
      <c r="F3" s="85"/>
      <c r="G3" s="248">
        <f t="shared" ref="G3:G34" si="0">(E3/E$71)*G$1</f>
        <v>4918.5906427373675</v>
      </c>
      <c r="H3" s="249">
        <f t="shared" ref="H3:H50" si="1">E3+G3</f>
        <v>459014.59064273734</v>
      </c>
      <c r="I3" s="66">
        <f t="shared" ref="I3:I34" si="2">H3/E3-1</f>
        <v>1.0831609709703205E-2</v>
      </c>
      <c r="J3" s="8"/>
      <c r="K3" s="8"/>
    </row>
    <row r="4" spans="1:11" customFormat="1" ht="13.5" customHeight="1" x14ac:dyDescent="0.25">
      <c r="A4" s="31" t="s">
        <v>2</v>
      </c>
      <c r="B4" s="32">
        <v>1</v>
      </c>
      <c r="C4" s="196">
        <v>307140</v>
      </c>
      <c r="D4" s="203">
        <v>4521</v>
      </c>
      <c r="E4" s="80">
        <f t="shared" ref="E4:E67" si="3">C4+D4</f>
        <v>311661</v>
      </c>
      <c r="F4" s="198"/>
      <c r="G4" s="250">
        <f t="shared" si="0"/>
        <v>3375.7903137357976</v>
      </c>
      <c r="H4" s="251">
        <f t="shared" si="1"/>
        <v>315036.79031373578</v>
      </c>
      <c r="I4" s="25">
        <f t="shared" si="2"/>
        <v>1.0831609709703205E-2</v>
      </c>
    </row>
    <row r="5" spans="1:11" s="43" customFormat="1" x14ac:dyDescent="0.25">
      <c r="A5" s="31" t="s">
        <v>3</v>
      </c>
      <c r="B5" s="32">
        <v>1</v>
      </c>
      <c r="C5" s="196">
        <v>312333</v>
      </c>
      <c r="D5" s="203">
        <v>6708</v>
      </c>
      <c r="E5" s="80">
        <f t="shared" si="3"/>
        <v>319041</v>
      </c>
      <c r="F5" s="198"/>
      <c r="G5" s="250">
        <f t="shared" si="0"/>
        <v>3455.7275933934066</v>
      </c>
      <c r="H5" s="251">
        <f t="shared" si="1"/>
        <v>322496.72759339341</v>
      </c>
      <c r="I5" s="25">
        <f t="shared" si="2"/>
        <v>1.0831609709703205E-2</v>
      </c>
      <c r="J5" s="8"/>
      <c r="K5" s="8"/>
    </row>
    <row r="6" spans="1:11" s="42" customFormat="1" x14ac:dyDescent="0.25">
      <c r="A6" s="31" t="s">
        <v>4</v>
      </c>
      <c r="B6" s="32">
        <v>1</v>
      </c>
      <c r="C6" s="196">
        <v>485497</v>
      </c>
      <c r="D6" s="203">
        <v>7330</v>
      </c>
      <c r="E6" s="80">
        <f t="shared" si="3"/>
        <v>492827</v>
      </c>
      <c r="F6" s="198"/>
      <c r="G6" s="250">
        <f t="shared" si="0"/>
        <v>5338.1097184038808</v>
      </c>
      <c r="H6" s="251">
        <f t="shared" si="1"/>
        <v>498165.1097184039</v>
      </c>
      <c r="I6" s="25">
        <f t="shared" si="2"/>
        <v>1.0831609709703205E-2</v>
      </c>
      <c r="J6" s="8"/>
      <c r="K6" s="8"/>
    </row>
    <row r="7" spans="1:11" s="42" customFormat="1" x14ac:dyDescent="0.25">
      <c r="A7" s="31" t="s">
        <v>5</v>
      </c>
      <c r="B7" s="32">
        <v>2</v>
      </c>
      <c r="C7" s="196">
        <v>707152</v>
      </c>
      <c r="D7" s="203">
        <v>10514</v>
      </c>
      <c r="E7" s="80">
        <f t="shared" si="3"/>
        <v>717666</v>
      </c>
      <c r="F7" s="198"/>
      <c r="G7" s="250">
        <f t="shared" si="0"/>
        <v>7773.4780139238301</v>
      </c>
      <c r="H7" s="251">
        <f t="shared" si="1"/>
        <v>725439.47801392386</v>
      </c>
      <c r="I7" s="25">
        <f t="shared" si="2"/>
        <v>1.0831609709703205E-2</v>
      </c>
      <c r="J7" s="8"/>
      <c r="K7" s="8"/>
    </row>
    <row r="8" spans="1:11" s="42" customFormat="1" x14ac:dyDescent="0.25">
      <c r="A8" s="31" t="s">
        <v>6</v>
      </c>
      <c r="B8" s="32">
        <v>2</v>
      </c>
      <c r="C8" s="196">
        <v>489054</v>
      </c>
      <c r="D8" s="203">
        <v>7023</v>
      </c>
      <c r="E8" s="80">
        <f t="shared" si="3"/>
        <v>496077</v>
      </c>
      <c r="F8" s="198"/>
      <c r="G8" s="250">
        <f t="shared" si="0"/>
        <v>5373.3124499604155</v>
      </c>
      <c r="H8" s="251">
        <f t="shared" si="1"/>
        <v>501450.31244996039</v>
      </c>
      <c r="I8" s="25">
        <f t="shared" si="2"/>
        <v>1.0831609709703205E-2</v>
      </c>
      <c r="J8" s="8"/>
      <c r="K8" s="8"/>
    </row>
    <row r="9" spans="1:11" s="42" customFormat="1" x14ac:dyDescent="0.25">
      <c r="A9" s="31" t="s">
        <v>7</v>
      </c>
      <c r="B9" s="32">
        <v>2</v>
      </c>
      <c r="C9" s="196">
        <v>658287</v>
      </c>
      <c r="D9" s="203">
        <v>8624</v>
      </c>
      <c r="E9" s="80">
        <f t="shared" si="3"/>
        <v>666911</v>
      </c>
      <c r="F9" s="198"/>
      <c r="G9" s="250">
        <f t="shared" si="0"/>
        <v>7223.7196631078459</v>
      </c>
      <c r="H9" s="251">
        <f t="shared" si="1"/>
        <v>674134.71966310788</v>
      </c>
      <c r="I9" s="25">
        <f t="shared" si="2"/>
        <v>1.0831609709703205E-2</v>
      </c>
      <c r="J9" s="8"/>
      <c r="K9" s="8"/>
    </row>
    <row r="10" spans="1:11" s="42" customFormat="1" x14ac:dyDescent="0.25">
      <c r="A10" s="31" t="s">
        <v>8</v>
      </c>
      <c r="B10" s="32">
        <v>2</v>
      </c>
      <c r="C10" s="196">
        <v>545457</v>
      </c>
      <c r="D10" s="203">
        <v>6384</v>
      </c>
      <c r="E10" s="80">
        <f t="shared" si="3"/>
        <v>551841</v>
      </c>
      <c r="F10" s="198"/>
      <c r="G10" s="250">
        <f t="shared" si="0"/>
        <v>5977.3263338123033</v>
      </c>
      <c r="H10" s="251">
        <f t="shared" si="1"/>
        <v>557818.32633381232</v>
      </c>
      <c r="I10" s="25">
        <f t="shared" si="2"/>
        <v>1.0831609709703205E-2</v>
      </c>
      <c r="J10" s="8"/>
      <c r="K10" s="8"/>
    </row>
    <row r="11" spans="1:11" s="42" customFormat="1" x14ac:dyDescent="0.25">
      <c r="A11" s="31" t="s">
        <v>9</v>
      </c>
      <c r="B11" s="32">
        <v>2</v>
      </c>
      <c r="C11" s="196">
        <v>566489</v>
      </c>
      <c r="D11" s="203">
        <v>6334</v>
      </c>
      <c r="E11" s="80">
        <f t="shared" si="3"/>
        <v>572823</v>
      </c>
      <c r="F11" s="198"/>
      <c r="G11" s="250">
        <f t="shared" si="0"/>
        <v>6204.5951687412944</v>
      </c>
      <c r="H11" s="251">
        <f t="shared" si="1"/>
        <v>579027.5951687413</v>
      </c>
      <c r="I11" s="25">
        <f t="shared" si="2"/>
        <v>1.0831609709703205E-2</v>
      </c>
      <c r="J11" s="8"/>
      <c r="K11" s="8"/>
    </row>
    <row r="12" spans="1:11" s="42" customFormat="1" x14ac:dyDescent="0.25">
      <c r="A12" s="31" t="s">
        <v>10</v>
      </c>
      <c r="B12" s="32">
        <v>2</v>
      </c>
      <c r="C12" s="196">
        <v>490361</v>
      </c>
      <c r="D12" s="203">
        <v>6824</v>
      </c>
      <c r="E12" s="80">
        <f t="shared" si="3"/>
        <v>497185</v>
      </c>
      <c r="F12" s="198"/>
      <c r="G12" s="250">
        <f t="shared" si="0"/>
        <v>5385.3138735187667</v>
      </c>
      <c r="H12" s="251">
        <f t="shared" si="1"/>
        <v>502570.31387351878</v>
      </c>
      <c r="I12" s="25">
        <f t="shared" si="2"/>
        <v>1.0831609709703205E-2</v>
      </c>
      <c r="J12" s="8"/>
      <c r="K12" s="8"/>
    </row>
    <row r="13" spans="1:11" s="42" customFormat="1" ht="12.75" customHeight="1" x14ac:dyDescent="0.25">
      <c r="A13" s="31" t="s">
        <v>11</v>
      </c>
      <c r="B13" s="32">
        <v>2</v>
      </c>
      <c r="C13" s="196">
        <v>596303</v>
      </c>
      <c r="D13" s="203">
        <v>7001</v>
      </c>
      <c r="E13" s="80">
        <f t="shared" si="3"/>
        <v>603304</v>
      </c>
      <c r="F13" s="198"/>
      <c r="G13" s="250">
        <f t="shared" si="0"/>
        <v>6534.7534643027575</v>
      </c>
      <c r="H13" s="251">
        <f t="shared" si="1"/>
        <v>609838.75346430275</v>
      </c>
      <c r="I13" s="25">
        <f t="shared" si="2"/>
        <v>1.0831609709703205E-2</v>
      </c>
      <c r="J13" s="8"/>
      <c r="K13" s="8"/>
    </row>
    <row r="14" spans="1:11" s="42" customFormat="1" x14ac:dyDescent="0.25">
      <c r="A14" s="31" t="s">
        <v>12</v>
      </c>
      <c r="B14" s="32">
        <v>2</v>
      </c>
      <c r="C14" s="196">
        <v>589080</v>
      </c>
      <c r="D14" s="203">
        <v>8570</v>
      </c>
      <c r="E14" s="80">
        <f t="shared" si="3"/>
        <v>597650</v>
      </c>
      <c r="F14" s="198"/>
      <c r="G14" s="250">
        <f t="shared" si="0"/>
        <v>6473.5115430040951</v>
      </c>
      <c r="H14" s="251">
        <f t="shared" si="1"/>
        <v>604123.51154300408</v>
      </c>
      <c r="I14" s="25">
        <f t="shared" si="2"/>
        <v>1.0831609709703205E-2</v>
      </c>
      <c r="J14" s="8"/>
      <c r="K14" s="8"/>
    </row>
    <row r="15" spans="1:11" s="42" customFormat="1" x14ac:dyDescent="0.25">
      <c r="A15" s="31" t="s">
        <v>13</v>
      </c>
      <c r="B15" s="32">
        <v>2</v>
      </c>
      <c r="C15" s="196">
        <v>501826</v>
      </c>
      <c r="D15" s="203">
        <v>6569</v>
      </c>
      <c r="E15" s="80">
        <f t="shared" si="3"/>
        <v>508395</v>
      </c>
      <c r="F15" s="198"/>
      <c r="G15" s="250">
        <f t="shared" si="0"/>
        <v>5506.7362183645391</v>
      </c>
      <c r="H15" s="251">
        <f t="shared" si="1"/>
        <v>513901.73621836456</v>
      </c>
      <c r="I15" s="25">
        <f t="shared" si="2"/>
        <v>1.0831609709703205E-2</v>
      </c>
      <c r="J15" s="8"/>
      <c r="K15" s="8"/>
    </row>
    <row r="16" spans="1:11" s="42" customFormat="1" x14ac:dyDescent="0.25">
      <c r="A16" s="31" t="s">
        <v>14</v>
      </c>
      <c r="B16" s="32">
        <v>2</v>
      </c>
      <c r="C16" s="196">
        <v>562835</v>
      </c>
      <c r="D16" s="203">
        <v>5297</v>
      </c>
      <c r="E16" s="80">
        <f t="shared" si="3"/>
        <v>568132</v>
      </c>
      <c r="F16" s="198"/>
      <c r="G16" s="250">
        <f t="shared" si="0"/>
        <v>6153.7840875930769</v>
      </c>
      <c r="H16" s="251">
        <f t="shared" si="1"/>
        <v>574285.78408759309</v>
      </c>
      <c r="I16" s="25">
        <f t="shared" si="2"/>
        <v>1.0831609709703205E-2</v>
      </c>
      <c r="J16" s="8"/>
      <c r="K16" s="8"/>
    </row>
    <row r="17" spans="1:11" s="42" customFormat="1" x14ac:dyDescent="0.25">
      <c r="A17" s="31" t="s">
        <v>15</v>
      </c>
      <c r="B17" s="32">
        <v>2</v>
      </c>
      <c r="C17" s="196">
        <v>786795</v>
      </c>
      <c r="D17" s="203">
        <v>10408</v>
      </c>
      <c r="E17" s="80">
        <f t="shared" si="3"/>
        <v>797203</v>
      </c>
      <c r="F17" s="198"/>
      <c r="G17" s="250">
        <f t="shared" si="0"/>
        <v>8634.9917554044914</v>
      </c>
      <c r="H17" s="251">
        <f t="shared" si="1"/>
        <v>805837.99175540451</v>
      </c>
      <c r="I17" s="25">
        <f t="shared" si="2"/>
        <v>1.0831609709703205E-2</v>
      </c>
      <c r="J17" s="8"/>
      <c r="K17" s="8"/>
    </row>
    <row r="18" spans="1:11" s="42" customFormat="1" x14ac:dyDescent="0.25">
      <c r="A18" s="31" t="s">
        <v>16</v>
      </c>
      <c r="B18" s="32">
        <v>3</v>
      </c>
      <c r="C18" s="196">
        <v>854135</v>
      </c>
      <c r="D18" s="203">
        <v>10413</v>
      </c>
      <c r="E18" s="80">
        <f t="shared" si="3"/>
        <v>864548</v>
      </c>
      <c r="F18" s="198"/>
      <c r="G18" s="250">
        <f t="shared" si="0"/>
        <v>9364.4465113044498</v>
      </c>
      <c r="H18" s="251">
        <f t="shared" si="1"/>
        <v>873912.44651130447</v>
      </c>
      <c r="I18" s="25">
        <f t="shared" si="2"/>
        <v>1.0831609709703205E-2</v>
      </c>
      <c r="J18" s="8"/>
      <c r="K18" s="8"/>
    </row>
    <row r="19" spans="1:11" s="42" customFormat="1" x14ac:dyDescent="0.25">
      <c r="A19" s="31" t="s">
        <v>17</v>
      </c>
      <c r="B19" s="32">
        <v>3</v>
      </c>
      <c r="C19" s="196">
        <v>805964</v>
      </c>
      <c r="D19" s="203">
        <v>8826</v>
      </c>
      <c r="E19" s="80">
        <f t="shared" si="3"/>
        <v>814790</v>
      </c>
      <c r="F19" s="198"/>
      <c r="G19" s="250">
        <f t="shared" si="0"/>
        <v>8825.4872753690397</v>
      </c>
      <c r="H19" s="251">
        <f t="shared" si="1"/>
        <v>823615.487275369</v>
      </c>
      <c r="I19" s="25">
        <f t="shared" si="2"/>
        <v>1.0831609709703205E-2</v>
      </c>
      <c r="J19" s="8"/>
      <c r="K19" s="8"/>
    </row>
    <row r="20" spans="1:11" s="42" customFormat="1" x14ac:dyDescent="0.25">
      <c r="A20" s="31" t="s">
        <v>18</v>
      </c>
      <c r="B20" s="32">
        <v>3</v>
      </c>
      <c r="C20" s="196">
        <v>1334828</v>
      </c>
      <c r="D20" s="203">
        <v>15587</v>
      </c>
      <c r="E20" s="80">
        <f t="shared" si="3"/>
        <v>1350415</v>
      </c>
      <c r="F20" s="198"/>
      <c r="G20" s="250">
        <f t="shared" si="0"/>
        <v>14627.168226128797</v>
      </c>
      <c r="H20" s="251">
        <f t="shared" si="1"/>
        <v>1365042.1682261289</v>
      </c>
      <c r="I20" s="25">
        <f t="shared" si="2"/>
        <v>1.0831609709703205E-2</v>
      </c>
      <c r="J20" s="8"/>
      <c r="K20" s="8"/>
    </row>
    <row r="21" spans="1:11" s="42" customFormat="1" x14ac:dyDescent="0.25">
      <c r="A21" s="31" t="s">
        <v>19</v>
      </c>
      <c r="B21" s="32">
        <v>3</v>
      </c>
      <c r="C21" s="196">
        <v>906252</v>
      </c>
      <c r="D21" s="203">
        <v>8213</v>
      </c>
      <c r="E21" s="80">
        <f t="shared" si="3"/>
        <v>914465</v>
      </c>
      <c r="F21" s="198"/>
      <c r="G21" s="250">
        <f t="shared" si="0"/>
        <v>9905.1279731837039</v>
      </c>
      <c r="H21" s="251">
        <f t="shared" si="1"/>
        <v>924370.12797318376</v>
      </c>
      <c r="I21" s="25">
        <f t="shared" si="2"/>
        <v>1.0831609709703205E-2</v>
      </c>
      <c r="J21" s="8"/>
      <c r="K21" s="8"/>
    </row>
    <row r="22" spans="1:11" s="42" customFormat="1" x14ac:dyDescent="0.25">
      <c r="A22" s="31" t="s">
        <v>20</v>
      </c>
      <c r="B22" s="32">
        <v>3</v>
      </c>
      <c r="C22" s="196">
        <v>1281071</v>
      </c>
      <c r="D22" s="203">
        <v>11681</v>
      </c>
      <c r="E22" s="80">
        <f t="shared" si="3"/>
        <v>1292752</v>
      </c>
      <c r="F22" s="198"/>
      <c r="G22" s="250">
        <f t="shared" si="0"/>
        <v>14002.585115438183</v>
      </c>
      <c r="H22" s="251">
        <f t="shared" si="1"/>
        <v>1306754.5851154381</v>
      </c>
      <c r="I22" s="25">
        <f t="shared" si="2"/>
        <v>1.0831609709703205E-2</v>
      </c>
      <c r="J22" s="8"/>
      <c r="K22" s="8"/>
    </row>
    <row r="23" spans="1:11" s="42" customFormat="1" x14ac:dyDescent="0.25">
      <c r="A23" s="31" t="s">
        <v>21</v>
      </c>
      <c r="B23" s="32">
        <v>3</v>
      </c>
      <c r="C23" s="196">
        <v>1104348</v>
      </c>
      <c r="D23" s="203">
        <v>12532</v>
      </c>
      <c r="E23" s="80">
        <f t="shared" si="3"/>
        <v>1116880</v>
      </c>
      <c r="F23" s="198"/>
      <c r="G23" s="250">
        <f t="shared" si="0"/>
        <v>12097.608252573269</v>
      </c>
      <c r="H23" s="251">
        <f t="shared" si="1"/>
        <v>1128977.6082525733</v>
      </c>
      <c r="I23" s="25">
        <f t="shared" si="2"/>
        <v>1.0831609709703205E-2</v>
      </c>
      <c r="J23" s="8"/>
      <c r="K23" s="8"/>
    </row>
    <row r="24" spans="1:11" s="42" customFormat="1" x14ac:dyDescent="0.25">
      <c r="A24" s="31" t="s">
        <v>22</v>
      </c>
      <c r="B24" s="32">
        <v>3</v>
      </c>
      <c r="C24" s="196">
        <v>1122633</v>
      </c>
      <c r="D24" s="203">
        <v>13212</v>
      </c>
      <c r="E24" s="80">
        <f t="shared" si="3"/>
        <v>1135845</v>
      </c>
      <c r="F24" s="198"/>
      <c r="G24" s="250">
        <f t="shared" si="0"/>
        <v>12303.029730717788</v>
      </c>
      <c r="H24" s="251">
        <f t="shared" si="1"/>
        <v>1148148.0297307179</v>
      </c>
      <c r="I24" s="25">
        <f t="shared" si="2"/>
        <v>1.0831609709703205E-2</v>
      </c>
      <c r="J24" s="8"/>
      <c r="K24" s="8"/>
    </row>
    <row r="25" spans="1:11" s="42" customFormat="1" x14ac:dyDescent="0.25">
      <c r="A25" s="31" t="s">
        <v>23</v>
      </c>
      <c r="B25" s="32">
        <v>3</v>
      </c>
      <c r="C25" s="196">
        <v>556502</v>
      </c>
      <c r="D25" s="203">
        <v>6311</v>
      </c>
      <c r="E25" s="80">
        <f t="shared" si="3"/>
        <v>562813</v>
      </c>
      <c r="F25" s="198"/>
      <c r="G25" s="250">
        <f t="shared" si="0"/>
        <v>6096.1707555471667</v>
      </c>
      <c r="H25" s="251">
        <f t="shared" si="1"/>
        <v>568909.17075554712</v>
      </c>
      <c r="I25" s="25">
        <f t="shared" si="2"/>
        <v>1.0831609709702983E-2</v>
      </c>
      <c r="J25" s="8"/>
      <c r="K25" s="8"/>
    </row>
    <row r="26" spans="1:11" s="42" customFormat="1" x14ac:dyDescent="0.25">
      <c r="A26" s="31" t="s">
        <v>24</v>
      </c>
      <c r="B26" s="32">
        <v>3</v>
      </c>
      <c r="C26" s="196">
        <v>1273503</v>
      </c>
      <c r="D26" s="203">
        <v>11360</v>
      </c>
      <c r="E26" s="80">
        <f t="shared" si="3"/>
        <v>1284863</v>
      </c>
      <c r="F26" s="198"/>
      <c r="G26" s="250">
        <f t="shared" si="0"/>
        <v>13917.134546438334</v>
      </c>
      <c r="H26" s="251">
        <f t="shared" si="1"/>
        <v>1298780.1345464382</v>
      </c>
      <c r="I26" s="25">
        <f t="shared" si="2"/>
        <v>1.0831609709702983E-2</v>
      </c>
      <c r="J26" s="8"/>
      <c r="K26" s="8"/>
    </row>
    <row r="27" spans="1:11" s="42" customFormat="1" x14ac:dyDescent="0.25">
      <c r="A27" s="31" t="s">
        <v>25</v>
      </c>
      <c r="B27" s="32">
        <v>3</v>
      </c>
      <c r="C27" s="196">
        <v>1172095</v>
      </c>
      <c r="D27" s="203">
        <v>14456</v>
      </c>
      <c r="E27" s="80">
        <f t="shared" si="3"/>
        <v>1186551</v>
      </c>
      <c r="F27" s="198"/>
      <c r="G27" s="250">
        <f t="shared" si="0"/>
        <v>12852.257332657997</v>
      </c>
      <c r="H27" s="251">
        <f t="shared" si="1"/>
        <v>1199403.2573326579</v>
      </c>
      <c r="I27" s="25">
        <f t="shared" si="2"/>
        <v>1.0831609709703205E-2</v>
      </c>
      <c r="J27" s="8"/>
      <c r="K27" s="8"/>
    </row>
    <row r="28" spans="1:11" s="42" customFormat="1" x14ac:dyDescent="0.25">
      <c r="A28" s="31" t="s">
        <v>26</v>
      </c>
      <c r="B28" s="32">
        <v>3</v>
      </c>
      <c r="C28" s="196">
        <v>688701</v>
      </c>
      <c r="D28" s="203">
        <v>8471</v>
      </c>
      <c r="E28" s="80">
        <f t="shared" si="3"/>
        <v>697172</v>
      </c>
      <c r="F28" s="198"/>
      <c r="G28" s="250">
        <f t="shared" si="0"/>
        <v>7551.4950045331734</v>
      </c>
      <c r="H28" s="251">
        <f t="shared" si="1"/>
        <v>704723.49500453321</v>
      </c>
      <c r="I28" s="25">
        <f t="shared" si="2"/>
        <v>1.0831609709703205E-2</v>
      </c>
      <c r="J28" s="8"/>
      <c r="K28" s="8"/>
    </row>
    <row r="29" spans="1:11" s="42" customFormat="1" x14ac:dyDescent="0.25">
      <c r="A29" s="31" t="s">
        <v>27</v>
      </c>
      <c r="B29" s="32">
        <v>4</v>
      </c>
      <c r="C29" s="196">
        <v>2995549</v>
      </c>
      <c r="D29" s="203">
        <v>35440</v>
      </c>
      <c r="E29" s="80">
        <f t="shared" si="3"/>
        <v>3030989</v>
      </c>
      <c r="F29" s="198"/>
      <c r="G29" s="250">
        <f t="shared" si="0"/>
        <v>32830.489882403475</v>
      </c>
      <c r="H29" s="251">
        <f t="shared" si="1"/>
        <v>3063819.4898824035</v>
      </c>
      <c r="I29" s="25">
        <f t="shared" si="2"/>
        <v>1.0831609709703205E-2</v>
      </c>
      <c r="J29" s="8"/>
      <c r="K29" s="8"/>
    </row>
    <row r="30" spans="1:11" s="42" customFormat="1" x14ac:dyDescent="0.25">
      <c r="A30" s="31" t="s">
        <v>28</v>
      </c>
      <c r="B30" s="32">
        <v>4</v>
      </c>
      <c r="C30" s="196">
        <v>1527140</v>
      </c>
      <c r="D30" s="203">
        <v>14068</v>
      </c>
      <c r="E30" s="80">
        <f t="shared" si="3"/>
        <v>1541208</v>
      </c>
      <c r="F30" s="198"/>
      <c r="G30" s="250">
        <f t="shared" si="0"/>
        <v>16693.76353747219</v>
      </c>
      <c r="H30" s="251">
        <f t="shared" si="1"/>
        <v>1557901.7635374721</v>
      </c>
      <c r="I30" s="25">
        <f t="shared" si="2"/>
        <v>1.0831609709703205E-2</v>
      </c>
      <c r="J30" s="8"/>
      <c r="K30" s="8"/>
    </row>
    <row r="31" spans="1:11" s="42" customFormat="1" x14ac:dyDescent="0.25">
      <c r="A31" s="31" t="s">
        <v>29</v>
      </c>
      <c r="B31" s="32">
        <v>4</v>
      </c>
      <c r="C31" s="196">
        <v>1818120</v>
      </c>
      <c r="D31" s="203">
        <v>19596</v>
      </c>
      <c r="E31" s="80">
        <f t="shared" si="3"/>
        <v>1837716</v>
      </c>
      <c r="F31" s="198"/>
      <c r="G31" s="250">
        <f t="shared" si="0"/>
        <v>19905.422469276858</v>
      </c>
      <c r="H31" s="251">
        <f t="shared" si="1"/>
        <v>1857621.4224692769</v>
      </c>
      <c r="I31" s="25">
        <f t="shared" si="2"/>
        <v>1.0831609709703205E-2</v>
      </c>
      <c r="J31" s="8"/>
      <c r="K31" s="8"/>
    </row>
    <row r="32" spans="1:11" s="42" customFormat="1" x14ac:dyDescent="0.25">
      <c r="A32" s="31" t="s">
        <v>30</v>
      </c>
      <c r="B32" s="32">
        <v>4</v>
      </c>
      <c r="C32" s="196">
        <v>1963861</v>
      </c>
      <c r="D32" s="203">
        <v>24337</v>
      </c>
      <c r="E32" s="80">
        <f t="shared" si="3"/>
        <v>1988198</v>
      </c>
      <c r="F32" s="198"/>
      <c r="G32" s="250">
        <f t="shared" si="0"/>
        <v>21535.384761612411</v>
      </c>
      <c r="H32" s="251">
        <f t="shared" si="1"/>
        <v>2009733.3847616124</v>
      </c>
      <c r="I32" s="25">
        <f t="shared" si="2"/>
        <v>1.0831609709703205E-2</v>
      </c>
      <c r="J32" s="8"/>
      <c r="K32" s="8"/>
    </row>
    <row r="33" spans="1:11" s="42" customFormat="1" x14ac:dyDescent="0.25">
      <c r="A33" s="31" t="s">
        <v>31</v>
      </c>
      <c r="B33" s="32">
        <v>4</v>
      </c>
      <c r="C33" s="196">
        <v>2968481</v>
      </c>
      <c r="D33" s="203">
        <v>28724</v>
      </c>
      <c r="E33" s="80">
        <f t="shared" si="3"/>
        <v>2997205</v>
      </c>
      <c r="F33" s="198"/>
      <c r="G33" s="250">
        <f t="shared" si="0"/>
        <v>32464.554779970869</v>
      </c>
      <c r="H33" s="251">
        <f t="shared" si="1"/>
        <v>3029669.554779971</v>
      </c>
      <c r="I33" s="25">
        <f t="shared" si="2"/>
        <v>1.0831609709703205E-2</v>
      </c>
      <c r="J33" s="8"/>
      <c r="K33" s="8"/>
    </row>
    <row r="34" spans="1:11" s="42" customFormat="1" x14ac:dyDescent="0.25">
      <c r="A34" s="31" t="s">
        <v>32</v>
      </c>
      <c r="B34" s="32">
        <v>4</v>
      </c>
      <c r="C34" s="196">
        <v>1563243</v>
      </c>
      <c r="D34" s="203">
        <v>12716</v>
      </c>
      <c r="E34" s="80">
        <f t="shared" si="3"/>
        <v>1575959</v>
      </c>
      <c r="F34" s="198"/>
      <c r="G34" s="250">
        <f t="shared" si="0"/>
        <v>17070.172806494087</v>
      </c>
      <c r="H34" s="251">
        <f t="shared" si="1"/>
        <v>1593029.1728064942</v>
      </c>
      <c r="I34" s="25">
        <f t="shared" si="2"/>
        <v>1.0831609709703205E-2</v>
      </c>
      <c r="J34" s="8"/>
      <c r="K34" s="8"/>
    </row>
    <row r="35" spans="1:11" s="42" customFormat="1" x14ac:dyDescent="0.25">
      <c r="A35" s="31" t="s">
        <v>33</v>
      </c>
      <c r="B35" s="32">
        <v>4</v>
      </c>
      <c r="C35" s="196">
        <v>2147549</v>
      </c>
      <c r="D35" s="203">
        <v>22482</v>
      </c>
      <c r="E35" s="80">
        <f t="shared" si="3"/>
        <v>2170031</v>
      </c>
      <c r="F35" s="198"/>
      <c r="G35" s="250">
        <f t="shared" ref="G35:G69" si="4">(E35/E$71)*G$1</f>
        <v>23504.928849956865</v>
      </c>
      <c r="H35" s="251">
        <f t="shared" si="1"/>
        <v>2193535.928849957</v>
      </c>
      <c r="I35" s="25">
        <f t="shared" ref="I35:I66" si="5">H35/E35-1</f>
        <v>1.0831609709703205E-2</v>
      </c>
      <c r="J35" s="8"/>
      <c r="K35" s="8"/>
    </row>
    <row r="36" spans="1:11" s="42" customFormat="1" x14ac:dyDescent="0.25">
      <c r="A36" s="31" t="s">
        <v>34</v>
      </c>
      <c r="B36" s="32">
        <v>4</v>
      </c>
      <c r="C36" s="196">
        <v>1897084</v>
      </c>
      <c r="D36" s="203">
        <v>23147</v>
      </c>
      <c r="E36" s="80">
        <f t="shared" si="3"/>
        <v>1920231</v>
      </c>
      <c r="F36" s="198"/>
      <c r="G36" s="250">
        <f t="shared" si="4"/>
        <v>20799.192744473014</v>
      </c>
      <c r="H36" s="251">
        <f t="shared" si="1"/>
        <v>1941030.192744473</v>
      </c>
      <c r="I36" s="25">
        <f t="shared" si="5"/>
        <v>1.0831609709703205E-2</v>
      </c>
      <c r="J36" s="8"/>
      <c r="K36" s="8"/>
    </row>
    <row r="37" spans="1:11" s="42" customFormat="1" x14ac:dyDescent="0.25">
      <c r="A37" s="31" t="s">
        <v>35</v>
      </c>
      <c r="B37" s="32">
        <v>4</v>
      </c>
      <c r="C37" s="196">
        <v>1649782</v>
      </c>
      <c r="D37" s="203">
        <v>20003</v>
      </c>
      <c r="E37" s="80">
        <f t="shared" si="3"/>
        <v>1669785</v>
      </c>
      <c r="F37" s="198"/>
      <c r="G37" s="250">
        <f t="shared" si="4"/>
        <v>18086.459419116694</v>
      </c>
      <c r="H37" s="251">
        <f t="shared" si="1"/>
        <v>1687871.4594191166</v>
      </c>
      <c r="I37" s="25">
        <f t="shared" si="5"/>
        <v>1.0831609709703205E-2</v>
      </c>
      <c r="J37" s="8"/>
      <c r="K37" s="8"/>
    </row>
    <row r="38" spans="1:11" s="42" customFormat="1" x14ac:dyDescent="0.25">
      <c r="A38" s="31" t="s">
        <v>36</v>
      </c>
      <c r="B38" s="32">
        <v>5</v>
      </c>
      <c r="C38" s="196">
        <v>5812319</v>
      </c>
      <c r="D38" s="203">
        <v>48458</v>
      </c>
      <c r="E38" s="80">
        <f t="shared" si="3"/>
        <v>5860777</v>
      </c>
      <c r="F38" s="198"/>
      <c r="G38" s="250">
        <f t="shared" si="4"/>
        <v>63481.64905960497</v>
      </c>
      <c r="H38" s="251">
        <f t="shared" si="1"/>
        <v>5924258.6490596049</v>
      </c>
      <c r="I38" s="25">
        <f t="shared" si="5"/>
        <v>1.0831609709703205E-2</v>
      </c>
      <c r="J38" s="8"/>
      <c r="K38" s="8"/>
    </row>
    <row r="39" spans="1:11" s="42" customFormat="1" x14ac:dyDescent="0.25">
      <c r="A39" s="31" t="s">
        <v>37</v>
      </c>
      <c r="B39" s="32">
        <v>5</v>
      </c>
      <c r="C39" s="196">
        <v>3537405</v>
      </c>
      <c r="D39" s="203">
        <v>31289</v>
      </c>
      <c r="E39" s="80">
        <f t="shared" si="3"/>
        <v>3568694</v>
      </c>
      <c r="F39" s="198"/>
      <c r="G39" s="250">
        <f t="shared" si="4"/>
        <v>38654.700581359415</v>
      </c>
      <c r="H39" s="251">
        <f t="shared" si="1"/>
        <v>3607348.7005813592</v>
      </c>
      <c r="I39" s="25">
        <f t="shared" si="5"/>
        <v>1.0831609709703205E-2</v>
      </c>
      <c r="J39" s="8"/>
      <c r="K39" s="8"/>
    </row>
    <row r="40" spans="1:11" s="42" customFormat="1" x14ac:dyDescent="0.25">
      <c r="A40" s="31" t="s">
        <v>38</v>
      </c>
      <c r="B40" s="32">
        <v>5</v>
      </c>
      <c r="C40" s="196">
        <v>3656087</v>
      </c>
      <c r="D40" s="203">
        <v>41416</v>
      </c>
      <c r="E40" s="80">
        <f t="shared" si="3"/>
        <v>3697503</v>
      </c>
      <c r="F40" s="198"/>
      <c r="G40" s="250">
        <f t="shared" si="4"/>
        <v>40049.909396456576</v>
      </c>
      <c r="H40" s="251">
        <f t="shared" si="1"/>
        <v>3737552.9093964566</v>
      </c>
      <c r="I40" s="25">
        <f t="shared" si="5"/>
        <v>1.0831609709703205E-2</v>
      </c>
      <c r="J40" s="8"/>
      <c r="K40" s="8"/>
    </row>
    <row r="41" spans="1:11" s="42" customFormat="1" x14ac:dyDescent="0.25">
      <c r="A41" s="31" t="s">
        <v>39</v>
      </c>
      <c r="B41" s="32">
        <v>5</v>
      </c>
      <c r="C41" s="196">
        <v>3417201</v>
      </c>
      <c r="D41" s="203">
        <v>33351</v>
      </c>
      <c r="E41" s="80">
        <f t="shared" si="3"/>
        <v>3450552</v>
      </c>
      <c r="F41" s="198"/>
      <c r="G41" s="250">
        <f t="shared" si="4"/>
        <v>37375.032547035669</v>
      </c>
      <c r="H41" s="251">
        <f t="shared" si="1"/>
        <v>3487927.0325470357</v>
      </c>
      <c r="I41" s="25">
        <f t="shared" si="5"/>
        <v>1.0831609709703205E-2</v>
      </c>
      <c r="J41" s="8"/>
      <c r="K41" s="8"/>
    </row>
    <row r="42" spans="1:11" s="42" customFormat="1" x14ac:dyDescent="0.25">
      <c r="A42" s="31" t="s">
        <v>40</v>
      </c>
      <c r="B42" s="32">
        <v>5</v>
      </c>
      <c r="C42" s="196">
        <v>3504902</v>
      </c>
      <c r="D42" s="203">
        <v>29183</v>
      </c>
      <c r="E42" s="80">
        <f t="shared" si="3"/>
        <v>3534085</v>
      </c>
      <c r="F42" s="198"/>
      <c r="G42" s="250">
        <f t="shared" si="4"/>
        <v>38279.829400916307</v>
      </c>
      <c r="H42" s="251">
        <f t="shared" si="1"/>
        <v>3572364.8294009161</v>
      </c>
      <c r="I42" s="25">
        <f t="shared" si="5"/>
        <v>1.0831609709703205E-2</v>
      </c>
      <c r="J42" s="8"/>
      <c r="K42" s="8"/>
    </row>
    <row r="43" spans="1:11" s="42" customFormat="1" x14ac:dyDescent="0.25">
      <c r="A43" s="31" t="s">
        <v>41</v>
      </c>
      <c r="B43" s="32">
        <v>5</v>
      </c>
      <c r="C43" s="196">
        <v>3508532</v>
      </c>
      <c r="D43" s="203">
        <v>30860</v>
      </c>
      <c r="E43" s="80">
        <f t="shared" si="3"/>
        <v>3539392</v>
      </c>
      <c r="F43" s="198"/>
      <c r="G43" s="250">
        <f t="shared" si="4"/>
        <v>38337.312753645696</v>
      </c>
      <c r="H43" s="251">
        <f t="shared" si="1"/>
        <v>3577729.3127536457</v>
      </c>
      <c r="I43" s="25">
        <f t="shared" si="5"/>
        <v>1.0831609709703205E-2</v>
      </c>
      <c r="J43" s="8"/>
      <c r="K43" s="8"/>
    </row>
    <row r="44" spans="1:11" s="42" customFormat="1" x14ac:dyDescent="0.25">
      <c r="A44" s="31" t="s">
        <v>42</v>
      </c>
      <c r="B44" s="32">
        <v>5</v>
      </c>
      <c r="C44" s="196">
        <v>3639385</v>
      </c>
      <c r="D44" s="203">
        <v>37681</v>
      </c>
      <c r="E44" s="80">
        <f t="shared" si="3"/>
        <v>3677066</v>
      </c>
      <c r="F44" s="198"/>
      <c r="G44" s="250">
        <f t="shared" si="4"/>
        <v>39828.543788819363</v>
      </c>
      <c r="H44" s="251">
        <f t="shared" si="1"/>
        <v>3716894.5437888196</v>
      </c>
      <c r="I44" s="25">
        <f t="shared" si="5"/>
        <v>1.0831609709703205E-2</v>
      </c>
      <c r="J44" s="8"/>
      <c r="K44" s="8"/>
    </row>
    <row r="45" spans="1:11" s="42" customFormat="1" x14ac:dyDescent="0.25">
      <c r="A45" s="31" t="s">
        <v>43</v>
      </c>
      <c r="B45" s="32">
        <v>5</v>
      </c>
      <c r="C45" s="196">
        <v>3582299</v>
      </c>
      <c r="D45" s="203">
        <v>34114</v>
      </c>
      <c r="E45" s="80">
        <f t="shared" si="3"/>
        <v>3616413</v>
      </c>
      <c r="F45" s="198"/>
      <c r="G45" s="250">
        <f t="shared" si="4"/>
        <v>39171.574165096747</v>
      </c>
      <c r="H45" s="251">
        <f t="shared" si="1"/>
        <v>3655584.574165097</v>
      </c>
      <c r="I45" s="25">
        <f t="shared" si="5"/>
        <v>1.0831609709703205E-2</v>
      </c>
      <c r="J45" s="8"/>
      <c r="K45" s="8"/>
    </row>
    <row r="46" spans="1:11" s="42" customFormat="1" x14ac:dyDescent="0.25">
      <c r="A46" s="31" t="s">
        <v>44</v>
      </c>
      <c r="B46" s="32">
        <v>5</v>
      </c>
      <c r="C46" s="196">
        <v>3178098</v>
      </c>
      <c r="D46" s="203">
        <v>30734</v>
      </c>
      <c r="E46" s="80">
        <f t="shared" si="3"/>
        <v>3208832</v>
      </c>
      <c r="F46" s="198"/>
      <c r="G46" s="250">
        <f t="shared" si="4"/>
        <v>34756.815848006219</v>
      </c>
      <c r="H46" s="251">
        <f t="shared" si="1"/>
        <v>3243588.8158480064</v>
      </c>
      <c r="I46" s="25">
        <f t="shared" si="5"/>
        <v>1.0831609709703205E-2</v>
      </c>
      <c r="J46" s="8"/>
      <c r="K46" s="8"/>
    </row>
    <row r="47" spans="1:11" s="42" customFormat="1" x14ac:dyDescent="0.25">
      <c r="A47" s="31" t="s">
        <v>45</v>
      </c>
      <c r="B47" s="32">
        <v>6</v>
      </c>
      <c r="C47" s="196">
        <v>3866025</v>
      </c>
      <c r="D47" s="203">
        <v>33495</v>
      </c>
      <c r="E47" s="80">
        <f t="shared" si="3"/>
        <v>3899520</v>
      </c>
      <c r="F47" s="198"/>
      <c r="G47" s="250">
        <f t="shared" si="4"/>
        <v>42238.07869518167</v>
      </c>
      <c r="H47" s="251">
        <f t="shared" si="1"/>
        <v>3941758.0786951818</v>
      </c>
      <c r="I47" s="25">
        <f t="shared" si="5"/>
        <v>1.0831609709703205E-2</v>
      </c>
      <c r="J47" s="8"/>
      <c r="K47" s="8"/>
    </row>
    <row r="48" spans="1:11" s="42" customFormat="1" x14ac:dyDescent="0.25">
      <c r="A48" s="31" t="s">
        <v>46</v>
      </c>
      <c r="B48" s="32">
        <v>6</v>
      </c>
      <c r="C48" s="196">
        <v>11310285</v>
      </c>
      <c r="D48" s="203">
        <v>84285</v>
      </c>
      <c r="E48" s="80">
        <f t="shared" si="3"/>
        <v>11394570</v>
      </c>
      <c r="F48" s="198"/>
      <c r="G48" s="250">
        <f t="shared" si="4"/>
        <v>123421.53504989237</v>
      </c>
      <c r="H48" s="251">
        <f t="shared" si="1"/>
        <v>11517991.535049893</v>
      </c>
      <c r="I48" s="25">
        <f t="shared" si="5"/>
        <v>1.0831609709703205E-2</v>
      </c>
      <c r="J48" s="8"/>
      <c r="K48" s="8"/>
    </row>
    <row r="49" spans="1:11" s="42" customFormat="1" x14ac:dyDescent="0.25">
      <c r="A49" s="31" t="s">
        <v>47</v>
      </c>
      <c r="B49" s="32">
        <v>6</v>
      </c>
      <c r="C49" s="196">
        <v>6428666</v>
      </c>
      <c r="D49" s="203">
        <v>50758</v>
      </c>
      <c r="E49" s="80">
        <f t="shared" si="3"/>
        <v>6479424</v>
      </c>
      <c r="F49" s="198"/>
      <c r="G49" s="250">
        <f t="shared" si="4"/>
        <v>70182.591911683703</v>
      </c>
      <c r="H49" s="251">
        <f t="shared" si="1"/>
        <v>6549606.5919116838</v>
      </c>
      <c r="I49" s="25">
        <f t="shared" si="5"/>
        <v>1.0831609709703205E-2</v>
      </c>
      <c r="J49" s="8"/>
      <c r="K49" s="8"/>
    </row>
    <row r="50" spans="1:11" s="42" customFormat="1" x14ac:dyDescent="0.25">
      <c r="A50" s="31" t="s">
        <v>48</v>
      </c>
      <c r="B50" s="32">
        <v>6</v>
      </c>
      <c r="C50" s="196">
        <v>6977883</v>
      </c>
      <c r="D50" s="203">
        <v>54353</v>
      </c>
      <c r="E50" s="80">
        <f t="shared" si="3"/>
        <v>7032236</v>
      </c>
      <c r="F50" s="198"/>
      <c r="G50" s="250">
        <f t="shared" si="4"/>
        <v>76170.435738524131</v>
      </c>
      <c r="H50" s="251">
        <f t="shared" si="1"/>
        <v>7108406.4357385244</v>
      </c>
      <c r="I50" s="25">
        <f t="shared" si="5"/>
        <v>1.0831609709703205E-2</v>
      </c>
      <c r="J50" s="8"/>
      <c r="K50" s="8"/>
    </row>
    <row r="51" spans="1:11" s="42" customFormat="1" x14ac:dyDescent="0.25">
      <c r="A51" s="31" t="s">
        <v>49</v>
      </c>
      <c r="B51" s="32">
        <v>6</v>
      </c>
      <c r="C51" s="196">
        <v>6136866</v>
      </c>
      <c r="D51" s="203">
        <v>50892</v>
      </c>
      <c r="E51" s="80">
        <f t="shared" si="3"/>
        <v>6187758</v>
      </c>
      <c r="F51" s="198">
        <v>57685</v>
      </c>
      <c r="G51" s="250">
        <f t="shared" si="4"/>
        <v>67023.37963409342</v>
      </c>
      <c r="H51" s="251">
        <f>E51+F51+G51</f>
        <v>6312466.3796340935</v>
      </c>
      <c r="I51" s="25">
        <f t="shared" si="5"/>
        <v>2.0154049275051378E-2</v>
      </c>
      <c r="J51" s="8"/>
      <c r="K51" s="8"/>
    </row>
    <row r="52" spans="1:11" s="42" customFormat="1" x14ac:dyDescent="0.25">
      <c r="A52" s="31" t="s">
        <v>50</v>
      </c>
      <c r="B52" s="32">
        <v>6</v>
      </c>
      <c r="C52" s="196">
        <v>5905602</v>
      </c>
      <c r="D52" s="203">
        <v>52927</v>
      </c>
      <c r="E52" s="80">
        <f t="shared" si="3"/>
        <v>5958529</v>
      </c>
      <c r="F52" s="198"/>
      <c r="G52" s="250">
        <f t="shared" si="4"/>
        <v>64540.460571947879</v>
      </c>
      <c r="H52" s="251">
        <f t="shared" ref="H52:H69" si="6">E52+G52</f>
        <v>6023069.4605719475</v>
      </c>
      <c r="I52" s="25">
        <f t="shared" si="5"/>
        <v>1.0831609709703205E-2</v>
      </c>
      <c r="J52" s="8"/>
      <c r="K52" s="8"/>
    </row>
    <row r="53" spans="1:11" s="42" customFormat="1" x14ac:dyDescent="0.25">
      <c r="A53" s="31" t="s">
        <v>51</v>
      </c>
      <c r="B53" s="32">
        <v>6</v>
      </c>
      <c r="C53" s="196">
        <v>5938958</v>
      </c>
      <c r="D53" s="203">
        <v>46550</v>
      </c>
      <c r="E53" s="80">
        <f t="shared" si="3"/>
        <v>5985508</v>
      </c>
      <c r="F53" s="198"/>
      <c r="G53" s="250">
        <f t="shared" si="4"/>
        <v>64832.686570305959</v>
      </c>
      <c r="H53" s="251">
        <f t="shared" si="6"/>
        <v>6050340.6865703063</v>
      </c>
      <c r="I53" s="25">
        <f t="shared" si="5"/>
        <v>1.0831609709703205E-2</v>
      </c>
      <c r="J53" s="8"/>
      <c r="K53" s="8"/>
    </row>
    <row r="54" spans="1:11" s="42" customFormat="1" x14ac:dyDescent="0.25">
      <c r="A54" s="31" t="s">
        <v>52</v>
      </c>
      <c r="B54" s="32">
        <v>6</v>
      </c>
      <c r="C54" s="196">
        <v>6558206</v>
      </c>
      <c r="D54" s="203">
        <v>54834</v>
      </c>
      <c r="E54" s="80">
        <f t="shared" si="3"/>
        <v>6613040</v>
      </c>
      <c r="F54" s="198"/>
      <c r="G54" s="250">
        <f t="shared" si="4"/>
        <v>71629.868274655397</v>
      </c>
      <c r="H54" s="251">
        <f t="shared" si="6"/>
        <v>6684669.8682746552</v>
      </c>
      <c r="I54" s="25">
        <f t="shared" si="5"/>
        <v>1.0831609709703205E-2</v>
      </c>
      <c r="J54" s="8"/>
      <c r="K54" s="8"/>
    </row>
    <row r="55" spans="1:11" s="42" customFormat="1" x14ac:dyDescent="0.25">
      <c r="A55" s="31" t="s">
        <v>53</v>
      </c>
      <c r="B55" s="32">
        <v>6</v>
      </c>
      <c r="C55" s="196">
        <v>7748730</v>
      </c>
      <c r="D55" s="203">
        <v>65421</v>
      </c>
      <c r="E55" s="80">
        <f t="shared" si="3"/>
        <v>7814151</v>
      </c>
      <c r="F55" s="198"/>
      <c r="G55" s="250">
        <f t="shared" si="4"/>
        <v>84639.833844686669</v>
      </c>
      <c r="H55" s="251">
        <f t="shared" si="6"/>
        <v>7898790.8338446869</v>
      </c>
      <c r="I55" s="25">
        <f t="shared" si="5"/>
        <v>1.0831609709703205E-2</v>
      </c>
      <c r="J55" s="8"/>
      <c r="K55" s="8"/>
    </row>
    <row r="56" spans="1:11" s="42" customFormat="1" x14ac:dyDescent="0.25">
      <c r="A56" s="31" t="s">
        <v>54</v>
      </c>
      <c r="B56" s="32">
        <v>6</v>
      </c>
      <c r="C56" s="196">
        <v>11604036</v>
      </c>
      <c r="D56" s="203">
        <v>106960</v>
      </c>
      <c r="E56" s="80">
        <f t="shared" si="3"/>
        <v>11710996</v>
      </c>
      <c r="F56" s="198"/>
      <c r="G56" s="250">
        <f t="shared" si="4"/>
        <v>126848.9379838949</v>
      </c>
      <c r="H56" s="251">
        <f t="shared" si="6"/>
        <v>11837844.937983895</v>
      </c>
      <c r="I56" s="25">
        <f t="shared" si="5"/>
        <v>1.0831609709703205E-2</v>
      </c>
      <c r="J56" s="8"/>
      <c r="K56" s="8"/>
    </row>
    <row r="57" spans="1:11" s="42" customFormat="1" x14ac:dyDescent="0.25">
      <c r="A57" s="31" t="s">
        <v>55</v>
      </c>
      <c r="B57" s="32">
        <v>6</v>
      </c>
      <c r="C57" s="196">
        <v>6684411</v>
      </c>
      <c r="D57" s="203">
        <v>47616</v>
      </c>
      <c r="E57" s="80">
        <f t="shared" si="3"/>
        <v>6732027</v>
      </c>
      <c r="F57" s="198"/>
      <c r="G57" s="250">
        <f t="shared" si="4"/>
        <v>72918.689019183861</v>
      </c>
      <c r="H57" s="251">
        <f t="shared" si="6"/>
        <v>6804945.6890191836</v>
      </c>
      <c r="I57" s="25">
        <f t="shared" si="5"/>
        <v>1.0831609709703205E-2</v>
      </c>
      <c r="J57" s="8"/>
      <c r="K57" s="8"/>
    </row>
    <row r="58" spans="1:11" s="42" customFormat="1" x14ac:dyDescent="0.25">
      <c r="A58" s="31" t="s">
        <v>56</v>
      </c>
      <c r="B58" s="32">
        <v>6</v>
      </c>
      <c r="C58" s="196">
        <v>8122696</v>
      </c>
      <c r="D58" s="203">
        <v>64227</v>
      </c>
      <c r="E58" s="80">
        <f t="shared" si="3"/>
        <v>8186923</v>
      </c>
      <c r="F58" s="198"/>
      <c r="G58" s="250">
        <f t="shared" si="4"/>
        <v>88677.554659392146</v>
      </c>
      <c r="H58" s="251">
        <f t="shared" si="6"/>
        <v>8275600.5546593918</v>
      </c>
      <c r="I58" s="25">
        <f t="shared" si="5"/>
        <v>1.0831609709703205E-2</v>
      </c>
      <c r="J58" s="8"/>
      <c r="K58" s="8"/>
    </row>
    <row r="59" spans="1:11" s="42" customFormat="1" x14ac:dyDescent="0.25">
      <c r="A59" s="31" t="s">
        <v>57</v>
      </c>
      <c r="B59" s="32">
        <v>6</v>
      </c>
      <c r="C59" s="196">
        <v>8861209</v>
      </c>
      <c r="D59" s="203">
        <v>66899</v>
      </c>
      <c r="E59" s="80">
        <f t="shared" si="3"/>
        <v>8928108</v>
      </c>
      <c r="F59" s="198"/>
      <c r="G59" s="250">
        <f t="shared" si="4"/>
        <v>96705.781302078482</v>
      </c>
      <c r="H59" s="251">
        <f t="shared" si="6"/>
        <v>9024813.7813020777</v>
      </c>
      <c r="I59" s="25">
        <f t="shared" si="5"/>
        <v>1.0831609709702983E-2</v>
      </c>
      <c r="J59" s="8"/>
      <c r="K59" s="8"/>
    </row>
    <row r="60" spans="1:11" s="42" customFormat="1" x14ac:dyDescent="0.25">
      <c r="A60" s="31" t="s">
        <v>58</v>
      </c>
      <c r="B60" s="32">
        <v>7</v>
      </c>
      <c r="C60" s="196">
        <v>19581816</v>
      </c>
      <c r="D60" s="203">
        <v>144168</v>
      </c>
      <c r="E60" s="80">
        <f t="shared" si="3"/>
        <v>19725984</v>
      </c>
      <c r="F60" s="198"/>
      <c r="G60" s="250">
        <f t="shared" si="4"/>
        <v>213664.15982784922</v>
      </c>
      <c r="H60" s="251">
        <f t="shared" si="6"/>
        <v>19939648.159827851</v>
      </c>
      <c r="I60" s="25">
        <f t="shared" si="5"/>
        <v>1.0831609709703205E-2</v>
      </c>
      <c r="J60" s="8"/>
      <c r="K60" s="8"/>
    </row>
    <row r="61" spans="1:11" s="42" customFormat="1" x14ac:dyDescent="0.25">
      <c r="A61" s="31" t="s">
        <v>59</v>
      </c>
      <c r="B61" s="32">
        <v>7</v>
      </c>
      <c r="C61" s="196">
        <v>11689883</v>
      </c>
      <c r="D61" s="203">
        <v>85933</v>
      </c>
      <c r="E61" s="80">
        <f t="shared" si="3"/>
        <v>11775816</v>
      </c>
      <c r="F61" s="198"/>
      <c r="G61" s="250">
        <f t="shared" si="4"/>
        <v>127551.04292527786</v>
      </c>
      <c r="H61" s="251">
        <f t="shared" si="6"/>
        <v>11903367.042925278</v>
      </c>
      <c r="I61" s="25">
        <f t="shared" si="5"/>
        <v>1.0831609709703205E-2</v>
      </c>
      <c r="J61" s="8"/>
      <c r="K61" s="8"/>
    </row>
    <row r="62" spans="1:11" s="42" customFormat="1" x14ac:dyDescent="0.25">
      <c r="A62" s="31" t="s">
        <v>60</v>
      </c>
      <c r="B62" s="32">
        <v>7</v>
      </c>
      <c r="C62" s="196">
        <v>22646675</v>
      </c>
      <c r="D62" s="203">
        <v>143775</v>
      </c>
      <c r="E62" s="80">
        <f t="shared" si="3"/>
        <v>22790450</v>
      </c>
      <c r="F62" s="198"/>
      <c r="G62" s="250">
        <f t="shared" si="4"/>
        <v>246857.25950850444</v>
      </c>
      <c r="H62" s="251">
        <f t="shared" si="6"/>
        <v>23037307.259508505</v>
      </c>
      <c r="I62" s="25">
        <f t="shared" si="5"/>
        <v>1.0831609709703205E-2</v>
      </c>
      <c r="J62" s="8"/>
      <c r="K62" s="8"/>
    </row>
    <row r="63" spans="1:11" s="42" customFormat="1" x14ac:dyDescent="0.25">
      <c r="A63" s="31" t="s">
        <v>61</v>
      </c>
      <c r="B63" s="32">
        <v>7</v>
      </c>
      <c r="C63" s="196">
        <v>12397921</v>
      </c>
      <c r="D63" s="203">
        <v>93431</v>
      </c>
      <c r="E63" s="80">
        <f t="shared" si="3"/>
        <v>12491352</v>
      </c>
      <c r="F63" s="198"/>
      <c r="G63" s="250">
        <f t="shared" si="4"/>
        <v>135301.44961052001</v>
      </c>
      <c r="H63" s="251">
        <f t="shared" si="6"/>
        <v>12626653.44961052</v>
      </c>
      <c r="I63" s="25">
        <f t="shared" si="5"/>
        <v>1.0831609709703205E-2</v>
      </c>
      <c r="J63" s="8"/>
      <c r="K63" s="8"/>
    </row>
    <row r="64" spans="1:11" s="42" customFormat="1" x14ac:dyDescent="0.25">
      <c r="A64" s="31" t="s">
        <v>62</v>
      </c>
      <c r="B64" s="32">
        <v>7</v>
      </c>
      <c r="C64" s="196">
        <v>11626073</v>
      </c>
      <c r="D64" s="203">
        <v>94260</v>
      </c>
      <c r="E64" s="80">
        <f t="shared" si="3"/>
        <v>11720333</v>
      </c>
      <c r="F64" s="198"/>
      <c r="G64" s="250">
        <f t="shared" si="4"/>
        <v>126950.07272375441</v>
      </c>
      <c r="H64" s="251">
        <f t="shared" si="6"/>
        <v>11847283.072723754</v>
      </c>
      <c r="I64" s="25">
        <f t="shared" si="5"/>
        <v>1.0831609709703205E-2</v>
      </c>
      <c r="J64" s="8"/>
      <c r="K64" s="8"/>
    </row>
    <row r="65" spans="1:11" s="42" customFormat="1" x14ac:dyDescent="0.25">
      <c r="A65" s="31" t="s">
        <v>63</v>
      </c>
      <c r="B65" s="32">
        <v>8</v>
      </c>
      <c r="C65" s="196">
        <v>38928487</v>
      </c>
      <c r="D65" s="203">
        <v>310868</v>
      </c>
      <c r="E65" s="80">
        <f t="shared" si="3"/>
        <v>39239355</v>
      </c>
      <c r="F65" s="198"/>
      <c r="G65" s="250">
        <f t="shared" si="4"/>
        <v>425025.37862048933</v>
      </c>
      <c r="H65" s="251">
        <f t="shared" si="6"/>
        <v>39664380.37862049</v>
      </c>
      <c r="I65" s="25">
        <f t="shared" si="5"/>
        <v>1.0831609709703205E-2</v>
      </c>
      <c r="J65" s="8"/>
      <c r="K65" s="8"/>
    </row>
    <row r="66" spans="1:11" s="42" customFormat="1" x14ac:dyDescent="0.25">
      <c r="A66" s="31" t="s">
        <v>64</v>
      </c>
      <c r="B66" s="32">
        <v>8</v>
      </c>
      <c r="C66" s="196">
        <v>30288553</v>
      </c>
      <c r="D66" s="203">
        <v>206725</v>
      </c>
      <c r="E66" s="80">
        <f t="shared" si="3"/>
        <v>30495278</v>
      </c>
      <c r="F66" s="198"/>
      <c r="G66" s="250">
        <f t="shared" si="4"/>
        <v>330312.94928489724</v>
      </c>
      <c r="H66" s="251">
        <f t="shared" si="6"/>
        <v>30825590.949284896</v>
      </c>
      <c r="I66" s="25">
        <f t="shared" si="5"/>
        <v>1.0831609709703205E-2</v>
      </c>
      <c r="J66" s="8"/>
      <c r="K66" s="8"/>
    </row>
    <row r="67" spans="1:11" s="42" customFormat="1" x14ac:dyDescent="0.25">
      <c r="A67" s="31" t="s">
        <v>65</v>
      </c>
      <c r="B67" s="32">
        <v>8</v>
      </c>
      <c r="C67" s="196">
        <v>70739517</v>
      </c>
      <c r="D67" s="203">
        <v>479759</v>
      </c>
      <c r="E67" s="80">
        <f t="shared" si="3"/>
        <v>71219276</v>
      </c>
      <c r="F67" s="198"/>
      <c r="G67" s="250">
        <f t="shared" si="4"/>
        <v>771419.40143962938</v>
      </c>
      <c r="H67" s="251">
        <f t="shared" si="6"/>
        <v>71990695.401439622</v>
      </c>
      <c r="I67" s="25">
        <f t="shared" ref="I67:I69" si="7">H67/E67-1</f>
        <v>1.0831609709702983E-2</v>
      </c>
      <c r="J67" s="8"/>
      <c r="K67" s="8"/>
    </row>
    <row r="68" spans="1:11" x14ac:dyDescent="0.25">
      <c r="A68" s="31" t="s">
        <v>66</v>
      </c>
      <c r="B68" s="32">
        <v>8</v>
      </c>
      <c r="C68" s="196">
        <v>28984523</v>
      </c>
      <c r="D68" s="203">
        <v>220184</v>
      </c>
      <c r="E68" s="80">
        <f t="shared" ref="E68:E69" si="8">C68+D68</f>
        <v>29204707</v>
      </c>
      <c r="F68" s="198"/>
      <c r="G68" s="250">
        <f t="shared" si="4"/>
        <v>316333.98791023594</v>
      </c>
      <c r="H68" s="251">
        <f t="shared" si="6"/>
        <v>29521040.987910237</v>
      </c>
      <c r="I68" s="25">
        <f t="shared" si="7"/>
        <v>1.0831609709703205E-2</v>
      </c>
    </row>
    <row r="69" spans="1:11" ht="14.25" thickBot="1" x14ac:dyDescent="0.3">
      <c r="A69" s="33" t="s">
        <v>67</v>
      </c>
      <c r="B69" s="34">
        <v>8</v>
      </c>
      <c r="C69" s="197">
        <v>30237171</v>
      </c>
      <c r="D69" s="204">
        <v>213287</v>
      </c>
      <c r="E69" s="81">
        <f t="shared" si="8"/>
        <v>30450458</v>
      </c>
      <c r="F69" s="199"/>
      <c r="G69" s="252">
        <f t="shared" si="4"/>
        <v>329827.47653770831</v>
      </c>
      <c r="H69" s="253">
        <f t="shared" si="6"/>
        <v>30780285.476537708</v>
      </c>
      <c r="I69" s="69">
        <f t="shared" si="7"/>
        <v>1.0831609709703205E-2</v>
      </c>
    </row>
    <row r="70" spans="1:11" ht="14.25" thickBot="1" x14ac:dyDescent="0.3">
      <c r="A70" s="35"/>
      <c r="B70" s="36"/>
      <c r="C70" s="82"/>
      <c r="D70" s="82"/>
      <c r="E70" s="82"/>
      <c r="F70" s="90"/>
      <c r="G70" s="82"/>
      <c r="H70" s="19"/>
      <c r="I70" s="10"/>
    </row>
    <row r="71" spans="1:11" s="42" customFormat="1" ht="14.25" thickBot="1" x14ac:dyDescent="0.3">
      <c r="A71" s="310" t="s">
        <v>123</v>
      </c>
      <c r="B71" s="310"/>
      <c r="C71" s="193">
        <f t="shared" ref="C71:E71" si="9">SUM(C3:C69)</f>
        <v>444778204</v>
      </c>
      <c r="D71" s="193">
        <f t="shared" si="9"/>
        <v>3518137</v>
      </c>
      <c r="E71" s="83">
        <f t="shared" si="9"/>
        <v>448296341</v>
      </c>
      <c r="F71" s="275">
        <f>SUM(F3:F69)</f>
        <v>57685</v>
      </c>
      <c r="G71" s="77">
        <f>SUM(G3:G69)</f>
        <v>4855771</v>
      </c>
      <c r="H71" s="78">
        <f>SUM(H3:H69)</f>
        <v>453209796.99999994</v>
      </c>
      <c r="I71" s="70">
        <f>H71/E71-1</f>
        <v>1.0960285754373134E-2</v>
      </c>
      <c r="J71" s="8"/>
      <c r="K71" s="8"/>
    </row>
    <row r="72" spans="1:11" x14ac:dyDescent="0.25">
      <c r="C72" s="7"/>
      <c r="D72" s="7"/>
      <c r="E72" s="7"/>
      <c r="F72" s="11"/>
      <c r="H72" s="261"/>
    </row>
    <row r="73" spans="1:11" x14ac:dyDescent="0.25">
      <c r="C73" s="48"/>
      <c r="D73" s="48"/>
      <c r="E73" s="48"/>
      <c r="F73" s="48"/>
      <c r="H73" s="205"/>
    </row>
    <row r="74" spans="1:11" ht="15" customHeight="1" x14ac:dyDescent="0.25">
      <c r="C74" s="7"/>
      <c r="D74" s="7"/>
      <c r="E74" s="259"/>
      <c r="F74" s="259"/>
      <c r="G74" s="269" t="s">
        <v>218</v>
      </c>
      <c r="H74" s="267">
        <f>11700000+2274341.75</f>
        <v>13974341.75</v>
      </c>
      <c r="I74" s="37"/>
    </row>
    <row r="75" spans="1:11" ht="14.25" thickBot="1" x14ac:dyDescent="0.3">
      <c r="G75" s="269" t="s">
        <v>219</v>
      </c>
      <c r="H75" s="267">
        <v>6250000</v>
      </c>
      <c r="I75" s="5"/>
    </row>
    <row r="76" spans="1:11" ht="14.25" thickBot="1" x14ac:dyDescent="0.3">
      <c r="E76" s="264"/>
      <c r="F76" s="265"/>
      <c r="G76" s="266" t="s">
        <v>243</v>
      </c>
      <c r="H76" s="268">
        <f>H71+H74+H75</f>
        <v>473434138.74999994</v>
      </c>
    </row>
    <row r="77" spans="1:11" x14ac:dyDescent="0.25">
      <c r="H77" s="38"/>
    </row>
  </sheetData>
  <autoFilter ref="A2:F69" xr:uid="{4EC7684B-053D-43A3-8CD8-BE9A689EFD27}"/>
  <mergeCells count="1">
    <mergeCell ref="A71:B71"/>
  </mergeCells>
  <conditionalFormatting sqref="F3:F69">
    <cfRule type="cellIs" dxfId="0" priority="1" operator="lessThan">
      <formula>0</formula>
    </cfRule>
  </conditionalFormatting>
  <printOptions horizontalCentered="1"/>
  <pageMargins left="0.2" right="0.2" top="0.5" bottom="0.5" header="0.25" footer="0.25"/>
  <pageSetup fitToHeight="0" pageOrder="overThenDown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B256-BF83-4E80-8C4C-D0F1F79B638F}">
  <dimension ref="A1:F316"/>
  <sheetViews>
    <sheetView topLeftCell="A284" zoomScale="120" zoomScaleNormal="120" workbookViewId="0">
      <selection activeCell="E45" sqref="E45"/>
    </sheetView>
  </sheetViews>
  <sheetFormatPr defaultRowHeight="15" x14ac:dyDescent="0.25"/>
  <cols>
    <col min="1" max="1" width="17.42578125" bestFit="1" customWidth="1"/>
    <col min="2" max="2" width="21.28515625" customWidth="1"/>
    <col min="3" max="3" width="24" style="237" customWidth="1"/>
    <col min="4" max="4" width="10.5703125" customWidth="1"/>
    <col min="5" max="5" width="21" customWidth="1"/>
  </cols>
  <sheetData>
    <row r="1" spans="1:5" s="216" customFormat="1" ht="47.25" x14ac:dyDescent="0.3">
      <c r="A1" s="213" t="s">
        <v>0</v>
      </c>
      <c r="B1" s="213" t="s">
        <v>124</v>
      </c>
      <c r="C1" s="214" t="s">
        <v>125</v>
      </c>
      <c r="D1" s="215" t="s">
        <v>126</v>
      </c>
      <c r="E1" s="215" t="s">
        <v>127</v>
      </c>
    </row>
    <row r="2" spans="1:5" ht="15.75" x14ac:dyDescent="0.3">
      <c r="A2" s="217" t="s">
        <v>36</v>
      </c>
      <c r="B2" s="217" t="s">
        <v>128</v>
      </c>
      <c r="C2" s="218">
        <v>3198214.2384000006</v>
      </c>
      <c r="D2" s="219">
        <v>1.0899999999999993E-2</v>
      </c>
      <c r="E2" s="220">
        <f>C2*D2</f>
        <v>34860.535198559985</v>
      </c>
    </row>
    <row r="3" spans="1:5" ht="15.75" x14ac:dyDescent="0.3">
      <c r="A3" s="217" t="s">
        <v>36</v>
      </c>
      <c r="B3" s="217" t="s">
        <v>129</v>
      </c>
      <c r="C3" s="218">
        <v>279269.58240000001</v>
      </c>
      <c r="D3" s="219">
        <v>2.5599999999999956E-2</v>
      </c>
      <c r="E3" s="220">
        <f t="shared" ref="E3:E68" si="0">C3*D3</f>
        <v>7149.3013094399885</v>
      </c>
    </row>
    <row r="4" spans="1:5" ht="15.75" x14ac:dyDescent="0.3">
      <c r="A4" s="217" t="s">
        <v>36</v>
      </c>
      <c r="B4" s="217" t="s">
        <v>130</v>
      </c>
      <c r="C4" s="218">
        <v>359269.63199999998</v>
      </c>
      <c r="D4" s="219">
        <v>2.5999999999999912E-3</v>
      </c>
      <c r="E4" s="220">
        <f t="shared" si="0"/>
        <v>934.10104319999675</v>
      </c>
    </row>
    <row r="5" spans="1:5" ht="15.75" x14ac:dyDescent="0.3">
      <c r="A5" s="217" t="s">
        <v>36</v>
      </c>
      <c r="B5" s="217" t="s">
        <v>131</v>
      </c>
      <c r="C5" s="218">
        <v>98811.239999999991</v>
      </c>
      <c r="D5" s="219">
        <v>5.5799999999999961E-2</v>
      </c>
      <c r="E5" s="220">
        <f t="shared" si="0"/>
        <v>5513.6671919999953</v>
      </c>
    </row>
    <row r="6" spans="1:5" s="223" customFormat="1" ht="15.75" x14ac:dyDescent="0.3">
      <c r="A6" s="221" t="s">
        <v>132</v>
      </c>
      <c r="B6" s="221"/>
      <c r="C6" s="222">
        <f t="shared" ref="C6" si="1">SUM(C2:C5)</f>
        <v>3935564.6928000012</v>
      </c>
      <c r="D6" s="222"/>
      <c r="E6" s="222">
        <f>SUM(E2:E5)</f>
        <v>48457.604743199961</v>
      </c>
    </row>
    <row r="7" spans="1:5" ht="15.75" x14ac:dyDescent="0.3">
      <c r="A7" s="217" t="s">
        <v>5</v>
      </c>
      <c r="B7" s="217" t="s">
        <v>128</v>
      </c>
      <c r="C7" s="218">
        <v>242504</v>
      </c>
      <c r="D7" s="219">
        <v>1.0899999999999993E-2</v>
      </c>
      <c r="E7" s="220">
        <f t="shared" si="0"/>
        <v>2643.2935999999982</v>
      </c>
    </row>
    <row r="8" spans="1:5" ht="15.75" x14ac:dyDescent="0.3">
      <c r="A8" s="217" t="s">
        <v>5</v>
      </c>
      <c r="B8" s="217" t="s">
        <v>129</v>
      </c>
      <c r="C8" s="218">
        <v>75189</v>
      </c>
      <c r="D8" s="219">
        <v>2.5599999999999956E-2</v>
      </c>
      <c r="E8" s="220">
        <f t="shared" si="0"/>
        <v>1924.8383999999967</v>
      </c>
    </row>
    <row r="9" spans="1:5" ht="15.75" x14ac:dyDescent="0.3">
      <c r="A9" s="217" t="s">
        <v>5</v>
      </c>
      <c r="B9" s="217" t="s">
        <v>130</v>
      </c>
      <c r="C9" s="218">
        <v>127305</v>
      </c>
      <c r="D9" s="219">
        <v>2.5999999999999912E-3</v>
      </c>
      <c r="E9" s="220">
        <f t="shared" si="0"/>
        <v>330.99299999999886</v>
      </c>
    </row>
    <row r="10" spans="1:5" ht="15.75" x14ac:dyDescent="0.3">
      <c r="A10" s="217" t="s">
        <v>5</v>
      </c>
      <c r="B10" s="217" t="s">
        <v>131</v>
      </c>
      <c r="C10" s="218">
        <v>100617.3</v>
      </c>
      <c r="D10" s="219">
        <v>5.5799999999999961E-2</v>
      </c>
      <c r="E10" s="220">
        <f t="shared" si="0"/>
        <v>5614.4453399999966</v>
      </c>
    </row>
    <row r="11" spans="1:5" s="223" customFormat="1" ht="15.75" x14ac:dyDescent="0.3">
      <c r="A11" s="221" t="s">
        <v>133</v>
      </c>
      <c r="B11" s="221"/>
      <c r="C11" s="222">
        <f t="shared" ref="C11" si="2">SUM(C7:C10)</f>
        <v>545615.30000000005</v>
      </c>
      <c r="D11" s="222"/>
      <c r="E11" s="222">
        <f>SUM(E7:E10)</f>
        <v>10513.570339999991</v>
      </c>
    </row>
    <row r="12" spans="1:5" ht="15.75" x14ac:dyDescent="0.3">
      <c r="A12" s="217" t="s">
        <v>45</v>
      </c>
      <c r="B12" s="217" t="s">
        <v>128</v>
      </c>
      <c r="C12" s="218">
        <v>2015118.5601710004</v>
      </c>
      <c r="D12" s="219">
        <v>1.0899999999999993E-2</v>
      </c>
      <c r="E12" s="220">
        <f t="shared" si="0"/>
        <v>21964.792305863892</v>
      </c>
    </row>
    <row r="13" spans="1:5" ht="15.75" x14ac:dyDescent="0.3">
      <c r="A13" s="217" t="s">
        <v>45</v>
      </c>
      <c r="B13" s="217" t="s">
        <v>129</v>
      </c>
      <c r="C13" s="218">
        <v>201522.90600000002</v>
      </c>
      <c r="D13" s="219">
        <v>2.5599999999999956E-2</v>
      </c>
      <c r="E13" s="220">
        <f t="shared" si="0"/>
        <v>5158.986393599992</v>
      </c>
    </row>
    <row r="14" spans="1:5" ht="15.75" x14ac:dyDescent="0.3">
      <c r="A14" s="217" t="s">
        <v>45</v>
      </c>
      <c r="B14" s="217" t="s">
        <v>130</v>
      </c>
      <c r="C14" s="218">
        <f>63003.2+52784.47</f>
        <v>115787.67</v>
      </c>
      <c r="D14" s="219">
        <v>2.5999999999999912E-3</v>
      </c>
      <c r="E14" s="220">
        <f t="shared" si="0"/>
        <v>301.04794199999895</v>
      </c>
    </row>
    <row r="15" spans="1:5" ht="15.75" x14ac:dyDescent="0.3">
      <c r="A15" s="217" t="s">
        <v>45</v>
      </c>
      <c r="B15" s="217" t="s">
        <v>131</v>
      </c>
      <c r="C15" s="218">
        <f>161569.26955-52784.47</f>
        <v>108784.79955</v>
      </c>
      <c r="D15" s="219">
        <v>5.5799999999999961E-2</v>
      </c>
      <c r="E15" s="220">
        <f t="shared" si="0"/>
        <v>6070.1918148899958</v>
      </c>
    </row>
    <row r="16" spans="1:5" s="223" customFormat="1" ht="15.75" x14ac:dyDescent="0.3">
      <c r="A16" s="221" t="s">
        <v>134</v>
      </c>
      <c r="B16" s="221"/>
      <c r="C16" s="222">
        <f t="shared" ref="C16" si="3">SUM(C12:C15)</f>
        <v>2441213.9357210007</v>
      </c>
      <c r="D16" s="222"/>
      <c r="E16" s="222">
        <f>SUM(E12:E15)</f>
        <v>33495.018456353879</v>
      </c>
    </row>
    <row r="17" spans="1:5" ht="15.75" x14ac:dyDescent="0.3">
      <c r="A17" s="217" t="s">
        <v>16</v>
      </c>
      <c r="B17" s="217" t="s">
        <v>128</v>
      </c>
      <c r="C17" s="218">
        <v>446631.45056000003</v>
      </c>
      <c r="D17" s="219">
        <v>1.0899999999999993E-2</v>
      </c>
      <c r="E17" s="220">
        <f t="shared" si="0"/>
        <v>4868.2828111039971</v>
      </c>
    </row>
    <row r="18" spans="1:5" ht="15.75" x14ac:dyDescent="0.3">
      <c r="A18" s="217" t="s">
        <v>16</v>
      </c>
      <c r="B18" s="217" t="s">
        <v>129</v>
      </c>
      <c r="C18" s="218">
        <v>68508.959999999992</v>
      </c>
      <c r="D18" s="219">
        <v>2.5599999999999956E-2</v>
      </c>
      <c r="E18" s="220">
        <f t="shared" si="0"/>
        <v>1753.8293759999967</v>
      </c>
    </row>
    <row r="19" spans="1:5" ht="15.75" x14ac:dyDescent="0.3">
      <c r="A19" s="217" t="s">
        <v>16</v>
      </c>
      <c r="B19" s="217" t="s">
        <v>130</v>
      </c>
      <c r="C19" s="218">
        <v>42151.199999999997</v>
      </c>
      <c r="D19" s="219">
        <v>2.5999999999999912E-3</v>
      </c>
      <c r="E19" s="220">
        <f t="shared" si="0"/>
        <v>109.59311999999962</v>
      </c>
    </row>
    <row r="20" spans="1:5" ht="15.75" x14ac:dyDescent="0.3">
      <c r="A20" s="217" t="s">
        <v>16</v>
      </c>
      <c r="B20" s="217" t="s">
        <v>131</v>
      </c>
      <c r="C20" s="218">
        <v>65974.2</v>
      </c>
      <c r="D20" s="219">
        <v>5.5799999999999961E-2</v>
      </c>
      <c r="E20" s="220">
        <f t="shared" si="0"/>
        <v>3681.3603599999974</v>
      </c>
    </row>
    <row r="21" spans="1:5" s="223" customFormat="1" ht="15.75" x14ac:dyDescent="0.3">
      <c r="A21" s="221" t="s">
        <v>135</v>
      </c>
      <c r="B21" s="221"/>
      <c r="C21" s="222">
        <f t="shared" ref="C21" si="4">SUM(C17:C20)</f>
        <v>623265.8105599999</v>
      </c>
      <c r="D21" s="222"/>
      <c r="E21" s="222">
        <f>SUM(E17:E20)</f>
        <v>10413.065667103991</v>
      </c>
    </row>
    <row r="22" spans="1:5" ht="15.75" x14ac:dyDescent="0.3">
      <c r="A22" s="217" t="s">
        <v>46</v>
      </c>
      <c r="B22" s="217" t="s">
        <v>128</v>
      </c>
      <c r="C22" s="218">
        <v>6156483.25</v>
      </c>
      <c r="D22" s="219">
        <v>1.0899999999999993E-2</v>
      </c>
      <c r="E22" s="220">
        <f t="shared" si="0"/>
        <v>67105.667424999963</v>
      </c>
    </row>
    <row r="23" spans="1:5" ht="15.75" x14ac:dyDescent="0.3">
      <c r="A23" s="217" t="s">
        <v>46</v>
      </c>
      <c r="B23" s="217" t="s">
        <v>129</v>
      </c>
      <c r="C23" s="218">
        <v>313544.25</v>
      </c>
      <c r="D23" s="219">
        <v>2.5599999999999956E-2</v>
      </c>
      <c r="E23" s="220">
        <f t="shared" si="0"/>
        <v>8026.7327999999861</v>
      </c>
    </row>
    <row r="24" spans="1:5" ht="15.75" x14ac:dyDescent="0.3">
      <c r="A24" s="217" t="s">
        <v>46</v>
      </c>
      <c r="B24" s="217" t="s">
        <v>130</v>
      </c>
      <c r="C24" s="218">
        <v>973400</v>
      </c>
      <c r="D24" s="219">
        <v>2.5999999999999912E-3</v>
      </c>
      <c r="E24" s="220">
        <f t="shared" si="0"/>
        <v>2530.8399999999915</v>
      </c>
    </row>
    <row r="25" spans="1:5" ht="15.75" x14ac:dyDescent="0.3">
      <c r="A25" s="217" t="s">
        <v>46</v>
      </c>
      <c r="B25" s="217" t="s">
        <v>131</v>
      </c>
      <c r="C25" s="218">
        <v>118665</v>
      </c>
      <c r="D25" s="219">
        <v>5.5799999999999961E-2</v>
      </c>
      <c r="E25" s="220">
        <f t="shared" si="0"/>
        <v>6621.5069999999951</v>
      </c>
    </row>
    <row r="26" spans="1:5" s="223" customFormat="1" ht="15.75" x14ac:dyDescent="0.3">
      <c r="A26" s="221" t="s">
        <v>136</v>
      </c>
      <c r="B26" s="221"/>
      <c r="C26" s="222">
        <f t="shared" ref="C26" si="5">SUM(C22:C25)</f>
        <v>7562092.5</v>
      </c>
      <c r="D26" s="222"/>
      <c r="E26" s="222">
        <f>SUM(E22:E25)</f>
        <v>84284.747224999941</v>
      </c>
    </row>
    <row r="27" spans="1:5" ht="15.75" x14ac:dyDescent="0.3">
      <c r="A27" s="217" t="s">
        <v>63</v>
      </c>
      <c r="B27" s="217" t="s">
        <v>128</v>
      </c>
      <c r="C27" s="218">
        <v>24003986.554000035</v>
      </c>
      <c r="D27" s="219">
        <v>1.0899999999999993E-2</v>
      </c>
      <c r="E27" s="220">
        <f t="shared" si="0"/>
        <v>261643.45343860021</v>
      </c>
    </row>
    <row r="28" spans="1:5" ht="15.75" x14ac:dyDescent="0.3">
      <c r="A28" s="217" t="s">
        <v>63</v>
      </c>
      <c r="B28" s="217" t="s">
        <v>129</v>
      </c>
      <c r="C28" s="218">
        <v>1509309.2300000002</v>
      </c>
      <c r="D28" s="219">
        <v>2.5599999999999956E-2</v>
      </c>
      <c r="E28" s="220">
        <f t="shared" si="0"/>
        <v>38638.316287999936</v>
      </c>
    </row>
    <row r="29" spans="1:5" ht="15.75" x14ac:dyDescent="0.3">
      <c r="A29" s="217" t="s">
        <v>63</v>
      </c>
      <c r="B29" s="217" t="s">
        <v>131</v>
      </c>
      <c r="C29" s="218">
        <v>189719</v>
      </c>
      <c r="D29" s="219">
        <v>5.5799999999999961E-2</v>
      </c>
      <c r="E29" s="220">
        <f t="shared" si="0"/>
        <v>10586.320199999993</v>
      </c>
    </row>
    <row r="30" spans="1:5" s="223" customFormat="1" ht="15.75" x14ac:dyDescent="0.3">
      <c r="A30" s="221" t="s">
        <v>137</v>
      </c>
      <c r="B30" s="221"/>
      <c r="C30" s="222">
        <f t="shared" ref="C30" si="6">SUM(C27:C29)</f>
        <v>25703014.784000035</v>
      </c>
      <c r="D30" s="222"/>
      <c r="E30" s="222">
        <f>SUM(E27:E29)</f>
        <v>310868.08992660017</v>
      </c>
    </row>
    <row r="31" spans="1:5" ht="15.75" x14ac:dyDescent="0.3">
      <c r="A31" s="217" t="s">
        <v>1</v>
      </c>
      <c r="B31" s="217" t="s">
        <v>128</v>
      </c>
      <c r="C31" s="218">
        <v>218498.9</v>
      </c>
      <c r="D31" s="219">
        <v>1.0899999999999993E-2</v>
      </c>
      <c r="E31" s="220">
        <f t="shared" si="0"/>
        <v>2381.6380099999983</v>
      </c>
    </row>
    <row r="32" spans="1:5" ht="15.75" x14ac:dyDescent="0.3">
      <c r="A32" s="217" t="s">
        <v>1</v>
      </c>
      <c r="B32" s="217" t="s">
        <v>130</v>
      </c>
      <c r="C32" s="218">
        <v>29308</v>
      </c>
      <c r="D32" s="219">
        <v>2.5999999999999912E-3</v>
      </c>
      <c r="E32" s="220">
        <f t="shared" si="0"/>
        <v>76.200799999999745</v>
      </c>
    </row>
    <row r="33" spans="1:5" ht="15.75" x14ac:dyDescent="0.3">
      <c r="A33" s="217" t="s">
        <v>1</v>
      </c>
      <c r="B33" s="217" t="s">
        <v>131</v>
      </c>
      <c r="C33" s="218">
        <v>59214.100000000013</v>
      </c>
      <c r="D33" s="219">
        <v>5.5799999999999961E-2</v>
      </c>
      <c r="E33" s="220">
        <f t="shared" si="0"/>
        <v>3304.1467799999982</v>
      </c>
    </row>
    <row r="34" spans="1:5" s="223" customFormat="1" ht="15.75" x14ac:dyDescent="0.3">
      <c r="A34" s="221" t="s">
        <v>138</v>
      </c>
      <c r="B34" s="221"/>
      <c r="C34" s="222">
        <f t="shared" ref="C34" si="7">SUM(C31:C33)</f>
        <v>307021</v>
      </c>
      <c r="D34" s="222"/>
      <c r="E34" s="222">
        <f>SUM(E31:E33)</f>
        <v>5761.9855899999966</v>
      </c>
    </row>
    <row r="35" spans="1:5" ht="15.75" x14ac:dyDescent="0.3">
      <c r="A35" s="217" t="s">
        <v>37</v>
      </c>
      <c r="B35" s="217" t="s">
        <v>128</v>
      </c>
      <c r="C35" s="218">
        <v>1884057.2100000002</v>
      </c>
      <c r="D35" s="219">
        <v>1.0899999999999993E-2</v>
      </c>
      <c r="E35" s="220">
        <f t="shared" si="0"/>
        <v>20536.22358899999</v>
      </c>
    </row>
    <row r="36" spans="1:5" ht="15.75" x14ac:dyDescent="0.3">
      <c r="A36" s="217" t="s">
        <v>37</v>
      </c>
      <c r="B36" s="217" t="s">
        <v>129</v>
      </c>
      <c r="C36" s="218">
        <v>223769.71</v>
      </c>
      <c r="D36" s="219">
        <v>2.5599999999999956E-2</v>
      </c>
      <c r="E36" s="220">
        <f t="shared" si="0"/>
        <v>5728.5045759999903</v>
      </c>
    </row>
    <row r="37" spans="1:5" ht="15.75" x14ac:dyDescent="0.3">
      <c r="A37" s="217" t="s">
        <v>37</v>
      </c>
      <c r="B37" s="217" t="s">
        <v>130</v>
      </c>
      <c r="C37" s="218">
        <v>118114.5</v>
      </c>
      <c r="D37" s="219">
        <v>2.5999999999999912E-3</v>
      </c>
      <c r="E37" s="220">
        <f t="shared" si="0"/>
        <v>307.09769999999895</v>
      </c>
    </row>
    <row r="38" spans="1:5" ht="15.75" x14ac:dyDescent="0.3">
      <c r="A38" s="217" t="s">
        <v>37</v>
      </c>
      <c r="B38" s="217" t="s">
        <v>131</v>
      </c>
      <c r="C38" s="218">
        <v>84539.4</v>
      </c>
      <c r="D38" s="219">
        <v>5.5799999999999961E-2</v>
      </c>
      <c r="E38" s="220">
        <f t="shared" si="0"/>
        <v>4717.2985199999966</v>
      </c>
    </row>
    <row r="39" spans="1:5" s="223" customFormat="1" ht="15.75" x14ac:dyDescent="0.3">
      <c r="A39" s="221" t="s">
        <v>139</v>
      </c>
      <c r="B39" s="221"/>
      <c r="C39" s="222">
        <f t="shared" ref="C39" si="8">SUM(C35:C38)</f>
        <v>2310480.8200000003</v>
      </c>
      <c r="D39" s="222"/>
      <c r="E39" s="222">
        <f>SUM(E35:E38)</f>
        <v>31289.124384999974</v>
      </c>
    </row>
    <row r="40" spans="1:5" ht="15.75" x14ac:dyDescent="0.3">
      <c r="A40" s="217" t="s">
        <v>27</v>
      </c>
      <c r="B40" s="217" t="s">
        <v>128</v>
      </c>
      <c r="C40" s="218">
        <f>2291760.7099+34421.81</f>
        <v>2326182.5199000002</v>
      </c>
      <c r="D40" s="219">
        <v>1.0899999999999993E-2</v>
      </c>
      <c r="E40" s="220">
        <f t="shared" si="0"/>
        <v>25355.389466909986</v>
      </c>
    </row>
    <row r="41" spans="1:5" ht="15.75" x14ac:dyDescent="0.3">
      <c r="A41" s="217" t="s">
        <v>27</v>
      </c>
      <c r="B41" s="217" t="s">
        <v>129</v>
      </c>
      <c r="C41" s="218">
        <v>213283.36799999999</v>
      </c>
      <c r="D41" s="219">
        <v>2.5599999999999956E-2</v>
      </c>
      <c r="E41" s="220">
        <f t="shared" si="0"/>
        <v>5460.0542207999906</v>
      </c>
    </row>
    <row r="42" spans="1:5" ht="15.75" x14ac:dyDescent="0.3">
      <c r="A42" s="217" t="s">
        <v>27</v>
      </c>
      <c r="B42" s="217" t="s">
        <v>131</v>
      </c>
      <c r="C42" s="218">
        <f>117296.21-34421.81</f>
        <v>82874.400000000009</v>
      </c>
      <c r="D42" s="219">
        <v>5.5799999999999961E-2</v>
      </c>
      <c r="E42" s="220">
        <f t="shared" si="0"/>
        <v>4624.3915199999974</v>
      </c>
    </row>
    <row r="43" spans="1:5" s="223" customFormat="1" ht="15.75" x14ac:dyDescent="0.3">
      <c r="A43" s="221" t="s">
        <v>140</v>
      </c>
      <c r="B43" s="221"/>
      <c r="C43" s="222">
        <f t="shared" ref="C43" si="9">SUM(C40:C42)</f>
        <v>2622340.2878999999</v>
      </c>
      <c r="D43" s="222"/>
      <c r="E43" s="222">
        <f>SUM(E40:E42)</f>
        <v>35439.83520770997</v>
      </c>
    </row>
    <row r="44" spans="1:5" ht="15.75" x14ac:dyDescent="0.3">
      <c r="A44" s="217" t="s">
        <v>38</v>
      </c>
      <c r="B44" s="217" t="s">
        <v>128</v>
      </c>
      <c r="C44" s="218">
        <v>2141851.8695876813</v>
      </c>
      <c r="D44" s="219">
        <v>1.0899999999999993E-2</v>
      </c>
      <c r="E44" s="220">
        <f t="shared" si="0"/>
        <v>23346.18537850571</v>
      </c>
    </row>
    <row r="45" spans="1:5" ht="15.75" x14ac:dyDescent="0.3">
      <c r="A45" s="217" t="s">
        <v>38</v>
      </c>
      <c r="B45" s="217" t="s">
        <v>129</v>
      </c>
      <c r="C45" s="218">
        <v>492370.31999999995</v>
      </c>
      <c r="D45" s="219">
        <v>2.5599999999999956E-2</v>
      </c>
      <c r="E45" s="220">
        <f t="shared" si="0"/>
        <v>12604.680191999978</v>
      </c>
    </row>
    <row r="46" spans="1:5" ht="15.75" x14ac:dyDescent="0.3">
      <c r="A46" s="217" t="s">
        <v>38</v>
      </c>
      <c r="B46" s="217" t="s">
        <v>130</v>
      </c>
      <c r="C46" s="218">
        <v>95220.771599359985</v>
      </c>
      <c r="D46" s="219">
        <v>2.5999999999999912E-3</v>
      </c>
      <c r="E46" s="220">
        <f t="shared" si="0"/>
        <v>247.57400615833512</v>
      </c>
    </row>
    <row r="47" spans="1:5" ht="15.75" x14ac:dyDescent="0.3">
      <c r="A47" s="217" t="s">
        <v>38</v>
      </c>
      <c r="B47" s="217" t="s">
        <v>131</v>
      </c>
      <c r="C47" s="218">
        <v>93501.2</v>
      </c>
      <c r="D47" s="219">
        <v>5.5799999999999961E-2</v>
      </c>
      <c r="E47" s="220">
        <f t="shared" si="0"/>
        <v>5217.3669599999957</v>
      </c>
    </row>
    <row r="48" spans="1:5" s="223" customFormat="1" ht="15.75" x14ac:dyDescent="0.3">
      <c r="A48" s="221" t="s">
        <v>141</v>
      </c>
      <c r="B48" s="221"/>
      <c r="C48" s="222">
        <f t="shared" ref="C48" si="10">SUM(C44:C47)</f>
        <v>2822944.1611870411</v>
      </c>
      <c r="D48" s="222"/>
      <c r="E48" s="222">
        <f>SUM(E44:E47)</f>
        <v>41415.806536664022</v>
      </c>
    </row>
    <row r="49" spans="1:5" ht="15.75" x14ac:dyDescent="0.3">
      <c r="A49" s="217" t="s">
        <v>47</v>
      </c>
      <c r="B49" s="217" t="s">
        <v>128</v>
      </c>
      <c r="C49" s="218">
        <v>3709366.4926860007</v>
      </c>
      <c r="D49" s="219">
        <v>1.0899999999999993E-2</v>
      </c>
      <c r="E49" s="220">
        <f t="shared" si="0"/>
        <v>40432.094770277385</v>
      </c>
    </row>
    <row r="50" spans="1:5" ht="15.75" x14ac:dyDescent="0.3">
      <c r="A50" s="217" t="s">
        <v>47</v>
      </c>
      <c r="B50" s="217" t="s">
        <v>129</v>
      </c>
      <c r="C50" s="218">
        <v>215557.05925799999</v>
      </c>
      <c r="D50" s="219">
        <v>2.5599999999999956E-2</v>
      </c>
      <c r="E50" s="220">
        <f t="shared" si="0"/>
        <v>5518.2607170047904</v>
      </c>
    </row>
    <row r="51" spans="1:5" ht="15.75" x14ac:dyDescent="0.3">
      <c r="A51" s="217" t="s">
        <v>47</v>
      </c>
      <c r="B51" s="217" t="s">
        <v>130</v>
      </c>
      <c r="C51" s="218">
        <v>220261.54</v>
      </c>
      <c r="D51" s="219">
        <v>2.5999999999999912E-3</v>
      </c>
      <c r="E51" s="220">
        <f t="shared" si="0"/>
        <v>572.68000399999812</v>
      </c>
    </row>
    <row r="52" spans="1:5" ht="15.75" x14ac:dyDescent="0.3">
      <c r="A52" s="217" t="s">
        <v>47</v>
      </c>
      <c r="B52" s="217" t="s">
        <v>131</v>
      </c>
      <c r="C52" s="218">
        <f>296151.2066-220261.54</f>
        <v>75889.666599999968</v>
      </c>
      <c r="D52" s="219">
        <v>5.5799999999999961E-2</v>
      </c>
      <c r="E52" s="220">
        <f t="shared" si="0"/>
        <v>4234.6433962799956</v>
      </c>
    </row>
    <row r="53" spans="1:5" s="223" customFormat="1" ht="15.75" x14ac:dyDescent="0.3">
      <c r="A53" s="221" t="s">
        <v>142</v>
      </c>
      <c r="B53" s="221"/>
      <c r="C53" s="222">
        <f t="shared" ref="C53" si="11">SUM(C49:C52)</f>
        <v>4221074.7585440008</v>
      </c>
      <c r="D53" s="222"/>
      <c r="E53" s="222">
        <f>SUM(E49:E52)</f>
        <v>50757.678887562171</v>
      </c>
    </row>
    <row r="54" spans="1:5" ht="15.75" x14ac:dyDescent="0.3">
      <c r="A54" s="217" t="s">
        <v>28</v>
      </c>
      <c r="B54" s="217" t="s">
        <v>128</v>
      </c>
      <c r="C54" s="218">
        <v>805426.45455999998</v>
      </c>
      <c r="D54" s="219">
        <v>1.0899999999999993E-2</v>
      </c>
      <c r="E54" s="220">
        <f t="shared" si="0"/>
        <v>8779.1483547039934</v>
      </c>
    </row>
    <row r="55" spans="1:5" ht="15.75" x14ac:dyDescent="0.3">
      <c r="A55" s="217" t="s">
        <v>28</v>
      </c>
      <c r="B55" s="217" t="s">
        <v>130</v>
      </c>
      <c r="C55" s="218">
        <v>108019.80799999999</v>
      </c>
      <c r="D55" s="219">
        <v>2.5999999999999912E-3</v>
      </c>
      <c r="E55" s="220">
        <f t="shared" si="0"/>
        <v>280.85150079999903</v>
      </c>
    </row>
    <row r="56" spans="1:5" ht="15.75" x14ac:dyDescent="0.3">
      <c r="A56" s="217" t="s">
        <v>28</v>
      </c>
      <c r="B56" s="217" t="s">
        <v>131</v>
      </c>
      <c r="C56" s="218">
        <v>89740.54</v>
      </c>
      <c r="D56" s="219">
        <v>5.5799999999999961E-2</v>
      </c>
      <c r="E56" s="220">
        <f t="shared" si="0"/>
        <v>5007.5221319999964</v>
      </c>
    </row>
    <row r="57" spans="1:5" s="223" customFormat="1" ht="15.75" x14ac:dyDescent="0.3">
      <c r="A57" s="221" t="s">
        <v>143</v>
      </c>
      <c r="B57" s="221"/>
      <c r="C57" s="222">
        <f t="shared" ref="C57" si="12">SUM(C54:C56)</f>
        <v>1003186.80256</v>
      </c>
      <c r="D57" s="222"/>
      <c r="E57" s="222">
        <f>SUM(E54:E56)</f>
        <v>14067.521987503989</v>
      </c>
    </row>
    <row r="58" spans="1:5" ht="15.75" x14ac:dyDescent="0.3">
      <c r="A58" s="217" t="s">
        <v>17</v>
      </c>
      <c r="B58" s="217" t="s">
        <v>128</v>
      </c>
      <c r="C58" s="218">
        <v>488575</v>
      </c>
      <c r="D58" s="219">
        <v>1.0899999999999993E-2</v>
      </c>
      <c r="E58" s="220">
        <f t="shared" si="0"/>
        <v>5325.467499999997</v>
      </c>
    </row>
    <row r="59" spans="1:5" ht="15.75" x14ac:dyDescent="0.3">
      <c r="A59" s="217" t="s">
        <v>17</v>
      </c>
      <c r="B59" s="217" t="s">
        <v>131</v>
      </c>
      <c r="C59" s="218">
        <v>62731.350000000013</v>
      </c>
      <c r="D59" s="219">
        <v>5.5799999999999961E-2</v>
      </c>
      <c r="E59" s="220">
        <f t="shared" si="0"/>
        <v>3500.4093299999981</v>
      </c>
    </row>
    <row r="60" spans="1:5" s="223" customFormat="1" ht="15.75" x14ac:dyDescent="0.3">
      <c r="A60" s="221" t="s">
        <v>144</v>
      </c>
      <c r="B60" s="221"/>
      <c r="C60" s="222">
        <f t="shared" ref="C60" si="13">SUM(C58:C59)</f>
        <v>551306.35</v>
      </c>
      <c r="D60" s="222"/>
      <c r="E60" s="222">
        <f>SUM(E58:E59)</f>
        <v>8825.8768299999956</v>
      </c>
    </row>
    <row r="61" spans="1:5" ht="15.75" x14ac:dyDescent="0.3">
      <c r="A61" s="217" t="s">
        <v>6</v>
      </c>
      <c r="B61" s="217" t="s">
        <v>128</v>
      </c>
      <c r="C61" s="218">
        <v>175739</v>
      </c>
      <c r="D61" s="219">
        <v>1.0899999999999993E-2</v>
      </c>
      <c r="E61" s="220">
        <f t="shared" si="0"/>
        <v>1915.5550999999987</v>
      </c>
    </row>
    <row r="62" spans="1:5" ht="15.75" x14ac:dyDescent="0.3">
      <c r="A62" s="217" t="s">
        <v>6</v>
      </c>
      <c r="B62" s="217" t="s">
        <v>129</v>
      </c>
      <c r="C62" s="218">
        <v>54600</v>
      </c>
      <c r="D62" s="219">
        <v>2.5599999999999956E-2</v>
      </c>
      <c r="E62" s="220">
        <f t="shared" si="0"/>
        <v>1397.7599999999977</v>
      </c>
    </row>
    <row r="63" spans="1:5" ht="15.75" x14ac:dyDescent="0.3">
      <c r="A63" s="217" t="s">
        <v>6</v>
      </c>
      <c r="B63" s="217" t="s">
        <v>130</v>
      </c>
      <c r="C63" s="218">
        <v>36316</v>
      </c>
      <c r="D63" s="219">
        <v>2.5999999999999912E-3</v>
      </c>
      <c r="E63" s="220">
        <f t="shared" si="0"/>
        <v>94.421599999999685</v>
      </c>
    </row>
    <row r="64" spans="1:5" ht="15.75" x14ac:dyDescent="0.3">
      <c r="A64" s="217" t="s">
        <v>6</v>
      </c>
      <c r="B64" s="217" t="s">
        <v>131</v>
      </c>
      <c r="C64" s="218">
        <f>101109.4-36316</f>
        <v>64793.399999999994</v>
      </c>
      <c r="D64" s="219">
        <v>5.5799999999999961E-2</v>
      </c>
      <c r="E64" s="220">
        <f t="shared" si="0"/>
        <v>3615.4717199999973</v>
      </c>
    </row>
    <row r="65" spans="1:5" s="223" customFormat="1" ht="15.75" x14ac:dyDescent="0.3">
      <c r="A65" s="221" t="s">
        <v>145</v>
      </c>
      <c r="B65" s="221"/>
      <c r="C65" s="222">
        <f t="shared" ref="C65" si="14">SUM(C61:C64)</f>
        <v>331448.40000000002</v>
      </c>
      <c r="D65" s="222"/>
      <c r="E65" s="222">
        <f>SUM(E61:E64)</f>
        <v>7023.2084199999936</v>
      </c>
    </row>
    <row r="66" spans="1:5" ht="15.75" x14ac:dyDescent="0.3">
      <c r="A66" s="217" t="s">
        <v>58</v>
      </c>
      <c r="B66" s="217" t="s">
        <v>128</v>
      </c>
      <c r="C66" s="218">
        <v>675419.77879999997</v>
      </c>
      <c r="D66" s="219">
        <v>1.0899999999999993E-2</v>
      </c>
      <c r="E66" s="220">
        <f t="shared" si="0"/>
        <v>7362.0755889199954</v>
      </c>
    </row>
    <row r="67" spans="1:5" ht="15.75" x14ac:dyDescent="0.3">
      <c r="A67" s="217" t="s">
        <v>58</v>
      </c>
      <c r="B67" s="217" t="s">
        <v>146</v>
      </c>
      <c r="C67" s="218">
        <v>4545536.0201280024</v>
      </c>
      <c r="D67" s="219">
        <v>1.0899999999999993E-2</v>
      </c>
      <c r="E67" s="220">
        <f t="shared" si="0"/>
        <v>49546.342619395196</v>
      </c>
    </row>
    <row r="68" spans="1:5" ht="15.75" x14ac:dyDescent="0.3">
      <c r="A68" s="217" t="s">
        <v>58</v>
      </c>
      <c r="B68" s="217" t="s">
        <v>147</v>
      </c>
      <c r="C68" s="218">
        <f>7376088.3144-152794.35</f>
        <v>7223293.9643999999</v>
      </c>
      <c r="D68" s="219">
        <v>1.0899999999999993E-2</v>
      </c>
      <c r="E68" s="220">
        <f t="shared" si="0"/>
        <v>78733.904211959947</v>
      </c>
    </row>
    <row r="69" spans="1:5" ht="15.75" x14ac:dyDescent="0.3">
      <c r="A69" s="217" t="s">
        <v>58</v>
      </c>
      <c r="B69" s="217" t="s">
        <v>131</v>
      </c>
      <c r="C69" s="224">
        <v>152794.3456</v>
      </c>
      <c r="D69" s="219">
        <v>5.5799999999999961E-2</v>
      </c>
      <c r="E69" s="220">
        <f t="shared" ref="E69:E131" si="15">C69*D69</f>
        <v>8525.9244844799941</v>
      </c>
    </row>
    <row r="70" spans="1:5" s="223" customFormat="1" ht="15.75" x14ac:dyDescent="0.3">
      <c r="A70" s="221" t="s">
        <v>148</v>
      </c>
      <c r="B70" s="221"/>
      <c r="C70" s="222">
        <f t="shared" ref="C70" si="16">SUM(C66:C69)</f>
        <v>12597044.108928001</v>
      </c>
      <c r="D70" s="222"/>
      <c r="E70" s="222">
        <f>SUM(E66:E69)</f>
        <v>144168.24690475513</v>
      </c>
    </row>
    <row r="71" spans="1:5" ht="15.75" x14ac:dyDescent="0.3">
      <c r="A71" s="217" t="s">
        <v>48</v>
      </c>
      <c r="B71" s="217" t="s">
        <v>128</v>
      </c>
      <c r="C71" s="218">
        <v>4444732.6560000004</v>
      </c>
      <c r="D71" s="219">
        <v>1.0899999999999993E-2</v>
      </c>
      <c r="E71" s="220">
        <f t="shared" si="15"/>
        <v>48447.585950399975</v>
      </c>
    </row>
    <row r="72" spans="1:5" ht="15.75" x14ac:dyDescent="0.3">
      <c r="A72" s="217" t="s">
        <v>48</v>
      </c>
      <c r="B72" s="217" t="s">
        <v>129</v>
      </c>
      <c r="C72" s="218">
        <v>57460</v>
      </c>
      <c r="D72" s="219">
        <v>2.5599999999999956E-2</v>
      </c>
      <c r="E72" s="220">
        <f t="shared" si="15"/>
        <v>1470.9759999999974</v>
      </c>
    </row>
    <row r="73" spans="1:5" ht="15.75" x14ac:dyDescent="0.3">
      <c r="A73" s="217" t="s">
        <v>48</v>
      </c>
      <c r="B73" s="217" t="s">
        <v>130</v>
      </c>
      <c r="C73" s="218">
        <v>354194.88</v>
      </c>
      <c r="D73" s="219">
        <v>2.5999999999999912E-3</v>
      </c>
      <c r="E73" s="220">
        <f t="shared" si="15"/>
        <v>920.90668799999685</v>
      </c>
    </row>
    <row r="74" spans="1:5" ht="15.75" x14ac:dyDescent="0.3">
      <c r="A74" s="217" t="s">
        <v>48</v>
      </c>
      <c r="B74" s="217" t="s">
        <v>131</v>
      </c>
      <c r="C74" s="218">
        <v>62971.071800000012</v>
      </c>
      <c r="D74" s="219">
        <v>5.5799999999999961E-2</v>
      </c>
      <c r="E74" s="220">
        <f t="shared" si="15"/>
        <v>3513.7858064399984</v>
      </c>
    </row>
    <row r="75" spans="1:5" s="223" customFormat="1" ht="15.75" x14ac:dyDescent="0.3">
      <c r="A75" s="221" t="s">
        <v>149</v>
      </c>
      <c r="B75" s="221"/>
      <c r="C75" s="222">
        <f t="shared" ref="C75" si="17">SUM(C71:C74)</f>
        <v>4919358.6078000003</v>
      </c>
      <c r="D75" s="222"/>
      <c r="E75" s="222">
        <f>SUM(E71:E74)</f>
        <v>54353.254444839964</v>
      </c>
    </row>
    <row r="76" spans="1:5" ht="15.75" x14ac:dyDescent="0.3">
      <c r="A76" s="217" t="s">
        <v>29</v>
      </c>
      <c r="B76" s="217" t="s">
        <v>128</v>
      </c>
      <c r="C76" s="218">
        <v>1110215.3483</v>
      </c>
      <c r="D76" s="219">
        <v>1.0899999999999993E-2</v>
      </c>
      <c r="E76" s="220">
        <f t="shared" si="15"/>
        <v>12101.347296469992</v>
      </c>
    </row>
    <row r="77" spans="1:5" ht="15.75" x14ac:dyDescent="0.3">
      <c r="A77" s="217" t="s">
        <v>29</v>
      </c>
      <c r="B77" s="217" t="s">
        <v>129</v>
      </c>
      <c r="C77" s="218">
        <v>210856.28910000002</v>
      </c>
      <c r="D77" s="219">
        <v>2.5599999999999956E-2</v>
      </c>
      <c r="E77" s="220">
        <f t="shared" si="15"/>
        <v>5397.921000959991</v>
      </c>
    </row>
    <row r="78" spans="1:5" ht="15.75" x14ac:dyDescent="0.3">
      <c r="A78" s="217" t="s">
        <v>29</v>
      </c>
      <c r="B78" s="217" t="s">
        <v>131</v>
      </c>
      <c r="C78" s="218">
        <v>37574.793799999999</v>
      </c>
      <c r="D78" s="219">
        <v>5.5799999999999961E-2</v>
      </c>
      <c r="E78" s="220">
        <f t="shared" si="15"/>
        <v>2096.6734940399983</v>
      </c>
    </row>
    <row r="79" spans="1:5" s="223" customFormat="1" ht="15.75" x14ac:dyDescent="0.3">
      <c r="A79" s="221" t="s">
        <v>150</v>
      </c>
      <c r="B79" s="221"/>
      <c r="C79" s="222">
        <f t="shared" ref="C79" si="18">SUM(C76:C78)</f>
        <v>1358646.4312</v>
      </c>
      <c r="D79" s="222"/>
      <c r="E79" s="222">
        <f>SUM(E76:E78)</f>
        <v>19595.941791469981</v>
      </c>
    </row>
    <row r="80" spans="1:5" ht="15.75" x14ac:dyDescent="0.3">
      <c r="A80" s="217" t="s">
        <v>7</v>
      </c>
      <c r="B80" s="217" t="s">
        <v>128</v>
      </c>
      <c r="C80" s="218">
        <v>326845.51900000003</v>
      </c>
      <c r="D80" s="219">
        <v>1.0899999999999993E-2</v>
      </c>
      <c r="E80" s="220">
        <f t="shared" si="15"/>
        <v>3562.616157099998</v>
      </c>
    </row>
    <row r="81" spans="1:5" ht="15.75" x14ac:dyDescent="0.3">
      <c r="A81" s="217" t="s">
        <v>7</v>
      </c>
      <c r="B81" s="217" t="s">
        <v>129</v>
      </c>
      <c r="C81" s="218">
        <v>48320.590811000002</v>
      </c>
      <c r="D81" s="219">
        <v>2.5599999999999956E-2</v>
      </c>
      <c r="E81" s="220">
        <f t="shared" si="15"/>
        <v>1237.0071247615979</v>
      </c>
    </row>
    <row r="82" spans="1:5" ht="15.75" x14ac:dyDescent="0.3">
      <c r="A82" s="217" t="s">
        <v>7</v>
      </c>
      <c r="B82" s="217" t="s">
        <v>130</v>
      </c>
      <c r="C82" s="218">
        <v>48984</v>
      </c>
      <c r="D82" s="219">
        <v>2.5999999999999912E-3</v>
      </c>
      <c r="E82" s="220">
        <f t="shared" si="15"/>
        <v>127.35839999999956</v>
      </c>
    </row>
    <row r="83" spans="1:5" ht="15.75" x14ac:dyDescent="0.3">
      <c r="A83" s="217" t="s">
        <v>7</v>
      </c>
      <c r="B83" s="217" t="s">
        <v>131</v>
      </c>
      <c r="C83" s="218">
        <v>66262.674599999998</v>
      </c>
      <c r="D83" s="219">
        <v>5.5799999999999961E-2</v>
      </c>
      <c r="E83" s="220">
        <f t="shared" si="15"/>
        <v>3697.4572426799973</v>
      </c>
    </row>
    <row r="84" spans="1:5" s="223" customFormat="1" ht="15.75" x14ac:dyDescent="0.3">
      <c r="A84" s="221" t="s">
        <v>151</v>
      </c>
      <c r="B84" s="221"/>
      <c r="C84" s="222">
        <f t="shared" ref="C84" si="19">SUM(C80:C83)</f>
        <v>490412.78441100009</v>
      </c>
      <c r="D84" s="222"/>
      <c r="E84" s="222">
        <f>SUM(E80:E83)</f>
        <v>8624.4389245415914</v>
      </c>
    </row>
    <row r="85" spans="1:5" ht="15.75" x14ac:dyDescent="0.3">
      <c r="A85" s="217" t="s">
        <v>18</v>
      </c>
      <c r="B85" s="217" t="s">
        <v>128</v>
      </c>
      <c r="C85" s="218">
        <v>528499.22199999995</v>
      </c>
      <c r="D85" s="219">
        <v>1.0899999999999993E-2</v>
      </c>
      <c r="E85" s="220">
        <f t="shared" si="15"/>
        <v>5760.6415197999959</v>
      </c>
    </row>
    <row r="86" spans="1:5" ht="15.75" x14ac:dyDescent="0.3">
      <c r="A86" s="217" t="s">
        <v>18</v>
      </c>
      <c r="B86" s="217" t="s">
        <v>129</v>
      </c>
      <c r="C86" s="218">
        <v>234931.56830000001</v>
      </c>
      <c r="D86" s="219">
        <v>2.5599999999999956E-2</v>
      </c>
      <c r="E86" s="220">
        <f t="shared" si="15"/>
        <v>6014.24814847999</v>
      </c>
    </row>
    <row r="87" spans="1:5" ht="15.75" x14ac:dyDescent="0.3">
      <c r="A87" s="217" t="s">
        <v>18</v>
      </c>
      <c r="B87" s="217" t="s">
        <v>130</v>
      </c>
      <c r="C87" s="218">
        <f>244153.26-59727.5</f>
        <v>184425.76</v>
      </c>
      <c r="D87" s="219">
        <v>2.5999999999999912E-3</v>
      </c>
      <c r="E87" s="220">
        <f t="shared" si="15"/>
        <v>479.50697599999842</v>
      </c>
    </row>
    <row r="88" spans="1:5" ht="15.75" x14ac:dyDescent="0.3">
      <c r="A88" s="217" t="s">
        <v>18</v>
      </c>
      <c r="B88" s="217" t="s">
        <v>131</v>
      </c>
      <c r="C88" s="224">
        <v>59727.5</v>
      </c>
      <c r="D88" s="219">
        <v>5.5799999999999961E-2</v>
      </c>
      <c r="E88" s="220">
        <f t="shared" si="15"/>
        <v>3332.7944999999977</v>
      </c>
    </row>
    <row r="89" spans="1:5" s="223" customFormat="1" ht="15.75" x14ac:dyDescent="0.3">
      <c r="A89" s="221" t="s">
        <v>152</v>
      </c>
      <c r="B89" s="221"/>
      <c r="C89" s="222">
        <f t="shared" ref="C89" si="20">SUM(C85:C88)</f>
        <v>1007584.0503</v>
      </c>
      <c r="D89" s="222"/>
      <c r="E89" s="222">
        <f>SUM(E85:E88)</f>
        <v>15587.191144279983</v>
      </c>
    </row>
    <row r="90" spans="1:5" ht="15.75" x14ac:dyDescent="0.3">
      <c r="A90" s="217" t="s">
        <v>8</v>
      </c>
      <c r="B90" s="217" t="s">
        <v>128</v>
      </c>
      <c r="C90" s="218">
        <v>332317.44</v>
      </c>
      <c r="D90" s="219">
        <v>1.0899999999999993E-2</v>
      </c>
      <c r="E90" s="220">
        <f t="shared" si="15"/>
        <v>3622.2600959999977</v>
      </c>
    </row>
    <row r="91" spans="1:5" ht="15.75" x14ac:dyDescent="0.3">
      <c r="A91" s="217" t="s">
        <v>8</v>
      </c>
      <c r="B91" s="217" t="s">
        <v>129</v>
      </c>
      <c r="C91" s="218">
        <v>8047.5199999999977</v>
      </c>
      <c r="D91" s="219">
        <v>2.5599999999999956E-2</v>
      </c>
      <c r="E91" s="220">
        <f t="shared" si="15"/>
        <v>206.01651199999958</v>
      </c>
    </row>
    <row r="92" spans="1:5" ht="15.75" x14ac:dyDescent="0.3">
      <c r="A92" s="217" t="s">
        <v>8</v>
      </c>
      <c r="B92" s="217" t="s">
        <v>131</v>
      </c>
      <c r="C92" s="218">
        <v>45807.72</v>
      </c>
      <c r="D92" s="219">
        <v>5.5799999999999961E-2</v>
      </c>
      <c r="E92" s="220">
        <f t="shared" si="15"/>
        <v>2556.0707759999982</v>
      </c>
    </row>
    <row r="93" spans="1:5" s="223" customFormat="1" ht="15.75" x14ac:dyDescent="0.3">
      <c r="A93" s="221" t="s">
        <v>153</v>
      </c>
      <c r="B93" s="221"/>
      <c r="C93" s="222">
        <f t="shared" ref="C93" si="21">SUM(C90:C92)</f>
        <v>386172.68000000005</v>
      </c>
      <c r="D93" s="222"/>
      <c r="E93" s="222">
        <f>SUM(E90:E92)</f>
        <v>6384.3473839999951</v>
      </c>
    </row>
    <row r="94" spans="1:5" ht="15.75" x14ac:dyDescent="0.3">
      <c r="A94" s="217" t="s">
        <v>9</v>
      </c>
      <c r="B94" s="217" t="s">
        <v>128</v>
      </c>
      <c r="C94" s="218">
        <v>292111.87200000003</v>
      </c>
      <c r="D94" s="219">
        <v>1.0899999999999993E-2</v>
      </c>
      <c r="E94" s="220">
        <f t="shared" si="15"/>
        <v>3184.0194047999985</v>
      </c>
    </row>
    <row r="95" spans="1:5" ht="15.75" x14ac:dyDescent="0.3">
      <c r="A95" s="217" t="s">
        <v>9</v>
      </c>
      <c r="B95" s="217" t="s">
        <v>129</v>
      </c>
      <c r="C95" s="218">
        <v>8238.8799999999992</v>
      </c>
      <c r="D95" s="219">
        <v>2.5599999999999956E-2</v>
      </c>
      <c r="E95" s="220">
        <f t="shared" si="15"/>
        <v>210.91532799999962</v>
      </c>
    </row>
    <row r="96" spans="1:5" ht="15.75" x14ac:dyDescent="0.3">
      <c r="A96" s="217" t="s">
        <v>9</v>
      </c>
      <c r="B96" s="217" t="s">
        <v>131</v>
      </c>
      <c r="C96" s="218">
        <v>52667</v>
      </c>
      <c r="D96" s="219">
        <v>5.5799999999999961E-2</v>
      </c>
      <c r="E96" s="220">
        <f t="shared" si="15"/>
        <v>2938.8185999999978</v>
      </c>
    </row>
    <row r="97" spans="1:5" s="223" customFormat="1" ht="15.75" x14ac:dyDescent="0.3">
      <c r="A97" s="221" t="s">
        <v>154</v>
      </c>
      <c r="B97" s="221"/>
      <c r="C97" s="222">
        <f t="shared" ref="C97" si="22">SUM(C94:C96)</f>
        <v>353017.75200000004</v>
      </c>
      <c r="D97" s="222"/>
      <c r="E97" s="222">
        <f>SUM(E94:E96)</f>
        <v>6333.7533327999954</v>
      </c>
    </row>
    <row r="98" spans="1:5" ht="15.75" x14ac:dyDescent="0.3">
      <c r="A98" s="217" t="s">
        <v>10</v>
      </c>
      <c r="B98" s="217" t="s">
        <v>128</v>
      </c>
      <c r="C98" s="218">
        <v>305650.06299999997</v>
      </c>
      <c r="D98" s="219">
        <v>1.0899999999999993E-2</v>
      </c>
      <c r="E98" s="220">
        <f t="shared" si="15"/>
        <v>3331.5856866999975</v>
      </c>
    </row>
    <row r="99" spans="1:5" ht="15.75" x14ac:dyDescent="0.3">
      <c r="A99" s="217" t="s">
        <v>10</v>
      </c>
      <c r="B99" s="217" t="s">
        <v>129</v>
      </c>
      <c r="C99" s="218">
        <v>19000</v>
      </c>
      <c r="D99" s="219">
        <v>2.5599999999999956E-2</v>
      </c>
      <c r="E99" s="220">
        <f t="shared" si="15"/>
        <v>486.39999999999918</v>
      </c>
    </row>
    <row r="100" spans="1:5" ht="15.75" x14ac:dyDescent="0.3">
      <c r="A100" s="217" t="s">
        <v>10</v>
      </c>
      <c r="B100" s="217" t="s">
        <v>131</v>
      </c>
      <c r="C100" s="218">
        <v>53874.5</v>
      </c>
      <c r="D100" s="219">
        <v>5.5799999999999961E-2</v>
      </c>
      <c r="E100" s="220">
        <f t="shared" si="15"/>
        <v>3006.197099999998</v>
      </c>
    </row>
    <row r="101" spans="1:5" s="223" customFormat="1" ht="15.75" x14ac:dyDescent="0.3">
      <c r="A101" s="221" t="s">
        <v>155</v>
      </c>
      <c r="B101" s="221"/>
      <c r="C101" s="222">
        <f t="shared" ref="C101" si="23">SUM(C98:C100)</f>
        <v>378524.56299999997</v>
      </c>
      <c r="D101" s="222"/>
      <c r="E101" s="222">
        <f>SUM(E98:E100)</f>
        <v>6824.1827866999947</v>
      </c>
    </row>
    <row r="102" spans="1:5" ht="15.75" x14ac:dyDescent="0.3">
      <c r="A102" s="217" t="s">
        <v>11</v>
      </c>
      <c r="B102" s="217" t="s">
        <v>128</v>
      </c>
      <c r="C102" s="218">
        <v>266777.56</v>
      </c>
      <c r="D102" s="219">
        <v>1.0899999999999993E-2</v>
      </c>
      <c r="E102" s="220">
        <f t="shared" si="15"/>
        <v>2907.8754039999981</v>
      </c>
    </row>
    <row r="103" spans="1:5" ht="15.75" x14ac:dyDescent="0.3">
      <c r="A103" s="217" t="s">
        <v>11</v>
      </c>
      <c r="B103" s="217" t="s">
        <v>129</v>
      </c>
      <c r="C103" s="218">
        <v>42515.199999999997</v>
      </c>
      <c r="D103" s="219">
        <v>2.5599999999999956E-2</v>
      </c>
      <c r="E103" s="220">
        <f t="shared" si="15"/>
        <v>1088.389119999998</v>
      </c>
    </row>
    <row r="104" spans="1:5" ht="15.75" x14ac:dyDescent="0.3">
      <c r="A104" s="217" t="s">
        <v>11</v>
      </c>
      <c r="B104" s="217" t="s">
        <v>131</v>
      </c>
      <c r="C104" s="218">
        <v>53846</v>
      </c>
      <c r="D104" s="219">
        <v>5.5799999999999961E-2</v>
      </c>
      <c r="E104" s="220">
        <f t="shared" si="15"/>
        <v>3004.6067999999977</v>
      </c>
    </row>
    <row r="105" spans="1:5" s="223" customFormat="1" ht="15.75" x14ac:dyDescent="0.3">
      <c r="A105" s="221" t="s">
        <v>156</v>
      </c>
      <c r="B105" s="221"/>
      <c r="C105" s="222">
        <f t="shared" ref="C105" si="24">SUM(C102:C104)</f>
        <v>363138.76</v>
      </c>
      <c r="D105" s="222"/>
      <c r="E105" s="222">
        <f>SUM(E102:E104)</f>
        <v>7000.8713239999943</v>
      </c>
    </row>
    <row r="106" spans="1:5" ht="15.75" x14ac:dyDescent="0.3">
      <c r="A106" s="217" t="s">
        <v>19</v>
      </c>
      <c r="B106" s="217" t="s">
        <v>128</v>
      </c>
      <c r="C106" s="218">
        <v>378828.00799999997</v>
      </c>
      <c r="D106" s="219">
        <v>1.0899999999999993E-2</v>
      </c>
      <c r="E106" s="220">
        <f t="shared" si="15"/>
        <v>4129.2252871999972</v>
      </c>
    </row>
    <row r="107" spans="1:5" ht="15.75" x14ac:dyDescent="0.3">
      <c r="A107" s="217" t="s">
        <v>19</v>
      </c>
      <c r="B107" s="217" t="s">
        <v>130</v>
      </c>
      <c r="C107" s="218">
        <v>122535.92</v>
      </c>
      <c r="D107" s="219">
        <v>2.5999999999999912E-3</v>
      </c>
      <c r="E107" s="220">
        <f t="shared" si="15"/>
        <v>318.59339199999891</v>
      </c>
    </row>
    <row r="108" spans="1:5" ht="15.75" x14ac:dyDescent="0.3">
      <c r="A108" s="217" t="s">
        <v>19</v>
      </c>
      <c r="B108" s="217" t="s">
        <v>131</v>
      </c>
      <c r="C108" s="218">
        <v>67485</v>
      </c>
      <c r="D108" s="219">
        <v>5.5799999999999961E-2</v>
      </c>
      <c r="E108" s="220">
        <f t="shared" si="15"/>
        <v>3765.6629999999973</v>
      </c>
    </row>
    <row r="109" spans="1:5" s="223" customFormat="1" ht="15.75" x14ac:dyDescent="0.3">
      <c r="A109" s="221" t="s">
        <v>157</v>
      </c>
      <c r="B109" s="221"/>
      <c r="C109" s="222">
        <f t="shared" ref="C109" si="25">SUM(C106:C108)</f>
        <v>568848.92799999996</v>
      </c>
      <c r="D109" s="222"/>
      <c r="E109" s="222">
        <f>SUM(E106:E108)</f>
        <v>8213.4816791999929</v>
      </c>
    </row>
    <row r="110" spans="1:5" ht="15.75" x14ac:dyDescent="0.3">
      <c r="A110" s="217" t="s">
        <v>20</v>
      </c>
      <c r="B110" s="217" t="s">
        <v>128</v>
      </c>
      <c r="C110" s="218">
        <v>706312.28</v>
      </c>
      <c r="D110" s="219">
        <v>1.0899999999999993E-2</v>
      </c>
      <c r="E110" s="220">
        <f t="shared" si="15"/>
        <v>7698.8038519999955</v>
      </c>
    </row>
    <row r="111" spans="1:5" ht="15.75" x14ac:dyDescent="0.3">
      <c r="A111" s="217" t="s">
        <v>20</v>
      </c>
      <c r="B111" s="217" t="s">
        <v>130</v>
      </c>
      <c r="C111" s="218">
        <v>18799.02</v>
      </c>
      <c r="D111" s="219">
        <v>2.5999999999999912E-3</v>
      </c>
      <c r="E111" s="220">
        <f t="shared" si="15"/>
        <v>48.877451999999835</v>
      </c>
    </row>
    <row r="112" spans="1:5" ht="15.75" x14ac:dyDescent="0.3">
      <c r="A112" s="217" t="s">
        <v>20</v>
      </c>
      <c r="B112" s="217" t="s">
        <v>131</v>
      </c>
      <c r="C112" s="218">
        <v>70497.599999999991</v>
      </c>
      <c r="D112" s="219">
        <v>5.5799999999999961E-2</v>
      </c>
      <c r="E112" s="220">
        <f t="shared" si="15"/>
        <v>3933.7660799999967</v>
      </c>
    </row>
    <row r="113" spans="1:5" s="223" customFormat="1" ht="15.75" x14ac:dyDescent="0.3">
      <c r="A113" s="221" t="s">
        <v>158</v>
      </c>
      <c r="B113" s="221"/>
      <c r="C113" s="222">
        <f t="shared" ref="C113" si="26">SUM(C110:C112)</f>
        <v>795608.9</v>
      </c>
      <c r="D113" s="222"/>
      <c r="E113" s="222">
        <f>SUM(E110:E112)</f>
        <v>11681.447383999992</v>
      </c>
    </row>
    <row r="114" spans="1:5" ht="15.75" x14ac:dyDescent="0.3">
      <c r="A114" s="217" t="s">
        <v>39</v>
      </c>
      <c r="B114" s="217" t="s">
        <v>128</v>
      </c>
      <c r="C114" s="218">
        <v>2198625.5</v>
      </c>
      <c r="D114" s="219">
        <v>1.0899999999999993E-2</v>
      </c>
      <c r="E114" s="220">
        <f t="shared" si="15"/>
        <v>23965.017949999983</v>
      </c>
    </row>
    <row r="115" spans="1:5" ht="15.75" x14ac:dyDescent="0.3">
      <c r="A115" s="217" t="s">
        <v>39</v>
      </c>
      <c r="B115" s="217" t="s">
        <v>129</v>
      </c>
      <c r="C115" s="218">
        <v>205965</v>
      </c>
      <c r="D115" s="219">
        <v>2.5599999999999956E-2</v>
      </c>
      <c r="E115" s="220">
        <f t="shared" si="15"/>
        <v>5272.7039999999906</v>
      </c>
    </row>
    <row r="116" spans="1:5" ht="15.75" x14ac:dyDescent="0.3">
      <c r="A116" s="217" t="s">
        <v>39</v>
      </c>
      <c r="B116" s="217" t="s">
        <v>130</v>
      </c>
      <c r="C116" s="218">
        <v>43056</v>
      </c>
      <c r="D116" s="219">
        <v>2.5999999999999912E-3</v>
      </c>
      <c r="E116" s="220">
        <f t="shared" si="15"/>
        <v>111.94559999999962</v>
      </c>
    </row>
    <row r="117" spans="1:5" ht="15.75" x14ac:dyDescent="0.3">
      <c r="A117" s="217" t="s">
        <v>39</v>
      </c>
      <c r="B117" s="217" t="s">
        <v>131</v>
      </c>
      <c r="C117" s="218">
        <v>71713</v>
      </c>
      <c r="D117" s="219">
        <v>5.5799999999999961E-2</v>
      </c>
      <c r="E117" s="220">
        <f t="shared" si="15"/>
        <v>4001.5853999999972</v>
      </c>
    </row>
    <row r="118" spans="1:5" s="223" customFormat="1" ht="15.75" x14ac:dyDescent="0.3">
      <c r="A118" s="221" t="s">
        <v>159</v>
      </c>
      <c r="B118" s="221"/>
      <c r="C118" s="222">
        <f t="shared" ref="C118" si="27">SUM(C114:C117)</f>
        <v>2519359.5</v>
      </c>
      <c r="D118" s="222"/>
      <c r="E118" s="222">
        <f>SUM(E114:E117)</f>
        <v>33351.252949999973</v>
      </c>
    </row>
    <row r="119" spans="1:5" ht="15.75" x14ac:dyDescent="0.3">
      <c r="A119" s="217" t="s">
        <v>30</v>
      </c>
      <c r="B119" s="217" t="s">
        <v>128</v>
      </c>
      <c r="C119" s="218">
        <v>1177566.0800000003</v>
      </c>
      <c r="D119" s="219">
        <v>1.0899999999999993E-2</v>
      </c>
      <c r="E119" s="220">
        <f t="shared" si="15"/>
        <v>12835.470271999995</v>
      </c>
    </row>
    <row r="120" spans="1:5" ht="15.75" x14ac:dyDescent="0.3">
      <c r="A120" s="217" t="s">
        <v>30</v>
      </c>
      <c r="B120" s="217" t="s">
        <v>129</v>
      </c>
      <c r="C120" s="218">
        <v>328269.38</v>
      </c>
      <c r="D120" s="219">
        <v>2.5599999999999956E-2</v>
      </c>
      <c r="E120" s="220">
        <f t="shared" si="15"/>
        <v>8403.696127999985</v>
      </c>
    </row>
    <row r="121" spans="1:5" ht="15.75" x14ac:dyDescent="0.3">
      <c r="A121" s="217" t="s">
        <v>30</v>
      </c>
      <c r="B121" s="217" t="s">
        <v>130</v>
      </c>
      <c r="C121" s="218">
        <v>31054.43</v>
      </c>
      <c r="D121" s="219">
        <v>2.5999999999999912E-3</v>
      </c>
      <c r="E121" s="220">
        <f t="shared" si="15"/>
        <v>80.741517999999729</v>
      </c>
    </row>
    <row r="122" spans="1:5" ht="15.75" x14ac:dyDescent="0.3">
      <c r="A122" s="217" t="s">
        <v>30</v>
      </c>
      <c r="B122" s="217" t="s">
        <v>131</v>
      </c>
      <c r="C122" s="218">
        <v>54065.87999999999</v>
      </c>
      <c r="D122" s="219">
        <v>5.5799999999999961E-2</v>
      </c>
      <c r="E122" s="220">
        <f t="shared" si="15"/>
        <v>3016.8761039999972</v>
      </c>
    </row>
    <row r="123" spans="1:5" s="223" customFormat="1" ht="15.75" x14ac:dyDescent="0.3">
      <c r="A123" s="221" t="s">
        <v>160</v>
      </c>
      <c r="B123" s="221"/>
      <c r="C123" s="222">
        <f t="shared" ref="C123" si="28">SUM(C119:C122)</f>
        <v>1590955.7700000003</v>
      </c>
      <c r="D123" s="222"/>
      <c r="E123" s="222">
        <f>SUM(E119:E122)</f>
        <v>24336.784021999978</v>
      </c>
    </row>
    <row r="124" spans="1:5" ht="15.75" x14ac:dyDescent="0.3">
      <c r="A124" s="217" t="s">
        <v>64</v>
      </c>
      <c r="B124" s="217" t="s">
        <v>128</v>
      </c>
      <c r="C124" s="218">
        <v>17442295.754630413</v>
      </c>
      <c r="D124" s="219">
        <v>1.0899999999999993E-2</v>
      </c>
      <c r="E124" s="220">
        <f t="shared" si="15"/>
        <v>190121.02372547137</v>
      </c>
    </row>
    <row r="125" spans="1:5" ht="15.75" x14ac:dyDescent="0.3">
      <c r="A125" s="217" t="s">
        <v>64</v>
      </c>
      <c r="B125" s="217" t="s">
        <v>129</v>
      </c>
      <c r="C125" s="218">
        <v>222903.36509760004</v>
      </c>
      <c r="D125" s="219">
        <v>2.5599999999999956E-2</v>
      </c>
      <c r="E125" s="220">
        <f t="shared" si="15"/>
        <v>5706.3261464985508</v>
      </c>
    </row>
    <row r="126" spans="1:5" ht="15.75" x14ac:dyDescent="0.3">
      <c r="A126" s="217" t="s">
        <v>64</v>
      </c>
      <c r="B126" s="217" t="s">
        <v>130</v>
      </c>
      <c r="C126" s="218">
        <v>1806232.4179199999</v>
      </c>
      <c r="D126" s="219">
        <v>2.5999999999999912E-3</v>
      </c>
      <c r="E126" s="220">
        <f t="shared" si="15"/>
        <v>4696.2042865919839</v>
      </c>
    </row>
    <row r="127" spans="1:5" ht="15.75" x14ac:dyDescent="0.3">
      <c r="A127" s="217" t="s">
        <v>64</v>
      </c>
      <c r="B127" s="217" t="s">
        <v>131</v>
      </c>
      <c r="C127" s="218">
        <v>111129.77043</v>
      </c>
      <c r="D127" s="219">
        <v>5.5799999999999961E-2</v>
      </c>
      <c r="E127" s="220">
        <f t="shared" si="15"/>
        <v>6201.0411899939954</v>
      </c>
    </row>
    <row r="128" spans="1:5" s="223" customFormat="1" ht="15.75" x14ac:dyDescent="0.3">
      <c r="A128" s="221" t="s">
        <v>161</v>
      </c>
      <c r="B128" s="221"/>
      <c r="C128" s="222">
        <f t="shared" ref="C128" si="29">SUM(C124:C127)</f>
        <v>19582561.308078013</v>
      </c>
      <c r="D128" s="222"/>
      <c r="E128" s="222">
        <f>SUM(E124:E127)</f>
        <v>206724.59534855591</v>
      </c>
    </row>
    <row r="129" spans="1:5" ht="15.75" x14ac:dyDescent="0.3">
      <c r="A129" s="217" t="s">
        <v>12</v>
      </c>
      <c r="B129" s="217" t="s">
        <v>128</v>
      </c>
      <c r="C129" s="218">
        <v>201389.32500000001</v>
      </c>
      <c r="D129" s="219">
        <v>1.0899999999999993E-2</v>
      </c>
      <c r="E129" s="220">
        <f t="shared" si="15"/>
        <v>2195.1436424999988</v>
      </c>
    </row>
    <row r="130" spans="1:5" ht="15.75" x14ac:dyDescent="0.3">
      <c r="A130" s="217" t="s">
        <v>12</v>
      </c>
      <c r="B130" s="217" t="s">
        <v>129</v>
      </c>
      <c r="C130" s="218">
        <v>108155.34999999999</v>
      </c>
      <c r="D130" s="219">
        <v>2.5599999999999956E-2</v>
      </c>
      <c r="E130" s="220">
        <f t="shared" si="15"/>
        <v>2768.7769599999951</v>
      </c>
    </row>
    <row r="131" spans="1:5" ht="15.75" x14ac:dyDescent="0.3">
      <c r="A131" s="217" t="s">
        <v>12</v>
      </c>
      <c r="B131" s="217" t="s">
        <v>131</v>
      </c>
      <c r="C131" s="218">
        <v>64626</v>
      </c>
      <c r="D131" s="219">
        <v>5.5799999999999961E-2</v>
      </c>
      <c r="E131" s="220">
        <f t="shared" si="15"/>
        <v>3606.1307999999976</v>
      </c>
    </row>
    <row r="132" spans="1:5" s="223" customFormat="1" ht="15.75" x14ac:dyDescent="0.3">
      <c r="A132" s="221" t="s">
        <v>162</v>
      </c>
      <c r="B132" s="221"/>
      <c r="C132" s="222">
        <f t="shared" ref="C132" si="30">SUM(C129:C131)</f>
        <v>374170.67499999999</v>
      </c>
      <c r="D132" s="222"/>
      <c r="E132" s="222">
        <f>SUM(E129:E131)</f>
        <v>8570.051402499992</v>
      </c>
    </row>
    <row r="133" spans="1:5" ht="15.75" x14ac:dyDescent="0.3">
      <c r="A133" s="217" t="s">
        <v>31</v>
      </c>
      <c r="B133" s="217" t="s">
        <v>128</v>
      </c>
      <c r="C133" s="218">
        <v>1920701.6950000003</v>
      </c>
      <c r="D133" s="219">
        <v>1.0899999999999993E-2</v>
      </c>
      <c r="E133" s="220">
        <f t="shared" ref="E133:E197" si="31">C133*D133</f>
        <v>20935.648475499991</v>
      </c>
    </row>
    <row r="134" spans="1:5" ht="15.75" x14ac:dyDescent="0.3">
      <c r="A134" s="217" t="s">
        <v>31</v>
      </c>
      <c r="B134" s="217" t="s">
        <v>129</v>
      </c>
      <c r="C134" s="218">
        <v>94667.25</v>
      </c>
      <c r="D134" s="219">
        <v>2.5599999999999956E-2</v>
      </c>
      <c r="E134" s="220">
        <f t="shared" si="31"/>
        <v>2423.481599999996</v>
      </c>
    </row>
    <row r="135" spans="1:5" ht="15.75" x14ac:dyDescent="0.3">
      <c r="A135" s="217" t="s">
        <v>31</v>
      </c>
      <c r="B135" s="217" t="s">
        <v>130</v>
      </c>
      <c r="C135" s="218">
        <f>324665.64-84969.34</f>
        <v>239696.30000000002</v>
      </c>
      <c r="D135" s="219">
        <v>2.5999999999999912E-3</v>
      </c>
      <c r="E135" s="220">
        <f t="shared" si="31"/>
        <v>623.21037999999794</v>
      </c>
    </row>
    <row r="136" spans="1:5" ht="15.75" x14ac:dyDescent="0.3">
      <c r="A136" s="217" t="s">
        <v>31</v>
      </c>
      <c r="B136" s="217" t="s">
        <v>131</v>
      </c>
      <c r="C136" s="224">
        <v>84969.34</v>
      </c>
      <c r="D136" s="219">
        <v>5.5799999999999961E-2</v>
      </c>
      <c r="E136" s="220">
        <f t="shared" si="31"/>
        <v>4741.2891719999961</v>
      </c>
    </row>
    <row r="137" spans="1:5" s="223" customFormat="1" ht="15.75" x14ac:dyDescent="0.3">
      <c r="A137" s="221" t="s">
        <v>163</v>
      </c>
      <c r="B137" s="221"/>
      <c r="C137" s="222">
        <f t="shared" ref="C137" si="32">SUM(C133:C136)</f>
        <v>2340034.585</v>
      </c>
      <c r="D137" s="222"/>
      <c r="E137" s="222">
        <f>SUM(E133:E136)</f>
        <v>28723.62962749998</v>
      </c>
    </row>
    <row r="138" spans="1:5" ht="15.75" x14ac:dyDescent="0.3">
      <c r="A138" s="217" t="s">
        <v>21</v>
      </c>
      <c r="B138" s="217" t="s">
        <v>128</v>
      </c>
      <c r="C138" s="218">
        <v>667704.79100000008</v>
      </c>
      <c r="D138" s="219">
        <v>1.0899999999999993E-2</v>
      </c>
      <c r="E138" s="220">
        <f t="shared" si="31"/>
        <v>7277.9822218999961</v>
      </c>
    </row>
    <row r="139" spans="1:5" ht="15.75" x14ac:dyDescent="0.3">
      <c r="A139" s="217" t="s">
        <v>21</v>
      </c>
      <c r="B139" s="217" t="s">
        <v>129</v>
      </c>
      <c r="C139" s="218">
        <v>48845.016000000003</v>
      </c>
      <c r="D139" s="219">
        <v>2.5599999999999956E-2</v>
      </c>
      <c r="E139" s="220">
        <f t="shared" si="31"/>
        <v>1250.432409599998</v>
      </c>
    </row>
    <row r="140" spans="1:5" ht="15.75" x14ac:dyDescent="0.3">
      <c r="A140" s="217" t="s">
        <v>21</v>
      </c>
      <c r="B140" s="217" t="s">
        <v>131</v>
      </c>
      <c r="C140" s="218">
        <v>71753.975999999995</v>
      </c>
      <c r="D140" s="219">
        <v>5.5799999999999961E-2</v>
      </c>
      <c r="E140" s="220">
        <f t="shared" si="31"/>
        <v>4003.8718607999967</v>
      </c>
    </row>
    <row r="141" spans="1:5" s="223" customFormat="1" ht="15.75" x14ac:dyDescent="0.3">
      <c r="A141" s="221" t="s">
        <v>164</v>
      </c>
      <c r="B141" s="221"/>
      <c r="C141" s="222">
        <f t="shared" ref="C141" si="33">SUM(C138:C140)</f>
        <v>788303.78300000005</v>
      </c>
      <c r="D141" s="222"/>
      <c r="E141" s="222">
        <f>SUM(E138:E140)</f>
        <v>12532.286492299991</v>
      </c>
    </row>
    <row r="142" spans="1:5" ht="15.75" x14ac:dyDescent="0.3">
      <c r="A142" s="217" t="s">
        <v>13</v>
      </c>
      <c r="B142" s="217" t="s">
        <v>128</v>
      </c>
      <c r="C142" s="218">
        <v>244639</v>
      </c>
      <c r="D142" s="219">
        <v>1.0899999999999993E-2</v>
      </c>
      <c r="E142" s="220">
        <f t="shared" si="31"/>
        <v>2666.5650999999984</v>
      </c>
    </row>
    <row r="143" spans="1:5" ht="15.75" x14ac:dyDescent="0.3">
      <c r="A143" s="217" t="s">
        <v>13</v>
      </c>
      <c r="B143" s="217" t="s">
        <v>129</v>
      </c>
      <c r="C143" s="218">
        <v>36012.6</v>
      </c>
      <c r="D143" s="219">
        <v>2.5599999999999956E-2</v>
      </c>
      <c r="E143" s="220">
        <f t="shared" si="31"/>
        <v>921.92255999999838</v>
      </c>
    </row>
    <row r="144" spans="1:5" ht="15.75" x14ac:dyDescent="0.3">
      <c r="A144" s="217" t="s">
        <v>13</v>
      </c>
      <c r="B144" s="217" t="s">
        <v>131</v>
      </c>
      <c r="C144" s="218">
        <v>53417.5</v>
      </c>
      <c r="D144" s="219">
        <v>5.5799999999999961E-2</v>
      </c>
      <c r="E144" s="220">
        <f t="shared" si="31"/>
        <v>2980.6964999999977</v>
      </c>
    </row>
    <row r="145" spans="1:5" s="223" customFormat="1" ht="15.75" x14ac:dyDescent="0.3">
      <c r="A145" s="221" t="s">
        <v>165</v>
      </c>
      <c r="B145" s="221"/>
      <c r="C145" s="222">
        <f t="shared" ref="C145" si="34">SUM(C142:C144)</f>
        <v>334069.09999999998</v>
      </c>
      <c r="D145" s="222"/>
      <c r="E145" s="222">
        <f>SUM(E142:E144)</f>
        <v>6569.1841599999952</v>
      </c>
    </row>
    <row r="146" spans="1:5" ht="15.75" x14ac:dyDescent="0.3">
      <c r="A146" s="217" t="s">
        <v>2</v>
      </c>
      <c r="B146" s="217" t="s">
        <v>128</v>
      </c>
      <c r="C146" s="218">
        <v>117710.2248</v>
      </c>
      <c r="D146" s="219">
        <v>1.0899999999999993E-2</v>
      </c>
      <c r="E146" s="220">
        <f t="shared" si="31"/>
        <v>1283.0414503199991</v>
      </c>
    </row>
    <row r="147" spans="1:5" ht="15.75" x14ac:dyDescent="0.3">
      <c r="A147" s="217" t="s">
        <v>2</v>
      </c>
      <c r="B147" s="217" t="s">
        <v>131</v>
      </c>
      <c r="C147" s="218">
        <v>58028.915999999997</v>
      </c>
      <c r="D147" s="219">
        <v>5.5799999999999961E-2</v>
      </c>
      <c r="E147" s="220">
        <f t="shared" si="31"/>
        <v>3238.0135127999974</v>
      </c>
    </row>
    <row r="148" spans="1:5" s="223" customFormat="1" ht="15.75" x14ac:dyDescent="0.3">
      <c r="A148" s="221" t="s">
        <v>166</v>
      </c>
      <c r="B148" s="221"/>
      <c r="C148" s="222">
        <f t="shared" ref="C148" si="35">SUM(C146:C147)</f>
        <v>175739.14079999999</v>
      </c>
      <c r="D148" s="222"/>
      <c r="E148" s="222">
        <f>SUM(E146:E147)</f>
        <v>4521.0549631199965</v>
      </c>
    </row>
    <row r="149" spans="1:5" ht="15.75" x14ac:dyDescent="0.3">
      <c r="A149" s="217" t="s">
        <v>49</v>
      </c>
      <c r="B149" s="217" t="s">
        <v>128</v>
      </c>
      <c r="C149" s="218">
        <v>3740577.46</v>
      </c>
      <c r="D149" s="219">
        <v>1.0899999999999993E-2</v>
      </c>
      <c r="E149" s="220">
        <f t="shared" si="31"/>
        <v>40772.294313999977</v>
      </c>
    </row>
    <row r="150" spans="1:5" ht="15.75" x14ac:dyDescent="0.3">
      <c r="A150" s="217" t="s">
        <v>49</v>
      </c>
      <c r="B150" s="217" t="s">
        <v>129</v>
      </c>
      <c r="C150" s="218">
        <v>158526.18000000002</v>
      </c>
      <c r="D150" s="219">
        <v>2.5599999999999956E-2</v>
      </c>
      <c r="E150" s="220">
        <f t="shared" si="31"/>
        <v>4058.2702079999935</v>
      </c>
    </row>
    <row r="151" spans="1:5" ht="15.75" x14ac:dyDescent="0.3">
      <c r="A151" s="217" t="s">
        <v>49</v>
      </c>
      <c r="B151" s="217" t="s">
        <v>130</v>
      </c>
      <c r="C151" s="218">
        <v>379730.94</v>
      </c>
      <c r="D151" s="219">
        <v>2.5999999999999912E-3</v>
      </c>
      <c r="E151" s="220">
        <f t="shared" si="31"/>
        <v>987.30044399999667</v>
      </c>
    </row>
    <row r="152" spans="1:5" ht="15.75" x14ac:dyDescent="0.3">
      <c r="A152" s="217" t="s">
        <v>49</v>
      </c>
      <c r="B152" s="217" t="s">
        <v>131</v>
      </c>
      <c r="C152" s="218">
        <v>90935.88</v>
      </c>
      <c r="D152" s="219">
        <v>5.5799999999999961E-2</v>
      </c>
      <c r="E152" s="220">
        <f t="shared" si="31"/>
        <v>5074.2221039999968</v>
      </c>
    </row>
    <row r="153" spans="1:5" s="223" customFormat="1" ht="15.75" x14ac:dyDescent="0.3">
      <c r="A153" s="221" t="s">
        <v>167</v>
      </c>
      <c r="B153" s="221"/>
      <c r="C153" s="222">
        <f t="shared" ref="C153" si="36">SUM(C149:C152)</f>
        <v>4369770.46</v>
      </c>
      <c r="D153" s="222"/>
      <c r="E153" s="222">
        <f>SUM(E149:E152)</f>
        <v>50892.087069999965</v>
      </c>
    </row>
    <row r="154" spans="1:5" ht="15.75" x14ac:dyDescent="0.3">
      <c r="A154" s="217" t="s">
        <v>59</v>
      </c>
      <c r="B154" s="217" t="s">
        <v>128</v>
      </c>
      <c r="C154" s="218">
        <v>6900525.0590000004</v>
      </c>
      <c r="D154" s="219">
        <v>1.0899999999999993E-2</v>
      </c>
      <c r="E154" s="220">
        <f t="shared" si="31"/>
        <v>75215.723143099953</v>
      </c>
    </row>
    <row r="155" spans="1:5" ht="15.75" x14ac:dyDescent="0.3">
      <c r="A155" s="217" t="s">
        <v>59</v>
      </c>
      <c r="B155" s="217" t="s">
        <v>129</v>
      </c>
      <c r="C155" s="218">
        <v>196648.39500000002</v>
      </c>
      <c r="D155" s="219">
        <v>2.5599999999999956E-2</v>
      </c>
      <c r="E155" s="220">
        <f t="shared" si="31"/>
        <v>5034.1989119999917</v>
      </c>
    </row>
    <row r="156" spans="1:5" ht="15.75" x14ac:dyDescent="0.3">
      <c r="A156" s="217" t="s">
        <v>59</v>
      </c>
      <c r="B156" s="217" t="s">
        <v>130</v>
      </c>
      <c r="C156" s="218">
        <v>296084.75</v>
      </c>
      <c r="D156" s="219">
        <v>2.5999999999999912E-3</v>
      </c>
      <c r="E156" s="220">
        <f t="shared" si="31"/>
        <v>769.82034999999735</v>
      </c>
    </row>
    <row r="157" spans="1:5" ht="15.75" x14ac:dyDescent="0.3">
      <c r="A157" s="217" t="s">
        <v>59</v>
      </c>
      <c r="B157" s="217" t="s">
        <v>131</v>
      </c>
      <c r="C157" s="218">
        <f>384135.25-296084.75</f>
        <v>88050.5</v>
      </c>
      <c r="D157" s="219">
        <v>5.5799999999999961E-2</v>
      </c>
      <c r="E157" s="220">
        <f t="shared" si="31"/>
        <v>4913.2178999999969</v>
      </c>
    </row>
    <row r="158" spans="1:5" s="223" customFormat="1" ht="15.75" x14ac:dyDescent="0.3">
      <c r="A158" s="221" t="s">
        <v>168</v>
      </c>
      <c r="B158" s="221"/>
      <c r="C158" s="222">
        <f t="shared" ref="C158" si="37">SUM(C154:C157)</f>
        <v>7481308.7039999999</v>
      </c>
      <c r="D158" s="222"/>
      <c r="E158" s="222">
        <f>SUM(E154:E157)</f>
        <v>85932.960305099943</v>
      </c>
    </row>
    <row r="159" spans="1:5" ht="15.75" x14ac:dyDescent="0.3">
      <c r="A159" s="217" t="s">
        <v>50</v>
      </c>
      <c r="B159" s="217" t="s">
        <v>128</v>
      </c>
      <c r="C159" s="218">
        <v>3380082.7888320005</v>
      </c>
      <c r="D159" s="219">
        <v>1.0899999999999993E-2</v>
      </c>
      <c r="E159" s="220">
        <f t="shared" si="31"/>
        <v>36842.90239826878</v>
      </c>
    </row>
    <row r="160" spans="1:5" ht="15.75" x14ac:dyDescent="0.3">
      <c r="A160" s="217" t="s">
        <v>50</v>
      </c>
      <c r="B160" s="217" t="s">
        <v>129</v>
      </c>
      <c r="C160" s="218">
        <v>380135.67999999999</v>
      </c>
      <c r="D160" s="219">
        <v>2.5599999999999956E-2</v>
      </c>
      <c r="E160" s="220">
        <f t="shared" si="31"/>
        <v>9731.4734079999835</v>
      </c>
    </row>
    <row r="161" spans="1:5" ht="15.75" x14ac:dyDescent="0.3">
      <c r="A161" s="217" t="s">
        <v>50</v>
      </c>
      <c r="B161" s="217" t="s">
        <v>131</v>
      </c>
      <c r="C161" s="218">
        <v>113838.88</v>
      </c>
      <c r="D161" s="219">
        <v>5.5799999999999961E-2</v>
      </c>
      <c r="E161" s="220">
        <f t="shared" si="31"/>
        <v>6352.2095039999958</v>
      </c>
    </row>
    <row r="162" spans="1:5" s="223" customFormat="1" ht="15.75" x14ac:dyDescent="0.3">
      <c r="A162" s="221" t="s">
        <v>169</v>
      </c>
      <c r="B162" s="221"/>
      <c r="C162" s="222">
        <f t="shared" ref="C162" si="38">SUM(C159:C161)</f>
        <v>3874057.3488320005</v>
      </c>
      <c r="D162" s="222"/>
      <c r="E162" s="222">
        <f>SUM(E159:E161)</f>
        <v>52926.585310268762</v>
      </c>
    </row>
    <row r="163" spans="1:5" ht="15.75" x14ac:dyDescent="0.3">
      <c r="A163" s="217" t="s">
        <v>22</v>
      </c>
      <c r="B163" s="217" t="s">
        <v>128</v>
      </c>
      <c r="C163" s="218">
        <v>587683.1399999999</v>
      </c>
      <c r="D163" s="219">
        <v>1.0899999999999993E-2</v>
      </c>
      <c r="E163" s="220">
        <f t="shared" si="31"/>
        <v>6405.7462259999947</v>
      </c>
    </row>
    <row r="164" spans="1:5" ht="15.75" x14ac:dyDescent="0.3">
      <c r="A164" s="217" t="s">
        <v>22</v>
      </c>
      <c r="B164" s="217" t="s">
        <v>129</v>
      </c>
      <c r="C164" s="218">
        <v>111857.84999999999</v>
      </c>
      <c r="D164" s="219">
        <v>2.5599999999999956E-2</v>
      </c>
      <c r="E164" s="220">
        <f t="shared" si="31"/>
        <v>2863.5609599999948</v>
      </c>
    </row>
    <row r="165" spans="1:5" ht="15.75" x14ac:dyDescent="0.3">
      <c r="A165" s="217" t="s">
        <v>22</v>
      </c>
      <c r="B165" s="217" t="s">
        <v>131</v>
      </c>
      <c r="C165" s="218">
        <v>70663.8</v>
      </c>
      <c r="D165" s="219">
        <v>5.5799999999999961E-2</v>
      </c>
      <c r="E165" s="220">
        <f t="shared" si="31"/>
        <v>3943.0400399999976</v>
      </c>
    </row>
    <row r="166" spans="1:5" s="223" customFormat="1" ht="15.75" x14ac:dyDescent="0.3">
      <c r="A166" s="221" t="s">
        <v>170</v>
      </c>
      <c r="B166" s="221"/>
      <c r="C166" s="222">
        <f t="shared" ref="C166" si="39">SUM(C163:C165)</f>
        <v>770204.78999999992</v>
      </c>
      <c r="D166" s="222"/>
      <c r="E166" s="222">
        <f>SUM(E163:E165)</f>
        <v>13212.347225999987</v>
      </c>
    </row>
    <row r="167" spans="1:5" ht="15.75" x14ac:dyDescent="0.3">
      <c r="A167" s="217" t="s">
        <v>3</v>
      </c>
      <c r="B167" s="217" t="s">
        <v>128</v>
      </c>
      <c r="C167" s="218">
        <v>89065.600000000006</v>
      </c>
      <c r="D167" s="219">
        <v>1.0899999999999993E-2</v>
      </c>
      <c r="E167" s="220">
        <f t="shared" si="31"/>
        <v>970.8150399999995</v>
      </c>
    </row>
    <row r="168" spans="1:5" ht="15.75" x14ac:dyDescent="0.3">
      <c r="A168" s="217" t="s">
        <v>3</v>
      </c>
      <c r="B168" s="217" t="s">
        <v>129</v>
      </c>
      <c r="C168" s="218">
        <v>88805.6</v>
      </c>
      <c r="D168" s="219">
        <v>2.5599999999999956E-2</v>
      </c>
      <c r="E168" s="220">
        <f t="shared" si="31"/>
        <v>2273.4233599999961</v>
      </c>
    </row>
    <row r="169" spans="1:5" ht="15.75" x14ac:dyDescent="0.3">
      <c r="A169" s="217" t="s">
        <v>3</v>
      </c>
      <c r="B169" s="217" t="s">
        <v>131</v>
      </c>
      <c r="C169" s="218">
        <v>62078.399999999987</v>
      </c>
      <c r="D169" s="219">
        <v>5.5799999999999961E-2</v>
      </c>
      <c r="E169" s="220">
        <f t="shared" si="31"/>
        <v>3463.974719999997</v>
      </c>
    </row>
    <row r="170" spans="1:5" s="223" customFormat="1" ht="15.75" x14ac:dyDescent="0.3">
      <c r="A170" s="221" t="s">
        <v>171</v>
      </c>
      <c r="B170" s="221"/>
      <c r="C170" s="222">
        <f t="shared" ref="C170" si="40">SUM(C167:C169)</f>
        <v>239949.6</v>
      </c>
      <c r="D170" s="222"/>
      <c r="E170" s="222">
        <f>SUM(E167:E169)</f>
        <v>6708.2131199999931</v>
      </c>
    </row>
    <row r="171" spans="1:5" ht="15.75" x14ac:dyDescent="0.3">
      <c r="A171" s="217" t="s">
        <v>23</v>
      </c>
      <c r="B171" s="217" t="s">
        <v>128</v>
      </c>
      <c r="C171" s="218">
        <v>312800.8</v>
      </c>
      <c r="D171" s="219">
        <v>1.0899999999999993E-2</v>
      </c>
      <c r="E171" s="220">
        <f t="shared" si="31"/>
        <v>3409.5287199999975</v>
      </c>
    </row>
    <row r="172" spans="1:5" ht="15.75" x14ac:dyDescent="0.3">
      <c r="A172" s="217" t="s">
        <v>23</v>
      </c>
      <c r="B172" s="217" t="s">
        <v>131</v>
      </c>
      <c r="C172" s="218">
        <v>52000</v>
      </c>
      <c r="D172" s="219">
        <v>5.5799999999999961E-2</v>
      </c>
      <c r="E172" s="220">
        <f t="shared" si="31"/>
        <v>2901.5999999999981</v>
      </c>
    </row>
    <row r="173" spans="1:5" s="223" customFormat="1" ht="15.75" x14ac:dyDescent="0.3">
      <c r="A173" s="221" t="s">
        <v>172</v>
      </c>
      <c r="B173" s="221"/>
      <c r="C173" s="222">
        <f t="shared" ref="C173" si="41">SUM(C171:C172)</f>
        <v>364800.8</v>
      </c>
      <c r="D173" s="222"/>
      <c r="E173" s="222">
        <f>SUM(E171:E172)</f>
        <v>6311.1287199999952</v>
      </c>
    </row>
    <row r="174" spans="1:5" ht="15.75" x14ac:dyDescent="0.3">
      <c r="A174" s="217" t="s">
        <v>51</v>
      </c>
      <c r="B174" s="217" t="s">
        <v>128</v>
      </c>
      <c r="C174" s="218">
        <v>3276784.3095999993</v>
      </c>
      <c r="D174" s="219">
        <v>1.0899999999999993E-2</v>
      </c>
      <c r="E174" s="220">
        <f t="shared" si="31"/>
        <v>35716.94897463997</v>
      </c>
    </row>
    <row r="175" spans="1:5" ht="15.75" x14ac:dyDescent="0.3">
      <c r="A175" s="217" t="s">
        <v>51</v>
      </c>
      <c r="B175" s="217" t="s">
        <v>129</v>
      </c>
      <c r="C175" s="218">
        <v>211899.66720000003</v>
      </c>
      <c r="D175" s="219">
        <v>2.5599999999999956E-2</v>
      </c>
      <c r="E175" s="220">
        <f t="shared" si="31"/>
        <v>5424.6314803199912</v>
      </c>
    </row>
    <row r="176" spans="1:5" ht="15.75" x14ac:dyDescent="0.3">
      <c r="A176" s="217" t="s">
        <v>51</v>
      </c>
      <c r="B176" s="217" t="s">
        <v>130</v>
      </c>
      <c r="C176" s="218">
        <v>315252.26559999998</v>
      </c>
      <c r="D176" s="219">
        <v>2.5999999999999912E-3</v>
      </c>
      <c r="E176" s="220">
        <f t="shared" si="31"/>
        <v>819.65589055999715</v>
      </c>
    </row>
    <row r="177" spans="1:5" ht="15.75" x14ac:dyDescent="0.3">
      <c r="A177" s="217" t="s">
        <v>51</v>
      </c>
      <c r="B177" s="217" t="s">
        <v>131</v>
      </c>
      <c r="C177" s="218">
        <v>82238.131999999998</v>
      </c>
      <c r="D177" s="219">
        <v>5.5799999999999961E-2</v>
      </c>
      <c r="E177" s="220">
        <f t="shared" si="31"/>
        <v>4588.8877655999968</v>
      </c>
    </row>
    <row r="178" spans="1:5" s="223" customFormat="1" ht="15.75" x14ac:dyDescent="0.3">
      <c r="A178" s="221" t="s">
        <v>173</v>
      </c>
      <c r="B178" s="221"/>
      <c r="C178" s="222">
        <f t="shared" ref="C178" si="42">SUM(C174:C177)</f>
        <v>3886174.3743999996</v>
      </c>
      <c r="D178" s="222"/>
      <c r="E178" s="222">
        <f>SUM(E174:E177)</f>
        <v>46550.124111119956</v>
      </c>
    </row>
    <row r="179" spans="1:5" ht="15.75" x14ac:dyDescent="0.3">
      <c r="A179" s="217" t="s">
        <v>52</v>
      </c>
      <c r="B179" s="217" t="s">
        <v>128</v>
      </c>
      <c r="C179" s="218">
        <v>4187482.4160000002</v>
      </c>
      <c r="D179" s="219">
        <v>1.0899999999999993E-2</v>
      </c>
      <c r="E179" s="220">
        <f t="shared" si="31"/>
        <v>45643.558334399975</v>
      </c>
    </row>
    <row r="180" spans="1:5" ht="15.75" x14ac:dyDescent="0.3">
      <c r="A180" s="217" t="s">
        <v>52</v>
      </c>
      <c r="B180" s="217" t="s">
        <v>129</v>
      </c>
      <c r="C180" s="218">
        <v>149023</v>
      </c>
      <c r="D180" s="219">
        <v>2.5599999999999956E-2</v>
      </c>
      <c r="E180" s="220">
        <f t="shared" si="31"/>
        <v>3814.9887999999933</v>
      </c>
    </row>
    <row r="181" spans="1:5" ht="15.75" x14ac:dyDescent="0.3">
      <c r="A181" s="217" t="s">
        <v>52</v>
      </c>
      <c r="B181" s="217" t="s">
        <v>130</v>
      </c>
      <c r="C181" s="218">
        <v>165266</v>
      </c>
      <c r="D181" s="219">
        <v>2.5999999999999912E-3</v>
      </c>
      <c r="E181" s="220">
        <f t="shared" si="31"/>
        <v>429.69159999999857</v>
      </c>
    </row>
    <row r="182" spans="1:5" ht="15.75" x14ac:dyDescent="0.3">
      <c r="A182" s="217" t="s">
        <v>52</v>
      </c>
      <c r="B182" s="217" t="s">
        <v>131</v>
      </c>
      <c r="C182" s="218">
        <v>88634.260000000009</v>
      </c>
      <c r="D182" s="219">
        <v>5.5799999999999961E-2</v>
      </c>
      <c r="E182" s="220">
        <f t="shared" si="31"/>
        <v>4945.791707999997</v>
      </c>
    </row>
    <row r="183" spans="1:5" s="223" customFormat="1" ht="15.75" x14ac:dyDescent="0.3">
      <c r="A183" s="221" t="s">
        <v>174</v>
      </c>
      <c r="B183" s="221"/>
      <c r="C183" s="222">
        <f t="shared" ref="C183" si="43">SUM(C179:C182)</f>
        <v>4590405.676</v>
      </c>
      <c r="D183" s="222"/>
      <c r="E183" s="222">
        <f>SUM(E179:E182)</f>
        <v>54834.030442399962</v>
      </c>
    </row>
    <row r="184" spans="1:5" ht="15.75" x14ac:dyDescent="0.3">
      <c r="A184" s="217" t="s">
        <v>40</v>
      </c>
      <c r="B184" s="217" t="s">
        <v>128</v>
      </c>
      <c r="C184" s="218">
        <v>1722938.6719999998</v>
      </c>
      <c r="D184" s="219">
        <v>1.0899999999999993E-2</v>
      </c>
      <c r="E184" s="220">
        <f t="shared" si="31"/>
        <v>18780.031524799986</v>
      </c>
    </row>
    <row r="185" spans="1:5" ht="15.75" x14ac:dyDescent="0.3">
      <c r="A185" s="217" t="s">
        <v>40</v>
      </c>
      <c r="B185" s="217" t="s">
        <v>129</v>
      </c>
      <c r="C185" s="218">
        <v>204210.24</v>
      </c>
      <c r="D185" s="219">
        <v>2.5599999999999956E-2</v>
      </c>
      <c r="E185" s="220">
        <f t="shared" si="31"/>
        <v>5227.7821439999907</v>
      </c>
    </row>
    <row r="186" spans="1:5" ht="15.75" x14ac:dyDescent="0.3">
      <c r="A186" s="217" t="s">
        <v>40</v>
      </c>
      <c r="B186" s="217" t="s">
        <v>130</v>
      </c>
      <c r="C186" s="218">
        <f>295495.76-82832.4</f>
        <v>212663.36000000002</v>
      </c>
      <c r="D186" s="219">
        <v>2.5999999999999912E-3</v>
      </c>
      <c r="E186" s="220">
        <f t="shared" si="31"/>
        <v>552.92473599999812</v>
      </c>
    </row>
    <row r="187" spans="1:5" ht="15.75" x14ac:dyDescent="0.3">
      <c r="A187" s="217" t="s">
        <v>40</v>
      </c>
      <c r="B187" s="217" t="s">
        <v>131</v>
      </c>
      <c r="C187" s="224">
        <v>82832.399999999994</v>
      </c>
      <c r="D187" s="219">
        <v>5.5799999999999961E-2</v>
      </c>
      <c r="E187" s="220">
        <f t="shared" si="31"/>
        <v>4622.0479199999963</v>
      </c>
    </row>
    <row r="188" spans="1:5" s="223" customFormat="1" ht="15.75" x14ac:dyDescent="0.3">
      <c r="A188" s="221" t="s">
        <v>175</v>
      </c>
      <c r="B188" s="221"/>
      <c r="C188" s="222">
        <f t="shared" ref="C188" si="44">SUM(C184:C187)</f>
        <v>2222644.6719999998</v>
      </c>
      <c r="D188" s="222"/>
      <c r="E188" s="222">
        <f>SUM(E184:E187)</f>
        <v>29182.78632479997</v>
      </c>
    </row>
    <row r="189" spans="1:5" ht="15.75" x14ac:dyDescent="0.3">
      <c r="A189" s="217" t="s">
        <v>65</v>
      </c>
      <c r="B189" s="217" t="s">
        <v>128</v>
      </c>
      <c r="C189" s="218">
        <v>40519903.893491618</v>
      </c>
      <c r="D189" s="219">
        <v>1.0899999999999993E-2</v>
      </c>
      <c r="E189" s="220">
        <f t="shared" si="31"/>
        <v>441666.95243905834</v>
      </c>
    </row>
    <row r="190" spans="1:5" ht="15.75" x14ac:dyDescent="0.3">
      <c r="A190" s="217" t="s">
        <v>65</v>
      </c>
      <c r="B190" s="217" t="s">
        <v>129</v>
      </c>
      <c r="C190" s="218">
        <v>672738.76179999998</v>
      </c>
      <c r="D190" s="219">
        <v>2.5599999999999956E-2</v>
      </c>
      <c r="E190" s="220">
        <f t="shared" si="31"/>
        <v>17222.112302079971</v>
      </c>
    </row>
    <row r="191" spans="1:5" ht="15.75" x14ac:dyDescent="0.3">
      <c r="A191" s="217" t="s">
        <v>65</v>
      </c>
      <c r="B191" s="217" t="s">
        <v>130</v>
      </c>
      <c r="C191" s="218">
        <v>4255947.030142501</v>
      </c>
      <c r="D191" s="219">
        <v>2.5999999999999912E-3</v>
      </c>
      <c r="E191" s="220">
        <f t="shared" si="31"/>
        <v>11065.462278370465</v>
      </c>
    </row>
    <row r="192" spans="1:5" ht="15.75" x14ac:dyDescent="0.3">
      <c r="A192" s="217" t="s">
        <v>65</v>
      </c>
      <c r="B192" s="217" t="s">
        <v>131</v>
      </c>
      <c r="C192" s="218">
        <v>175702.64249999999</v>
      </c>
      <c r="D192" s="219">
        <v>5.5799999999999961E-2</v>
      </c>
      <c r="E192" s="220">
        <f t="shared" si="31"/>
        <v>9804.2074514999931</v>
      </c>
    </row>
    <row r="193" spans="1:5" s="223" customFormat="1" ht="15.75" x14ac:dyDescent="0.3">
      <c r="A193" s="221" t="s">
        <v>176</v>
      </c>
      <c r="B193" s="221"/>
      <c r="C193" s="222">
        <f t="shared" ref="C193" si="45">SUM(C189:C192)</f>
        <v>45624292.327934116</v>
      </c>
      <c r="D193" s="222"/>
      <c r="E193" s="222">
        <f>SUM(E189:E192)</f>
        <v>479758.73447100876</v>
      </c>
    </row>
    <row r="194" spans="1:5" ht="15.75" x14ac:dyDescent="0.3">
      <c r="A194" s="217" t="s">
        <v>41</v>
      </c>
      <c r="B194" s="217" t="s">
        <v>128</v>
      </c>
      <c r="C194" s="218">
        <v>2307497.7985</v>
      </c>
      <c r="D194" s="219">
        <v>1.0899999999999993E-2</v>
      </c>
      <c r="E194" s="220">
        <f t="shared" si="31"/>
        <v>25151.726003649983</v>
      </c>
    </row>
    <row r="195" spans="1:5" ht="15.75" x14ac:dyDescent="0.3">
      <c r="A195" s="217" t="s">
        <v>41</v>
      </c>
      <c r="B195" s="217" t="s">
        <v>129</v>
      </c>
      <c r="C195" s="218">
        <v>72500</v>
      </c>
      <c r="D195" s="219">
        <v>2.5599999999999956E-2</v>
      </c>
      <c r="E195" s="220">
        <f t="shared" si="31"/>
        <v>1855.9999999999968</v>
      </c>
    </row>
    <row r="196" spans="1:5" ht="15.75" x14ac:dyDescent="0.3">
      <c r="A196" s="217" t="s">
        <v>41</v>
      </c>
      <c r="B196" s="217" t="s">
        <v>130</v>
      </c>
      <c r="C196" s="218">
        <v>157406</v>
      </c>
      <c r="D196" s="219">
        <v>2.5999999999999912E-3</v>
      </c>
      <c r="E196" s="220">
        <f t="shared" si="31"/>
        <v>409.25559999999859</v>
      </c>
    </row>
    <row r="197" spans="1:5" ht="15.75" x14ac:dyDescent="0.3">
      <c r="A197" s="217" t="s">
        <v>41</v>
      </c>
      <c r="B197" s="217" t="s">
        <v>131</v>
      </c>
      <c r="C197" s="218">
        <v>61706.5</v>
      </c>
      <c r="D197" s="219">
        <v>5.5799999999999961E-2</v>
      </c>
      <c r="E197" s="220">
        <f t="shared" si="31"/>
        <v>3443.2226999999975</v>
      </c>
    </row>
    <row r="198" spans="1:5" s="223" customFormat="1" ht="15.75" x14ac:dyDescent="0.3">
      <c r="A198" s="221" t="s">
        <v>177</v>
      </c>
      <c r="B198" s="221"/>
      <c r="C198" s="222">
        <f t="shared" ref="C198" si="46">SUM(C194:C197)</f>
        <v>2599110.2985</v>
      </c>
      <c r="D198" s="222"/>
      <c r="E198" s="222">
        <f>SUM(E194:E197)</f>
        <v>30860.204303649974</v>
      </c>
    </row>
    <row r="199" spans="1:5" ht="15.75" x14ac:dyDescent="0.3">
      <c r="A199" s="217" t="s">
        <v>32</v>
      </c>
      <c r="B199" s="217" t="s">
        <v>128</v>
      </c>
      <c r="C199" s="218">
        <v>992253.39449999959</v>
      </c>
      <c r="D199" s="219">
        <v>1.0899999999999993E-2</v>
      </c>
      <c r="E199" s="220">
        <f t="shared" ref="E199:E263" si="47">C199*D199</f>
        <v>10815.562000049989</v>
      </c>
    </row>
    <row r="200" spans="1:5" ht="15.75" x14ac:dyDescent="0.3">
      <c r="A200" s="217" t="s">
        <v>32</v>
      </c>
      <c r="B200" s="217" t="s">
        <v>129</v>
      </c>
      <c r="C200" s="218">
        <v>40159.700699999987</v>
      </c>
      <c r="D200" s="219">
        <v>2.5599999999999956E-2</v>
      </c>
      <c r="E200" s="220">
        <f t="shared" si="47"/>
        <v>1028.0883379199979</v>
      </c>
    </row>
    <row r="201" spans="1:5" ht="15.75" x14ac:dyDescent="0.3">
      <c r="A201" s="217" t="s">
        <v>32</v>
      </c>
      <c r="B201" s="217" t="s">
        <v>130</v>
      </c>
      <c r="C201" s="218">
        <v>61789.84</v>
      </c>
      <c r="D201" s="219">
        <v>2.5999999999999912E-3</v>
      </c>
      <c r="E201" s="220">
        <f t="shared" si="47"/>
        <v>160.65358399999946</v>
      </c>
    </row>
    <row r="202" spans="1:5" ht="15.75" x14ac:dyDescent="0.3">
      <c r="A202" s="217" t="s">
        <v>32</v>
      </c>
      <c r="B202" s="217" t="s">
        <v>131</v>
      </c>
      <c r="C202" s="218">
        <f>74539.886-61789.84</f>
        <v>12750.046000000002</v>
      </c>
      <c r="D202" s="219">
        <v>5.5799999999999961E-2</v>
      </c>
      <c r="E202" s="220">
        <f t="shared" si="47"/>
        <v>711.45256679999966</v>
      </c>
    </row>
    <row r="203" spans="1:5" s="223" customFormat="1" ht="15.75" x14ac:dyDescent="0.3">
      <c r="A203" s="221" t="s">
        <v>178</v>
      </c>
      <c r="B203" s="221"/>
      <c r="C203" s="222">
        <f t="shared" ref="C203" si="48">SUM(C199:C202)</f>
        <v>1106952.9811999998</v>
      </c>
      <c r="D203" s="222"/>
      <c r="E203" s="222">
        <f>SUM(E199:E202)</f>
        <v>12715.756488769988</v>
      </c>
    </row>
    <row r="204" spans="1:5" ht="15.75" x14ac:dyDescent="0.3">
      <c r="A204" s="217" t="s">
        <v>42</v>
      </c>
      <c r="B204" s="217" t="s">
        <v>128</v>
      </c>
      <c r="C204" s="218">
        <v>2106587.3904170007</v>
      </c>
      <c r="D204" s="219">
        <v>1.0899999999999993E-2</v>
      </c>
      <c r="E204" s="220">
        <f t="shared" si="47"/>
        <v>22961.802555545295</v>
      </c>
    </row>
    <row r="205" spans="1:5" ht="15.75" x14ac:dyDescent="0.3">
      <c r="A205" s="217" t="s">
        <v>42</v>
      </c>
      <c r="B205" s="217" t="s">
        <v>129</v>
      </c>
      <c r="C205" s="218">
        <v>366314.90869699995</v>
      </c>
      <c r="D205" s="219">
        <v>2.5599999999999956E-2</v>
      </c>
      <c r="E205" s="220">
        <f t="shared" si="47"/>
        <v>9377.6616626431824</v>
      </c>
    </row>
    <row r="206" spans="1:5" ht="15.75" x14ac:dyDescent="0.3">
      <c r="A206" s="217" t="s">
        <v>42</v>
      </c>
      <c r="B206" s="217" t="s">
        <v>130</v>
      </c>
      <c r="C206" s="218">
        <v>26275.392</v>
      </c>
      <c r="D206" s="219">
        <v>2.5999999999999912E-3</v>
      </c>
      <c r="E206" s="220">
        <f t="shared" si="47"/>
        <v>68.316019199999772</v>
      </c>
    </row>
    <row r="207" spans="1:5" ht="15.75" x14ac:dyDescent="0.3">
      <c r="A207" s="217" t="s">
        <v>42</v>
      </c>
      <c r="B207" s="217" t="s">
        <v>131</v>
      </c>
      <c r="C207" s="218">
        <v>94495.197258</v>
      </c>
      <c r="D207" s="219">
        <v>5.5799999999999961E-2</v>
      </c>
      <c r="E207" s="220">
        <f t="shared" si="47"/>
        <v>5272.8320069963966</v>
      </c>
    </row>
    <row r="208" spans="1:5" s="223" customFormat="1" ht="15.75" x14ac:dyDescent="0.3">
      <c r="A208" s="221" t="s">
        <v>179</v>
      </c>
      <c r="B208" s="221"/>
      <c r="C208" s="222">
        <f t="shared" ref="C208" si="49">SUM(C204:C207)</f>
        <v>2593672.8883720003</v>
      </c>
      <c r="D208" s="222"/>
      <c r="E208" s="222">
        <f>SUM(E204:E207)</f>
        <v>37680.612244384873</v>
      </c>
    </row>
    <row r="209" spans="1:5" ht="15.75" x14ac:dyDescent="0.3">
      <c r="A209" s="217" t="s">
        <v>24</v>
      </c>
      <c r="B209" s="217" t="s">
        <v>128</v>
      </c>
      <c r="C209" s="218">
        <v>846341</v>
      </c>
      <c r="D209" s="219">
        <v>1.0899999999999993E-2</v>
      </c>
      <c r="E209" s="220">
        <f t="shared" si="47"/>
        <v>9225.1168999999936</v>
      </c>
    </row>
    <row r="210" spans="1:5" ht="15.75" x14ac:dyDescent="0.3">
      <c r="A210" s="217" t="s">
        <v>24</v>
      </c>
      <c r="B210" s="217" t="s">
        <v>131</v>
      </c>
      <c r="C210" s="218">
        <v>38255.910000000003</v>
      </c>
      <c r="D210" s="219">
        <v>5.5799999999999961E-2</v>
      </c>
      <c r="E210" s="220">
        <f t="shared" si="47"/>
        <v>2134.6797779999988</v>
      </c>
    </row>
    <row r="211" spans="1:5" s="223" customFormat="1" ht="15.75" x14ac:dyDescent="0.3">
      <c r="A211" s="221" t="s">
        <v>180</v>
      </c>
      <c r="B211" s="221"/>
      <c r="C211" s="222">
        <f t="shared" ref="C211" si="50">SUM(C209:C210)</f>
        <v>884596.91</v>
      </c>
      <c r="D211" s="222"/>
      <c r="E211" s="222">
        <f>SUM(E209:E210)</f>
        <v>11359.796677999992</v>
      </c>
    </row>
    <row r="212" spans="1:5" ht="15.75" x14ac:dyDescent="0.3">
      <c r="A212" s="217" t="s">
        <v>66</v>
      </c>
      <c r="B212" s="217" t="s">
        <v>128</v>
      </c>
      <c r="C212" s="218">
        <v>15824074</v>
      </c>
      <c r="D212" s="219">
        <v>1.0899999999999993E-2</v>
      </c>
      <c r="E212" s="220">
        <f t="shared" si="47"/>
        <v>172482.4065999999</v>
      </c>
    </row>
    <row r="213" spans="1:5" ht="15.75" x14ac:dyDescent="0.3">
      <c r="A213" s="217" t="s">
        <v>66</v>
      </c>
      <c r="B213" s="217" t="s">
        <v>129</v>
      </c>
      <c r="C213" s="218">
        <v>1300436</v>
      </c>
      <c r="D213" s="219">
        <v>2.5599999999999956E-2</v>
      </c>
      <c r="E213" s="220">
        <f t="shared" si="47"/>
        <v>33291.161599999941</v>
      </c>
    </row>
    <row r="214" spans="1:5" ht="15.75" x14ac:dyDescent="0.3">
      <c r="A214" s="217" t="s">
        <v>66</v>
      </c>
      <c r="B214" s="217" t="s">
        <v>130</v>
      </c>
      <c r="C214" s="218">
        <v>1611903</v>
      </c>
      <c r="D214" s="219">
        <v>2.5999999999999912E-3</v>
      </c>
      <c r="E214" s="220">
        <f t="shared" si="47"/>
        <v>4190.9477999999863</v>
      </c>
    </row>
    <row r="215" spans="1:5" ht="15.75" x14ac:dyDescent="0.3">
      <c r="A215" s="217" t="s">
        <v>66</v>
      </c>
      <c r="B215" s="217" t="s">
        <v>131</v>
      </c>
      <c r="C215" s="218">
        <v>183144</v>
      </c>
      <c r="D215" s="219">
        <v>5.5799999999999961E-2</v>
      </c>
      <c r="E215" s="220">
        <f t="shared" si="47"/>
        <v>10219.435199999993</v>
      </c>
    </row>
    <row r="216" spans="1:5" s="223" customFormat="1" ht="15.75" x14ac:dyDescent="0.3">
      <c r="A216" s="221" t="s">
        <v>181</v>
      </c>
      <c r="B216" s="221"/>
      <c r="C216" s="222">
        <f t="shared" ref="C216" si="51">SUM(C212:C215)</f>
        <v>18919557</v>
      </c>
      <c r="D216" s="222"/>
      <c r="E216" s="222">
        <f>SUM(E212:E215)</f>
        <v>220183.95119999984</v>
      </c>
    </row>
    <row r="217" spans="1:5" ht="15.75" x14ac:dyDescent="0.3">
      <c r="A217" s="217" t="s">
        <v>53</v>
      </c>
      <c r="B217" s="217" t="s">
        <v>128</v>
      </c>
      <c r="C217" s="218">
        <f>4281893.4176-93777.6</f>
        <v>4188115.8176000002</v>
      </c>
      <c r="D217" s="219">
        <v>1.0899999999999993E-2</v>
      </c>
      <c r="E217" s="220">
        <f t="shared" si="47"/>
        <v>45650.462411839973</v>
      </c>
    </row>
    <row r="218" spans="1:5" ht="15.75" x14ac:dyDescent="0.3">
      <c r="A218" s="217" t="s">
        <v>53</v>
      </c>
      <c r="B218" s="217" t="s">
        <v>129</v>
      </c>
      <c r="C218" s="218">
        <v>550287.45600000001</v>
      </c>
      <c r="D218" s="219">
        <v>2.5599999999999956E-2</v>
      </c>
      <c r="E218" s="220">
        <f t="shared" si="47"/>
        <v>14087.358873599977</v>
      </c>
    </row>
    <row r="219" spans="1:5" ht="15.75" x14ac:dyDescent="0.3">
      <c r="A219" s="217" t="s">
        <v>53</v>
      </c>
      <c r="B219" s="217" t="s">
        <v>130</v>
      </c>
      <c r="C219" s="218">
        <v>173055.52799999999</v>
      </c>
      <c r="D219" s="219">
        <v>2.5999999999999912E-3</v>
      </c>
      <c r="E219" s="220">
        <f t="shared" si="47"/>
        <v>449.94437279999846</v>
      </c>
    </row>
    <row r="220" spans="1:5" ht="15.75" x14ac:dyDescent="0.3">
      <c r="A220" s="217" t="s">
        <v>53</v>
      </c>
      <c r="B220" s="217" t="s">
        <v>131</v>
      </c>
      <c r="C220" s="224">
        <v>93777.600000000006</v>
      </c>
      <c r="D220" s="219">
        <v>5.5799999999999961E-2</v>
      </c>
      <c r="E220" s="220">
        <f t="shared" si="47"/>
        <v>5232.790079999997</v>
      </c>
    </row>
    <row r="221" spans="1:5" s="223" customFormat="1" ht="15.75" x14ac:dyDescent="0.3">
      <c r="A221" s="221" t="s">
        <v>182</v>
      </c>
      <c r="B221" s="221"/>
      <c r="C221" s="222">
        <f t="shared" ref="C221" si="52">SUM(C217:C220)</f>
        <v>5005236.4015999995</v>
      </c>
      <c r="D221" s="222"/>
      <c r="E221" s="222">
        <f>SUM(E217:E220)</f>
        <v>65420.555738239942</v>
      </c>
    </row>
    <row r="222" spans="1:5" ht="15.75" x14ac:dyDescent="0.3">
      <c r="A222" s="217" t="s">
        <v>67</v>
      </c>
      <c r="B222" s="217" t="s">
        <v>128</v>
      </c>
      <c r="C222" s="218">
        <v>16942792.710487705</v>
      </c>
      <c r="D222" s="219">
        <v>1.0899999999999993E-2</v>
      </c>
      <c r="E222" s="220">
        <f t="shared" si="47"/>
        <v>184676.44054431588</v>
      </c>
    </row>
    <row r="223" spans="1:5" ht="15.75" x14ac:dyDescent="0.3">
      <c r="A223" s="217" t="s">
        <v>67</v>
      </c>
      <c r="B223" s="217" t="s">
        <v>129</v>
      </c>
      <c r="C223" s="218">
        <v>684686.24769606011</v>
      </c>
      <c r="D223" s="219">
        <v>2.5599999999999956E-2</v>
      </c>
      <c r="E223" s="220">
        <f t="shared" si="47"/>
        <v>17527.967941019109</v>
      </c>
    </row>
    <row r="224" spans="1:5" ht="15.75" x14ac:dyDescent="0.3">
      <c r="A224" s="217" t="s">
        <v>67</v>
      </c>
      <c r="B224" s="217" t="s">
        <v>130</v>
      </c>
      <c r="C224" s="218">
        <v>1722149.9252661502</v>
      </c>
      <c r="D224" s="219">
        <v>2.5999999999999912E-3</v>
      </c>
      <c r="E224" s="220">
        <f t="shared" si="47"/>
        <v>4477.589805691975</v>
      </c>
    </row>
    <row r="225" spans="1:5" ht="15.75" x14ac:dyDescent="0.3">
      <c r="A225" s="217" t="s">
        <v>67</v>
      </c>
      <c r="B225" s="217" t="s">
        <v>131</v>
      </c>
      <c r="C225" s="218">
        <v>118362.882</v>
      </c>
      <c r="D225" s="219">
        <v>5.5799999999999961E-2</v>
      </c>
      <c r="E225" s="220">
        <f t="shared" si="47"/>
        <v>6604.648815599995</v>
      </c>
    </row>
    <row r="226" spans="1:5" s="223" customFormat="1" ht="15.75" x14ac:dyDescent="0.3">
      <c r="A226" s="221" t="s">
        <v>183</v>
      </c>
      <c r="B226" s="221"/>
      <c r="C226" s="222">
        <f t="shared" ref="C226" si="53">SUM(C222:C225)</f>
        <v>19467991.765449915</v>
      </c>
      <c r="D226" s="222"/>
      <c r="E226" s="222">
        <f>SUM(E222:E225)</f>
        <v>213286.64710662694</v>
      </c>
    </row>
    <row r="227" spans="1:5" ht="15.75" x14ac:dyDescent="0.3">
      <c r="A227" s="217" t="s">
        <v>54</v>
      </c>
      <c r="B227" s="217" t="s">
        <v>128</v>
      </c>
      <c r="C227" s="218">
        <v>8246639.4969150089</v>
      </c>
      <c r="D227" s="219">
        <v>1.0899999999999993E-2</v>
      </c>
      <c r="E227" s="220">
        <f t="shared" si="47"/>
        <v>89888.370516373543</v>
      </c>
    </row>
    <row r="228" spans="1:5" ht="15.75" x14ac:dyDescent="0.3">
      <c r="A228" s="217" t="s">
        <v>54</v>
      </c>
      <c r="B228" s="217" t="s">
        <v>129</v>
      </c>
      <c r="C228" s="218">
        <v>511807.89987099997</v>
      </c>
      <c r="D228" s="219">
        <v>2.5599999999999956E-2</v>
      </c>
      <c r="E228" s="220">
        <f t="shared" si="47"/>
        <v>13102.282236697576</v>
      </c>
    </row>
    <row r="229" spans="1:5" ht="15.75" x14ac:dyDescent="0.3">
      <c r="A229" s="217" t="s">
        <v>54</v>
      </c>
      <c r="B229" s="217" t="s">
        <v>130</v>
      </c>
      <c r="C229" s="218">
        <v>113102.34</v>
      </c>
      <c r="D229" s="219">
        <v>2.5999999999999912E-3</v>
      </c>
      <c r="E229" s="220">
        <f t="shared" si="47"/>
        <v>294.06608399999902</v>
      </c>
    </row>
    <row r="230" spans="1:5" ht="15.75" x14ac:dyDescent="0.3">
      <c r="A230" s="217" t="s">
        <v>54</v>
      </c>
      <c r="B230" s="217" t="s">
        <v>131</v>
      </c>
      <c r="C230" s="218">
        <v>65856.319979999986</v>
      </c>
      <c r="D230" s="219">
        <v>5.5799999999999961E-2</v>
      </c>
      <c r="E230" s="220">
        <f t="shared" si="47"/>
        <v>3674.7826548839967</v>
      </c>
    </row>
    <row r="231" spans="1:5" s="223" customFormat="1" ht="15.75" x14ac:dyDescent="0.3">
      <c r="A231" s="221" t="s">
        <v>184</v>
      </c>
      <c r="B231" s="221"/>
      <c r="C231" s="222">
        <f t="shared" ref="C231" si="54">SUM(C227:C230)</f>
        <v>8937406.0567660071</v>
      </c>
      <c r="D231" s="222"/>
      <c r="E231" s="222">
        <f>SUM(E227:E230)</f>
        <v>106959.50149195512</v>
      </c>
    </row>
    <row r="232" spans="1:5" ht="15.75" x14ac:dyDescent="0.3">
      <c r="A232" s="217" t="s">
        <v>60</v>
      </c>
      <c r="B232" s="217" t="s">
        <v>128</v>
      </c>
      <c r="C232" s="218">
        <v>12178828.355200004</v>
      </c>
      <c r="D232" s="219">
        <v>1.0899999999999993E-2</v>
      </c>
      <c r="E232" s="220">
        <f t="shared" si="47"/>
        <v>132749.22907167996</v>
      </c>
    </row>
    <row r="233" spans="1:5" ht="15.75" x14ac:dyDescent="0.3">
      <c r="A233" s="217" t="s">
        <v>60</v>
      </c>
      <c r="B233" s="217" t="s">
        <v>129</v>
      </c>
      <c r="C233" s="218">
        <v>88644.4</v>
      </c>
      <c r="D233" s="219">
        <v>2.5599999999999956E-2</v>
      </c>
      <c r="E233" s="220">
        <f t="shared" si="47"/>
        <v>2269.2966399999959</v>
      </c>
    </row>
    <row r="234" spans="1:5" ht="15.75" x14ac:dyDescent="0.3">
      <c r="A234" s="217" t="s">
        <v>60</v>
      </c>
      <c r="B234" s="217" t="s">
        <v>130</v>
      </c>
      <c r="C234" s="218">
        <v>1503819.2</v>
      </c>
      <c r="D234" s="219">
        <v>2.5999999999999912E-3</v>
      </c>
      <c r="E234" s="220">
        <f t="shared" si="47"/>
        <v>3909.9299199999869</v>
      </c>
    </row>
    <row r="235" spans="1:5" ht="15.75" x14ac:dyDescent="0.3">
      <c r="A235" s="217" t="s">
        <v>60</v>
      </c>
      <c r="B235" s="217" t="s">
        <v>131</v>
      </c>
      <c r="C235" s="218">
        <v>86864</v>
      </c>
      <c r="D235" s="219">
        <v>5.5799999999999961E-2</v>
      </c>
      <c r="E235" s="220">
        <f t="shared" si="47"/>
        <v>4847.0111999999963</v>
      </c>
    </row>
    <row r="236" spans="1:5" s="223" customFormat="1" ht="15.75" x14ac:dyDescent="0.3">
      <c r="A236" s="221" t="s">
        <v>185</v>
      </c>
      <c r="B236" s="221"/>
      <c r="C236" s="222">
        <f t="shared" ref="C236" si="55">SUM(C232:C235)</f>
        <v>13858155.955200003</v>
      </c>
      <c r="D236" s="222"/>
      <c r="E236" s="222">
        <f>SUM(E232:E235)</f>
        <v>143775.46683167995</v>
      </c>
    </row>
    <row r="237" spans="1:5" ht="15.75" x14ac:dyDescent="0.3">
      <c r="A237" s="217" t="s">
        <v>61</v>
      </c>
      <c r="B237" s="217" t="s">
        <v>128</v>
      </c>
      <c r="C237" s="218">
        <v>7210341.5239960076</v>
      </c>
      <c r="D237" s="219">
        <v>1.0899999999999993E-2</v>
      </c>
      <c r="E237" s="220">
        <f t="shared" si="47"/>
        <v>78592.722611556426</v>
      </c>
    </row>
    <row r="238" spans="1:5" ht="15.75" x14ac:dyDescent="0.3">
      <c r="A238" s="217" t="s">
        <v>61</v>
      </c>
      <c r="B238" s="217" t="s">
        <v>129</v>
      </c>
      <c r="C238" s="218">
        <v>247932.79617599997</v>
      </c>
      <c r="D238" s="219">
        <v>2.5599999999999956E-2</v>
      </c>
      <c r="E238" s="220">
        <f t="shared" si="47"/>
        <v>6347.0795821055881</v>
      </c>
    </row>
    <row r="239" spans="1:5" ht="15.75" x14ac:dyDescent="0.3">
      <c r="A239" s="217" t="s">
        <v>61</v>
      </c>
      <c r="B239" s="217" t="s">
        <v>130</v>
      </c>
      <c r="C239" s="218">
        <f>821182.554656-119467.47</f>
        <v>701715.08465600002</v>
      </c>
      <c r="D239" s="219">
        <v>2.5999999999999912E-3</v>
      </c>
      <c r="E239" s="220">
        <f t="shared" si="47"/>
        <v>1824.4592201055939</v>
      </c>
    </row>
    <row r="240" spans="1:5" ht="15.75" x14ac:dyDescent="0.3">
      <c r="A240" s="217" t="s">
        <v>61</v>
      </c>
      <c r="B240" s="217" t="s">
        <v>131</v>
      </c>
      <c r="C240" s="224">
        <v>119467.4664</v>
      </c>
      <c r="D240" s="219">
        <v>5.5799999999999961E-2</v>
      </c>
      <c r="E240" s="220">
        <f t="shared" si="47"/>
        <v>6666.2846251199953</v>
      </c>
    </row>
    <row r="241" spans="1:5" s="223" customFormat="1" ht="15.75" x14ac:dyDescent="0.3">
      <c r="A241" s="221" t="s">
        <v>186</v>
      </c>
      <c r="B241" s="221"/>
      <c r="C241" s="222">
        <f t="shared" ref="C241" si="56">SUM(C237:C240)</f>
        <v>8279456.8712280076</v>
      </c>
      <c r="D241" s="222"/>
      <c r="E241" s="222">
        <f>SUM(E237:E240)</f>
        <v>93430.546038887609</v>
      </c>
    </row>
    <row r="242" spans="1:5" ht="15.75" x14ac:dyDescent="0.3">
      <c r="A242" s="217" t="s">
        <v>33</v>
      </c>
      <c r="B242" s="217" t="s">
        <v>128</v>
      </c>
      <c r="C242" s="218">
        <v>1204065.0080500001</v>
      </c>
      <c r="D242" s="219">
        <v>1.0899999999999993E-2</v>
      </c>
      <c r="E242" s="220">
        <f t="shared" si="47"/>
        <v>13124.308587744992</v>
      </c>
    </row>
    <row r="243" spans="1:5" ht="15.75" x14ac:dyDescent="0.3">
      <c r="A243" s="217" t="s">
        <v>33</v>
      </c>
      <c r="B243" s="217" t="s">
        <v>129</v>
      </c>
      <c r="C243" s="218">
        <v>210863.51150000002</v>
      </c>
      <c r="D243" s="219">
        <v>2.5599999999999956E-2</v>
      </c>
      <c r="E243" s="220">
        <f t="shared" si="47"/>
        <v>5398.1058943999915</v>
      </c>
    </row>
    <row r="244" spans="1:5" ht="15.75" x14ac:dyDescent="0.3">
      <c r="A244" s="217" t="s">
        <v>33</v>
      </c>
      <c r="B244" s="217" t="s">
        <v>130</v>
      </c>
      <c r="C244" s="218">
        <v>80492.857900000003</v>
      </c>
      <c r="D244" s="219">
        <v>2.5999999999999912E-3</v>
      </c>
      <c r="E244" s="220">
        <f t="shared" si="47"/>
        <v>209.28143053999929</v>
      </c>
    </row>
    <row r="245" spans="1:5" ht="15.75" x14ac:dyDescent="0.3">
      <c r="A245" s="217" t="s">
        <v>33</v>
      </c>
      <c r="B245" s="217" t="s">
        <v>131</v>
      </c>
      <c r="C245" s="218">
        <f>147699.9979-80492.86</f>
        <v>67207.137899999987</v>
      </c>
      <c r="D245" s="219">
        <v>5.5799999999999961E-2</v>
      </c>
      <c r="E245" s="220">
        <f t="shared" si="47"/>
        <v>3750.1582948199966</v>
      </c>
    </row>
    <row r="246" spans="1:5" s="223" customFormat="1" ht="15.75" x14ac:dyDescent="0.3">
      <c r="A246" s="221" t="s">
        <v>187</v>
      </c>
      <c r="B246" s="221"/>
      <c r="C246" s="222">
        <f t="shared" ref="C246" si="57">SUM(C242:C245)</f>
        <v>1562628.51535</v>
      </c>
      <c r="D246" s="222"/>
      <c r="E246" s="222">
        <f>SUM(E242:E245)</f>
        <v>22481.854207504981</v>
      </c>
    </row>
    <row r="247" spans="1:5" ht="15.75" x14ac:dyDescent="0.3">
      <c r="A247" s="217" t="s">
        <v>43</v>
      </c>
      <c r="B247" s="217" t="s">
        <v>128</v>
      </c>
      <c r="C247" s="218">
        <f>2044794.336+25341.888</f>
        <v>2070136.2239999999</v>
      </c>
      <c r="D247" s="219">
        <v>1.0899999999999993E-2</v>
      </c>
      <c r="E247" s="220">
        <f t="shared" si="47"/>
        <v>22564.484841599984</v>
      </c>
    </row>
    <row r="248" spans="1:5" ht="15.75" x14ac:dyDescent="0.3">
      <c r="A248" s="217" t="s">
        <v>43</v>
      </c>
      <c r="B248" s="217" t="s">
        <v>129</v>
      </c>
      <c r="C248" s="218">
        <v>232055.10400000002</v>
      </c>
      <c r="D248" s="219">
        <v>2.5599999999999956E-2</v>
      </c>
      <c r="E248" s="220">
        <f t="shared" si="47"/>
        <v>5940.6106623999904</v>
      </c>
    </row>
    <row r="249" spans="1:5" ht="15.75" x14ac:dyDescent="0.3">
      <c r="A249" s="217" t="s">
        <v>43</v>
      </c>
      <c r="B249" s="217" t="s">
        <v>130</v>
      </c>
      <c r="C249" s="218">
        <f>300480.96+34126.04</f>
        <v>334607</v>
      </c>
      <c r="D249" s="219">
        <v>2.5999999999999912E-3</v>
      </c>
      <c r="E249" s="220">
        <f t="shared" si="47"/>
        <v>869.97819999999706</v>
      </c>
    </row>
    <row r="250" spans="1:5" ht="15.75" x14ac:dyDescent="0.3">
      <c r="A250" s="217" t="s">
        <v>43</v>
      </c>
      <c r="B250" s="217" t="s">
        <v>131</v>
      </c>
      <c r="C250" s="218">
        <f>144397.763-34126.04-25341.888</f>
        <v>84929.834999999992</v>
      </c>
      <c r="D250" s="219">
        <v>5.5799999999999961E-2</v>
      </c>
      <c r="E250" s="220">
        <f t="shared" si="47"/>
        <v>4739.0847929999964</v>
      </c>
    </row>
    <row r="251" spans="1:5" s="223" customFormat="1" ht="15.75" x14ac:dyDescent="0.3">
      <c r="A251" s="221" t="s">
        <v>188</v>
      </c>
      <c r="B251" s="221"/>
      <c r="C251" s="222">
        <f t="shared" ref="C251" si="58">SUM(C247:C250)</f>
        <v>2721728.1629999997</v>
      </c>
      <c r="D251" s="222"/>
      <c r="E251" s="222">
        <f>SUM(E247:E250)</f>
        <v>34114.158496999968</v>
      </c>
    </row>
    <row r="252" spans="1:5" ht="15.75" x14ac:dyDescent="0.3">
      <c r="A252" s="217" t="s">
        <v>55</v>
      </c>
      <c r="B252" s="217" t="s">
        <v>128</v>
      </c>
      <c r="C252" s="218">
        <v>3739314.1265999996</v>
      </c>
      <c r="D252" s="219">
        <v>1.0899999999999993E-2</v>
      </c>
      <c r="E252" s="220">
        <f t="shared" si="47"/>
        <v>40758.523979939971</v>
      </c>
    </row>
    <row r="253" spans="1:5" ht="15.75" x14ac:dyDescent="0.3">
      <c r="A253" s="217" t="s">
        <v>55</v>
      </c>
      <c r="B253" s="217" t="s">
        <v>129</v>
      </c>
      <c r="C253" s="218">
        <v>56414.925000000003</v>
      </c>
      <c r="D253" s="219">
        <v>2.5599999999999956E-2</v>
      </c>
      <c r="E253" s="220">
        <f t="shared" si="47"/>
        <v>1444.2220799999975</v>
      </c>
    </row>
    <row r="254" spans="1:5" ht="15.75" x14ac:dyDescent="0.3">
      <c r="A254" s="217" t="s">
        <v>55</v>
      </c>
      <c r="B254" s="217" t="s">
        <v>131</v>
      </c>
      <c r="C254" s="218">
        <v>97015.340100000001</v>
      </c>
      <c r="D254" s="219">
        <v>5.5799999999999961E-2</v>
      </c>
      <c r="E254" s="220">
        <f t="shared" si="47"/>
        <v>5413.4559775799962</v>
      </c>
    </row>
    <row r="255" spans="1:5" s="223" customFormat="1" ht="15.75" x14ac:dyDescent="0.3">
      <c r="A255" s="221" t="s">
        <v>189</v>
      </c>
      <c r="B255" s="221"/>
      <c r="C255" s="222">
        <f t="shared" ref="C255" si="59">SUM(C252:C254)</f>
        <v>3892744.3916999996</v>
      </c>
      <c r="D255" s="222"/>
      <c r="E255" s="222">
        <f>SUM(E252:E254)</f>
        <v>47616.202037519965</v>
      </c>
    </row>
    <row r="256" spans="1:5" ht="15.75" x14ac:dyDescent="0.3">
      <c r="A256" s="217" t="s">
        <v>44</v>
      </c>
      <c r="B256" s="217" t="s">
        <v>128</v>
      </c>
      <c r="C256" s="218">
        <v>2180000.701632</v>
      </c>
      <c r="D256" s="219">
        <v>1.0899999999999993E-2</v>
      </c>
      <c r="E256" s="220">
        <f t="shared" si="47"/>
        <v>23762.007647788785</v>
      </c>
    </row>
    <row r="257" spans="1:5" ht="15.75" x14ac:dyDescent="0.3">
      <c r="A257" s="217" t="s">
        <v>44</v>
      </c>
      <c r="B257" s="217" t="s">
        <v>129</v>
      </c>
      <c r="C257" s="218">
        <v>85979.5144</v>
      </c>
      <c r="D257" s="219">
        <v>2.5599999999999956E-2</v>
      </c>
      <c r="E257" s="220">
        <f t="shared" si="47"/>
        <v>2201.0755686399962</v>
      </c>
    </row>
    <row r="258" spans="1:5" ht="15.75" x14ac:dyDescent="0.3">
      <c r="A258" s="217" t="s">
        <v>44</v>
      </c>
      <c r="B258" s="217" t="s">
        <v>131</v>
      </c>
      <c r="C258" s="218">
        <v>85495.8</v>
      </c>
      <c r="D258" s="219">
        <v>5.5799999999999961E-2</v>
      </c>
      <c r="E258" s="220">
        <f t="shared" si="47"/>
        <v>4770.6656399999965</v>
      </c>
    </row>
    <row r="259" spans="1:5" s="223" customFormat="1" ht="15.75" x14ac:dyDescent="0.3">
      <c r="A259" s="221" t="s">
        <v>190</v>
      </c>
      <c r="B259" s="221"/>
      <c r="C259" s="222">
        <f t="shared" ref="C259" si="60">SUM(C256:C258)</f>
        <v>2351476.0160320001</v>
      </c>
      <c r="D259" s="222"/>
      <c r="E259" s="222">
        <f>SUM(E256:E258)</f>
        <v>30733.748856428778</v>
      </c>
    </row>
    <row r="260" spans="1:5" ht="15.75" x14ac:dyDescent="0.3">
      <c r="A260" s="217" t="s">
        <v>56</v>
      </c>
      <c r="B260" s="217" t="s">
        <v>128</v>
      </c>
      <c r="C260" s="218">
        <v>4825706.5</v>
      </c>
      <c r="D260" s="219">
        <v>1.0899999999999993E-2</v>
      </c>
      <c r="E260" s="220">
        <f t="shared" si="47"/>
        <v>52600.200849999965</v>
      </c>
    </row>
    <row r="261" spans="1:5" ht="15.75" x14ac:dyDescent="0.3">
      <c r="A261" s="217" t="s">
        <v>56</v>
      </c>
      <c r="B261" s="217" t="s">
        <v>129</v>
      </c>
      <c r="C261" s="218">
        <v>278304.63</v>
      </c>
      <c r="D261" s="219">
        <v>2.5599999999999956E-2</v>
      </c>
      <c r="E261" s="220">
        <f t="shared" si="47"/>
        <v>7124.5985279999877</v>
      </c>
    </row>
    <row r="262" spans="1:5" ht="15.75" x14ac:dyDescent="0.3">
      <c r="A262" s="217" t="s">
        <v>56</v>
      </c>
      <c r="B262" s="217" t="s">
        <v>130</v>
      </c>
      <c r="C262" s="218">
        <v>575117.94999999995</v>
      </c>
      <c r="D262" s="219">
        <v>2.5999999999999912E-3</v>
      </c>
      <c r="E262" s="220">
        <f t="shared" si="47"/>
        <v>1495.3066699999947</v>
      </c>
    </row>
    <row r="263" spans="1:5" ht="15.75" x14ac:dyDescent="0.3">
      <c r="A263" s="217" t="s">
        <v>56</v>
      </c>
      <c r="B263" s="217" t="s">
        <v>131</v>
      </c>
      <c r="C263" s="218">
        <v>53879.099999999991</v>
      </c>
      <c r="D263" s="219">
        <v>5.5799999999999961E-2</v>
      </c>
      <c r="E263" s="220">
        <f t="shared" si="47"/>
        <v>3006.4537799999976</v>
      </c>
    </row>
    <row r="264" spans="1:5" s="223" customFormat="1" ht="15.75" x14ac:dyDescent="0.3">
      <c r="A264" s="221" t="s">
        <v>191</v>
      </c>
      <c r="B264" s="221"/>
      <c r="C264" s="222">
        <f t="shared" ref="C264" si="61">SUM(C260:C263)</f>
        <v>5733008.1799999997</v>
      </c>
      <c r="D264" s="222"/>
      <c r="E264" s="222">
        <f>SUM(E260:E263)</f>
        <v>64226.559827999947</v>
      </c>
    </row>
    <row r="265" spans="1:5" ht="15.75" x14ac:dyDescent="0.3">
      <c r="A265" s="217" t="s">
        <v>57</v>
      </c>
      <c r="B265" s="217" t="s">
        <v>128</v>
      </c>
      <c r="C265" s="218">
        <v>4927623.0692999996</v>
      </c>
      <c r="D265" s="219">
        <v>1.0899999999999993E-2</v>
      </c>
      <c r="E265" s="220">
        <f t="shared" ref="E265:E301" si="62">C265*D265</f>
        <v>53711.091455369962</v>
      </c>
    </row>
    <row r="266" spans="1:5" ht="15.75" x14ac:dyDescent="0.3">
      <c r="A266" s="217" t="s">
        <v>57</v>
      </c>
      <c r="B266" s="217" t="s">
        <v>129</v>
      </c>
      <c r="C266" s="218">
        <v>210635.45790000001</v>
      </c>
      <c r="D266" s="219">
        <v>2.5599999999999956E-2</v>
      </c>
      <c r="E266" s="220">
        <f t="shared" si="62"/>
        <v>5392.2677222399907</v>
      </c>
    </row>
    <row r="267" spans="1:5" ht="15.75" x14ac:dyDescent="0.3">
      <c r="A267" s="217" t="s">
        <v>57</v>
      </c>
      <c r="B267" s="217" t="s">
        <v>130</v>
      </c>
      <c r="C267" s="218">
        <v>415005.79839999997</v>
      </c>
      <c r="D267" s="219">
        <v>2.5999999999999912E-3</v>
      </c>
      <c r="E267" s="220">
        <f t="shared" si="62"/>
        <v>1079.0150758399964</v>
      </c>
    </row>
    <row r="268" spans="1:5" ht="15.75" x14ac:dyDescent="0.3">
      <c r="A268" s="217" t="s">
        <v>57</v>
      </c>
      <c r="B268" s="217" t="s">
        <v>131</v>
      </c>
      <c r="C268" s="218">
        <v>120362.3943</v>
      </c>
      <c r="D268" s="219">
        <v>5.5799999999999961E-2</v>
      </c>
      <c r="E268" s="220">
        <f t="shared" si="62"/>
        <v>6716.2216019399957</v>
      </c>
    </row>
    <row r="269" spans="1:5" s="223" customFormat="1" ht="15.75" x14ac:dyDescent="0.3">
      <c r="A269" s="221" t="s">
        <v>192</v>
      </c>
      <c r="B269" s="221"/>
      <c r="C269" s="222">
        <f t="shared" ref="C269" si="63">SUM(C265:C268)</f>
        <v>5673626.719899999</v>
      </c>
      <c r="D269" s="222"/>
      <c r="E269" s="222">
        <f>SUM(E265:E268)</f>
        <v>66898.59585538994</v>
      </c>
    </row>
    <row r="270" spans="1:5" ht="15.75" x14ac:dyDescent="0.3">
      <c r="A270" s="217" t="s">
        <v>34</v>
      </c>
      <c r="B270" s="217" t="s">
        <v>128</v>
      </c>
      <c r="C270" s="218">
        <v>1500100</v>
      </c>
      <c r="D270" s="219">
        <v>1.0899999999999993E-2</v>
      </c>
      <c r="E270" s="220">
        <f t="shared" si="62"/>
        <v>16351.089999999989</v>
      </c>
    </row>
    <row r="271" spans="1:5" ht="15.75" x14ac:dyDescent="0.3">
      <c r="A271" s="217" t="s">
        <v>34</v>
      </c>
      <c r="B271" s="217" t="s">
        <v>129</v>
      </c>
      <c r="C271" s="218">
        <v>116000</v>
      </c>
      <c r="D271" s="219">
        <v>2.5599999999999956E-2</v>
      </c>
      <c r="E271" s="220">
        <f t="shared" si="62"/>
        <v>2969.5999999999949</v>
      </c>
    </row>
    <row r="272" spans="1:5" ht="15.75" x14ac:dyDescent="0.3">
      <c r="A272" s="217" t="s">
        <v>34</v>
      </c>
      <c r="B272" s="217" t="s">
        <v>131</v>
      </c>
      <c r="C272" s="218">
        <v>68568.5</v>
      </c>
      <c r="D272" s="219">
        <v>5.5799999999999961E-2</v>
      </c>
      <c r="E272" s="220">
        <f t="shared" si="62"/>
        <v>3826.1222999999973</v>
      </c>
    </row>
    <row r="273" spans="1:5" s="223" customFormat="1" ht="15.75" x14ac:dyDescent="0.3">
      <c r="A273" s="221" t="s">
        <v>193</v>
      </c>
      <c r="B273" s="221"/>
      <c r="C273" s="222">
        <f t="shared" ref="C273" si="64">SUM(C270:C272)</f>
        <v>1684668.5</v>
      </c>
      <c r="D273" s="222"/>
      <c r="E273" s="222">
        <f>SUM(E270:E272)</f>
        <v>23146.812299999983</v>
      </c>
    </row>
    <row r="274" spans="1:5" ht="15.75" x14ac:dyDescent="0.3">
      <c r="A274" s="217" t="s">
        <v>25</v>
      </c>
      <c r="B274" s="217" t="s">
        <v>128</v>
      </c>
      <c r="C274" s="218">
        <v>691712.147</v>
      </c>
      <c r="D274" s="219">
        <v>1.0899999999999993E-2</v>
      </c>
      <c r="E274" s="220">
        <f t="shared" si="62"/>
        <v>7539.6624022999949</v>
      </c>
    </row>
    <row r="275" spans="1:5" ht="15.75" x14ac:dyDescent="0.3">
      <c r="A275" s="217" t="s">
        <v>25</v>
      </c>
      <c r="B275" s="217" t="s">
        <v>129</v>
      </c>
      <c r="C275" s="218">
        <v>184451.25599999999</v>
      </c>
      <c r="D275" s="219">
        <v>2.5599999999999956E-2</v>
      </c>
      <c r="E275" s="220">
        <f t="shared" si="62"/>
        <v>4721.952153599992</v>
      </c>
    </row>
    <row r="276" spans="1:5" ht="15.75" x14ac:dyDescent="0.3">
      <c r="A276" s="217" t="s">
        <v>25</v>
      </c>
      <c r="B276" s="217" t="s">
        <v>131</v>
      </c>
      <c r="C276" s="218">
        <v>39326.759999999987</v>
      </c>
      <c r="D276" s="219">
        <v>5.5799999999999961E-2</v>
      </c>
      <c r="E276" s="220">
        <f t="shared" si="62"/>
        <v>2194.4332079999976</v>
      </c>
    </row>
    <row r="277" spans="1:5" s="223" customFormat="1" ht="15.75" x14ac:dyDescent="0.3">
      <c r="A277" s="221" t="s">
        <v>194</v>
      </c>
      <c r="B277" s="221"/>
      <c r="C277" s="222">
        <f t="shared" ref="C277" si="65">SUM(C274:C276)</f>
        <v>915490.16299999994</v>
      </c>
      <c r="D277" s="222"/>
      <c r="E277" s="222">
        <f>SUM(E274:E276)</f>
        <v>14456.047763899984</v>
      </c>
    </row>
    <row r="278" spans="1:5" ht="15.75" x14ac:dyDescent="0.3">
      <c r="A278" s="217" t="s">
        <v>14</v>
      </c>
      <c r="B278" s="217" t="s">
        <v>128</v>
      </c>
      <c r="C278" s="218">
        <v>292242.69099999999</v>
      </c>
      <c r="D278" s="219">
        <v>1.0899999999999993E-2</v>
      </c>
      <c r="E278" s="220">
        <f t="shared" si="62"/>
        <v>3185.4453318999977</v>
      </c>
    </row>
    <row r="279" spans="1:5" ht="15.75" x14ac:dyDescent="0.3">
      <c r="A279" s="217" t="s">
        <v>14</v>
      </c>
      <c r="B279" s="217" t="s">
        <v>130</v>
      </c>
      <c r="C279" s="218">
        <v>42847.44</v>
      </c>
      <c r="D279" s="219">
        <v>2.5999999999999912E-3</v>
      </c>
      <c r="E279" s="220">
        <f t="shared" si="62"/>
        <v>111.40334399999963</v>
      </c>
    </row>
    <row r="280" spans="1:5" ht="15.75" x14ac:dyDescent="0.3">
      <c r="A280" s="217" t="s">
        <v>14</v>
      </c>
      <c r="B280" s="217" t="s">
        <v>131</v>
      </c>
      <c r="C280" s="218">
        <v>35842.949999999997</v>
      </c>
      <c r="D280" s="219">
        <v>5.5799999999999961E-2</v>
      </c>
      <c r="E280" s="220">
        <f t="shared" si="62"/>
        <v>2000.0366099999985</v>
      </c>
    </row>
    <row r="281" spans="1:5" s="223" customFormat="1" ht="15.75" x14ac:dyDescent="0.3">
      <c r="A281" s="221" t="s">
        <v>195</v>
      </c>
      <c r="B281" s="221"/>
      <c r="C281" s="222">
        <f t="shared" ref="C281" si="66">SUM(C278:C280)</f>
        <v>370933.08100000001</v>
      </c>
      <c r="D281" s="222"/>
      <c r="E281" s="222">
        <f>SUM(E278:E280)</f>
        <v>5296.8852858999962</v>
      </c>
    </row>
    <row r="282" spans="1:5" ht="15.75" x14ac:dyDescent="0.3">
      <c r="A282" s="217" t="s">
        <v>4</v>
      </c>
      <c r="B282" s="217" t="s">
        <v>128</v>
      </c>
      <c r="C282" s="218">
        <v>249367.81584</v>
      </c>
      <c r="D282" s="219">
        <v>1.0899999999999993E-2</v>
      </c>
      <c r="E282" s="220">
        <f t="shared" si="62"/>
        <v>2718.1091926559984</v>
      </c>
    </row>
    <row r="283" spans="1:5" ht="15.75" x14ac:dyDescent="0.3">
      <c r="A283" s="217" t="s">
        <v>4</v>
      </c>
      <c r="B283" s="217" t="s">
        <v>130</v>
      </c>
      <c r="C283" s="218">
        <v>44639.703679999999</v>
      </c>
      <c r="D283" s="219">
        <v>2.5999999999999912E-3</v>
      </c>
      <c r="E283" s="220">
        <f t="shared" si="62"/>
        <v>116.0632295679996</v>
      </c>
    </row>
    <row r="284" spans="1:5" ht="15.75" x14ac:dyDescent="0.3">
      <c r="A284" s="217" t="s">
        <v>4</v>
      </c>
      <c r="B284" s="217" t="s">
        <v>131</v>
      </c>
      <c r="C284" s="218">
        <v>80565.584000000003</v>
      </c>
      <c r="D284" s="219">
        <v>5.5799999999999961E-2</v>
      </c>
      <c r="E284" s="220">
        <f t="shared" si="62"/>
        <v>4495.5595871999967</v>
      </c>
    </row>
    <row r="285" spans="1:5" s="223" customFormat="1" ht="15.75" x14ac:dyDescent="0.3">
      <c r="A285" s="221" t="s">
        <v>196</v>
      </c>
      <c r="B285" s="221"/>
      <c r="C285" s="222">
        <f t="shared" ref="C285" si="67">SUM(C282:C284)</f>
        <v>374573.10352</v>
      </c>
      <c r="D285" s="222"/>
      <c r="E285" s="222">
        <f>SUM(E282:E284)</f>
        <v>7329.7320094239949</v>
      </c>
    </row>
    <row r="286" spans="1:5" ht="15.75" x14ac:dyDescent="0.3">
      <c r="A286" s="217" t="s">
        <v>62</v>
      </c>
      <c r="B286" s="217" t="s">
        <v>128</v>
      </c>
      <c r="C286" s="218">
        <v>7011017.5</v>
      </c>
      <c r="D286" s="219">
        <v>1.0899999999999993E-2</v>
      </c>
      <c r="E286" s="220">
        <f t="shared" si="62"/>
        <v>76420.090749999945</v>
      </c>
    </row>
    <row r="287" spans="1:5" ht="15.75" x14ac:dyDescent="0.3">
      <c r="A287" s="217" t="s">
        <v>62</v>
      </c>
      <c r="B287" s="217" t="s">
        <v>129</v>
      </c>
      <c r="C287" s="218">
        <v>298054</v>
      </c>
      <c r="D287" s="219">
        <v>2.5599999999999956E-2</v>
      </c>
      <c r="E287" s="220">
        <f t="shared" si="62"/>
        <v>7630.182399999987</v>
      </c>
    </row>
    <row r="288" spans="1:5" ht="15.75" x14ac:dyDescent="0.3">
      <c r="A288" s="217" t="s">
        <v>62</v>
      </c>
      <c r="B288" s="217" t="s">
        <v>130</v>
      </c>
      <c r="C288" s="218">
        <v>337595</v>
      </c>
      <c r="D288" s="219">
        <v>2.5999999999999912E-3</v>
      </c>
      <c r="E288" s="220">
        <f t="shared" si="62"/>
        <v>877.746999999997</v>
      </c>
    </row>
    <row r="289" spans="1:5" ht="15.75" x14ac:dyDescent="0.3">
      <c r="A289" s="217" t="s">
        <v>62</v>
      </c>
      <c r="B289" s="217" t="s">
        <v>131</v>
      </c>
      <c r="C289" s="218">
        <v>167240</v>
      </c>
      <c r="D289" s="219">
        <v>5.5799999999999961E-2</v>
      </c>
      <c r="E289" s="220">
        <f t="shared" si="62"/>
        <v>9331.9919999999929</v>
      </c>
    </row>
    <row r="290" spans="1:5" s="223" customFormat="1" ht="15.75" x14ac:dyDescent="0.3">
      <c r="A290" s="221" t="s">
        <v>197</v>
      </c>
      <c r="B290" s="221"/>
      <c r="C290" s="222">
        <f t="shared" ref="C290" si="68">SUM(C286:C289)</f>
        <v>7813906.5</v>
      </c>
      <c r="D290" s="222"/>
      <c r="E290" s="222">
        <f>SUM(E286:E289)</f>
        <v>94260.012149999937</v>
      </c>
    </row>
    <row r="291" spans="1:5" ht="15.75" x14ac:dyDescent="0.3">
      <c r="A291" s="217" t="s">
        <v>26</v>
      </c>
      <c r="B291" s="217" t="s">
        <v>128</v>
      </c>
      <c r="C291" s="218">
        <v>358347.65299999999</v>
      </c>
      <c r="D291" s="219">
        <v>1.0899999999999993E-2</v>
      </c>
      <c r="E291" s="220">
        <f t="shared" si="62"/>
        <v>3905.9894176999974</v>
      </c>
    </row>
    <row r="292" spans="1:5" ht="15.75" x14ac:dyDescent="0.3">
      <c r="A292" s="217" t="s">
        <v>26</v>
      </c>
      <c r="B292" s="217" t="s">
        <v>129</v>
      </c>
      <c r="C292" s="218">
        <v>51861.403999999995</v>
      </c>
      <c r="D292" s="219">
        <v>2.5599999999999956E-2</v>
      </c>
      <c r="E292" s="220">
        <f t="shared" si="62"/>
        <v>1327.6519423999976</v>
      </c>
    </row>
    <row r="293" spans="1:5" ht="15.75" x14ac:dyDescent="0.3">
      <c r="A293" s="217" t="s">
        <v>26</v>
      </c>
      <c r="B293" s="217" t="s">
        <v>131</v>
      </c>
      <c r="C293" s="218">
        <v>58015.05</v>
      </c>
      <c r="D293" s="219">
        <v>5.5799999999999961E-2</v>
      </c>
      <c r="E293" s="220">
        <f t="shared" si="62"/>
        <v>3237.2397899999978</v>
      </c>
    </row>
    <row r="294" spans="1:5" s="223" customFormat="1" ht="15.75" x14ac:dyDescent="0.3">
      <c r="A294" s="221" t="s">
        <v>198</v>
      </c>
      <c r="B294" s="221"/>
      <c r="C294" s="222">
        <f t="shared" ref="C294" si="69">SUM(C291:C293)</f>
        <v>468224.10699999996</v>
      </c>
      <c r="D294" s="222"/>
      <c r="E294" s="222">
        <f>SUM(E291:E293)</f>
        <v>8470.8811500999927</v>
      </c>
    </row>
    <row r="295" spans="1:5" ht="15.75" x14ac:dyDescent="0.3">
      <c r="A295" s="217" t="s">
        <v>35</v>
      </c>
      <c r="B295" s="217" t="s">
        <v>128</v>
      </c>
      <c r="C295" s="218">
        <v>949571.35000000009</v>
      </c>
      <c r="D295" s="219">
        <v>1.0899999999999993E-2</v>
      </c>
      <c r="E295" s="220">
        <f t="shared" si="62"/>
        <v>10350.327714999994</v>
      </c>
    </row>
    <row r="296" spans="1:5" ht="15.75" x14ac:dyDescent="0.3">
      <c r="A296" s="217" t="s">
        <v>35</v>
      </c>
      <c r="B296" s="217" t="s">
        <v>129</v>
      </c>
      <c r="C296" s="218">
        <v>268525.40000000002</v>
      </c>
      <c r="D296" s="219">
        <v>2.5599999999999956E-2</v>
      </c>
      <c r="E296" s="220">
        <f t="shared" si="62"/>
        <v>6874.2502399999885</v>
      </c>
    </row>
    <row r="297" spans="1:5" ht="15.75" x14ac:dyDescent="0.3">
      <c r="A297" s="217" t="s">
        <v>35</v>
      </c>
      <c r="B297" s="217" t="s">
        <v>131</v>
      </c>
      <c r="C297" s="218">
        <v>49792.4</v>
      </c>
      <c r="D297" s="219">
        <v>5.5799999999999961E-2</v>
      </c>
      <c r="E297" s="220">
        <f t="shared" si="62"/>
        <v>2778.4159199999981</v>
      </c>
    </row>
    <row r="298" spans="1:5" s="223" customFormat="1" ht="15.75" x14ac:dyDescent="0.3">
      <c r="A298" s="221" t="s">
        <v>199</v>
      </c>
      <c r="B298" s="221"/>
      <c r="C298" s="222">
        <f t="shared" ref="C298" si="70">SUM(C295:C297)</f>
        <v>1267889.1499999999</v>
      </c>
      <c r="D298" s="222"/>
      <c r="E298" s="222">
        <f>SUM(E295:E297)</f>
        <v>20002.993874999982</v>
      </c>
    </row>
    <row r="299" spans="1:5" ht="15.75" x14ac:dyDescent="0.3">
      <c r="A299" s="217" t="s">
        <v>15</v>
      </c>
      <c r="B299" s="217" t="s">
        <v>128</v>
      </c>
      <c r="C299" s="218">
        <v>394728.76</v>
      </c>
      <c r="D299" s="219">
        <v>1.0899999999999993E-2</v>
      </c>
      <c r="E299" s="220">
        <f t="shared" si="62"/>
        <v>4302.5434839999971</v>
      </c>
    </row>
    <row r="300" spans="1:5" ht="15.75" x14ac:dyDescent="0.3">
      <c r="A300" s="217" t="s">
        <v>15</v>
      </c>
      <c r="B300" s="217" t="s">
        <v>129</v>
      </c>
      <c r="C300" s="218">
        <v>92406.5</v>
      </c>
      <c r="D300" s="219">
        <v>2.5599999999999956E-2</v>
      </c>
      <c r="E300" s="220">
        <f t="shared" si="62"/>
        <v>2365.606399999996</v>
      </c>
    </row>
    <row r="301" spans="1:5" ht="15.75" x14ac:dyDescent="0.3">
      <c r="A301" s="217" t="s">
        <v>15</v>
      </c>
      <c r="B301" s="217" t="s">
        <v>131</v>
      </c>
      <c r="C301" s="218">
        <v>67015.199999999997</v>
      </c>
      <c r="D301" s="219">
        <v>5.5799999999999961E-2</v>
      </c>
      <c r="E301" s="220">
        <f t="shared" si="62"/>
        <v>3739.4481599999972</v>
      </c>
    </row>
    <row r="302" spans="1:5" s="223" customFormat="1" ht="15.75" x14ac:dyDescent="0.3">
      <c r="A302" s="221" t="s">
        <v>200</v>
      </c>
      <c r="B302" s="221"/>
      <c r="C302" s="222">
        <f t="shared" ref="C302" si="71">SUM(C299:C301)</f>
        <v>554150.46</v>
      </c>
      <c r="D302" s="222"/>
      <c r="E302" s="222">
        <f>SUM(E299:E301)</f>
        <v>10407.598043999991</v>
      </c>
    </row>
    <row r="303" spans="1:5" s="223" customFormat="1" ht="8.25" customHeight="1" x14ac:dyDescent="0.3">
      <c r="A303" s="221"/>
      <c r="B303" s="221"/>
      <c r="C303" s="225"/>
      <c r="E303" s="222"/>
    </row>
    <row r="304" spans="1:5" s="223" customFormat="1" ht="15.75" x14ac:dyDescent="0.3">
      <c r="A304" s="221" t="s">
        <v>201</v>
      </c>
      <c r="B304" s="221"/>
      <c r="C304" s="222">
        <f>C6+C11+C16+C21+C26+C30+C34+C39+C43+C48+C53+C57+C60+C65+C70+C75+C79+C84+C89+C93+C97+C101+C105+C109+C113+C118+C123+C128+C132+C137+C141+C145+C148+C153+C158+C162+C166+C170+C173+C178+C183+C188+C193+C198+C203+C208+C211+C216+C221+C226+C231+C236+C241+C246+C251+C255+C259+C264+C269+C273+C277+C281+C285+C290+C294+C298+C302</f>
        <v>296364913.96277303</v>
      </c>
      <c r="D304" s="222"/>
      <c r="E304" s="222">
        <f>E6+E11+E16+E21+E26+E30+E34+E39+E43+E48+E53+E57+E60+E65+E70+E75+E79+E84+E89+E93+E97+E101+E105+E109+E113+E118+E123+E128+E132+E137+E141+E145+E148+E153+E158+E162+E166+E170+E173+E178+E183+E188+E193+E198+E203+E208+E211+E216+E221+E226+E231+E236+E241+E246+E251+E255+E259+E264+E269+E273+E277+E281+E285+E290+E294+E298+E302</f>
        <v>3518133.2473523188</v>
      </c>
    </row>
    <row r="305" spans="1:6" ht="15.75" x14ac:dyDescent="0.3">
      <c r="A305" s="217"/>
      <c r="B305" s="217"/>
      <c r="C305" s="218"/>
      <c r="D305" s="217"/>
      <c r="E305" s="217"/>
      <c r="F305" s="217"/>
    </row>
    <row r="306" spans="1:6" ht="16.5" thickBot="1" x14ac:dyDescent="0.35">
      <c r="A306" s="217"/>
      <c r="B306" s="217"/>
      <c r="C306" s="218"/>
      <c r="D306" s="217"/>
      <c r="E306" s="222"/>
      <c r="F306" s="217"/>
    </row>
    <row r="307" spans="1:6" ht="15.75" x14ac:dyDescent="0.3">
      <c r="A307" s="217"/>
      <c r="B307" s="226" t="s">
        <v>128</v>
      </c>
      <c r="C307" s="227">
        <f>C2+C7+C12+C17+C22+C27+C31+C35+C40+C44+C49+C54+C58+C61+C66+C67+C68+C71+C76+C80+C85+C90+C94+C98+C102+C106+C110+C114+C119+C124+C129+C133+C138+C142+C146+C149+C154+C159+C163+C167+C171+C174+C179+C184+C189+C194+C199+C204+C209+C212+C217+C222+C227+C232+C237+C242+C247+C252+C256+C260+C265+C270+C274+C278+C282+C286+C291+C295+C299</f>
        <v>258875056.77488443</v>
      </c>
      <c r="D307" s="227"/>
      <c r="E307" s="228">
        <f t="shared" ref="E307" si="72">E2+E7+E12+E17+E22+E27+E31+E35+E40+E44+E49+E54+E58+E61+E66+E67+E68+E71+E76+E80+E85+E90+E94+E98+E102+E106+E110+E114+E119+E124+E129+E133+E138+E142+E146+E149+E154+E159+E163+E167+E171+E174+E179+E184+E189+E194+E199+E204+E209+E212+E217+E222+E227+E232+E237+E242+E247+E252+E256+E260+E265+E270+E274+E278+E282+E286+E291+E295+E299</f>
        <v>2821738.1188462391</v>
      </c>
      <c r="F307" s="217"/>
    </row>
    <row r="308" spans="1:6" ht="15.75" x14ac:dyDescent="0.3">
      <c r="A308" s="217"/>
      <c r="B308" s="229" t="s">
        <v>129</v>
      </c>
      <c r="C308" s="230">
        <f>C3+C8+C13+C18+C23+C28+C36+C41+C45+C50+C62+C72+C77+C81+C86+C91+C95+C99+C103+C115+C120+C125+C130+C134+C139+C143+C150+C155+C160+C164+C168+C175+C180+C185+C190+C195+C200+C205+C213+C218+C223+C228+C233+C238+C243+C248+C253+C257+C261+C266+C271+C275+C287+C292+C296+C300</f>
        <v>13443278.880906656</v>
      </c>
      <c r="D308" s="230"/>
      <c r="E308" s="231">
        <f t="shared" ref="E308" si="73">E3+E8+E13+E18+E23+E28+E36+E41+E45+E50+E62+E72+E77+E81+E86+E91+E95+E99+E103+E115+E120+E125+E130+E134+E139+E143+E150+E155+E160+E164+E168+E175+E180+E185+E190+E195+E200+E205+E213+E218+E223+E228+E233+E238+E243+E248+E253+E257+E261+E266+E271+E275+E287+E292+E296+E300</f>
        <v>344147.93935120985</v>
      </c>
      <c r="F308" s="217"/>
    </row>
    <row r="309" spans="1:6" ht="15.75" x14ac:dyDescent="0.3">
      <c r="A309" s="217"/>
      <c r="B309" s="229" t="s">
        <v>130</v>
      </c>
      <c r="C309" s="230">
        <f>C4+C9+C14+C19+C24+C32+C37+C46+C51+C55+C63+C73+C82+C87+C107+C111+C116+C121+C126+C135+C151+C156+C176+C181+C186+C191+C196+C201+C206+C214+C219+C224+C229+C234+C239+C244+C249+C262+C267+C279+C283+C288</f>
        <v>18600599.255164016</v>
      </c>
      <c r="D309" s="230"/>
      <c r="E309" s="231">
        <f t="shared" ref="E309" si="74">E4+E9+E14+E19+E24+E32+E37+E46+E51+E55+E63+E73+E82+E87+E107+E111+E116+E121+E126+E135+E151+E156+E176+E181+E186+E191+E196+E201+E206+E214+E219+E224+E229+E234+E239+E244+E249+E262+E267+E279+E283+E288</f>
        <v>48361.558063426273</v>
      </c>
      <c r="F309" s="217"/>
    </row>
    <row r="310" spans="1:6" ht="15.75" x14ac:dyDescent="0.3">
      <c r="A310" s="217"/>
      <c r="B310" s="229" t="s">
        <v>131</v>
      </c>
      <c r="C310" s="232">
        <f>C5+C10+C15+C20+C25+C29+C33+C38+C42+C47+C52+C56+C59+C64+C69+C74+C78+C83+C88+C92+C96+C100+C104+C108+C112+C117+C122+C127+C131+C136+C140+C144+C147+C152+C157+C161+C165+C169+C172+C177+C182+C187+C192+C197+C202+C207+C210+C215+C220+C225+C230+C235+C240+C245+C250+C254+C258+C263+C268+C272+C276+C280+C284+C289+C293+C297+C301</f>
        <v>5445979.0518180002</v>
      </c>
      <c r="D310" s="230"/>
      <c r="E310" s="233">
        <f t="shared" ref="E310" si="75">E5+E10+E15+E20+E25+E29+E33+E38+E42+E47+E52+E56+E59+E64+E69+E74+E78+E83+E88+E92+E96+E100+E104+E108+E112+E117+E122+E127+E131+E136+E140+E144+E147+E152+E157+E161+E165+E169+E172+E177+E182+E187+E192+E197+E202+E207+E210+E215+E220+E225+E230+E235+E240+E245+E250+E254+E258+E263+E268+E272+E276+E280+E284+E289+E293+E297+E301</f>
        <v>303885.63109144411</v>
      </c>
      <c r="F310" s="217"/>
    </row>
    <row r="311" spans="1:6" ht="16.5" thickBot="1" x14ac:dyDescent="0.35">
      <c r="A311" s="217"/>
      <c r="B311" s="234"/>
      <c r="C311" s="235">
        <f>SUM(C307:C310)</f>
        <v>296364913.96277314</v>
      </c>
      <c r="D311" s="235"/>
      <c r="E311" s="236">
        <f t="shared" ref="E311" si="76">SUM(E307:E310)</f>
        <v>3518133.2473523193</v>
      </c>
      <c r="F311" s="217"/>
    </row>
    <row r="312" spans="1:6" ht="15.75" x14ac:dyDescent="0.3">
      <c r="A312" s="217"/>
      <c r="B312" s="217"/>
      <c r="C312" s="218"/>
      <c r="D312" s="217"/>
      <c r="E312" s="217"/>
      <c r="F312" s="217"/>
    </row>
    <row r="313" spans="1:6" ht="15.75" x14ac:dyDescent="0.3">
      <c r="A313" s="217"/>
      <c r="B313" s="217"/>
      <c r="C313" s="218"/>
      <c r="D313" s="217"/>
      <c r="E313" s="217"/>
      <c r="F313" s="217"/>
    </row>
    <row r="314" spans="1:6" ht="15.75" x14ac:dyDescent="0.3">
      <c r="A314" s="217"/>
      <c r="B314" s="217"/>
      <c r="C314" s="218"/>
      <c r="D314" s="217"/>
      <c r="E314" s="217"/>
      <c r="F314" s="217"/>
    </row>
    <row r="315" spans="1:6" ht="15.75" x14ac:dyDescent="0.3">
      <c r="A315" s="217"/>
      <c r="B315" s="217"/>
      <c r="C315" s="218"/>
      <c r="D315" s="217"/>
      <c r="E315" s="217"/>
      <c r="F315" s="217"/>
    </row>
    <row r="316" spans="1:6" ht="15.75" x14ac:dyDescent="0.3">
      <c r="A316" s="217"/>
      <c r="B316" s="217"/>
      <c r="C316" s="218"/>
      <c r="D316" s="217"/>
      <c r="E316" s="217"/>
      <c r="F316" s="2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7A76-851F-40B6-AA68-C3D039049570}">
  <sheetPr>
    <tabColor rgb="FF0070C0"/>
    <pageSetUpPr fitToPage="1"/>
  </sheetPr>
  <dimension ref="A1:K78"/>
  <sheetViews>
    <sheetView zoomScale="110" zoomScaleNormal="11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C73" sqref="C73"/>
    </sheetView>
  </sheetViews>
  <sheetFormatPr defaultColWidth="9.140625" defaultRowHeight="15.75" x14ac:dyDescent="0.25"/>
  <cols>
    <col min="1" max="1" width="14.85546875" style="150" customWidth="1"/>
    <col min="2" max="2" width="17.7109375" style="150" customWidth="1"/>
    <col min="3" max="3" width="16.42578125" style="150" customWidth="1"/>
    <col min="4" max="4" width="20.5703125" style="150" customWidth="1"/>
    <col min="5" max="5" width="21.140625" style="150" customWidth="1"/>
    <col min="6" max="6" width="19.42578125" style="163" customWidth="1"/>
    <col min="7" max="7" width="20.140625" style="150" customWidth="1"/>
    <col min="8" max="8" width="19.140625" style="150" customWidth="1"/>
    <col min="9" max="9" width="20.5703125" style="150" customWidth="1"/>
    <col min="10" max="10" width="19" style="150" customWidth="1"/>
    <col min="11" max="11" width="15.85546875" style="150" customWidth="1"/>
    <col min="12" max="16384" width="9.140625" style="150"/>
  </cols>
  <sheetData>
    <row r="1" spans="1:11" s="146" customFormat="1" ht="63" x14ac:dyDescent="0.25">
      <c r="A1" s="141" t="s">
        <v>0</v>
      </c>
      <c r="B1" s="142" t="s">
        <v>116</v>
      </c>
      <c r="C1" s="142" t="s">
        <v>104</v>
      </c>
      <c r="D1" s="143" t="s">
        <v>105</v>
      </c>
      <c r="E1" s="142" t="s">
        <v>106</v>
      </c>
      <c r="F1" s="144" t="s">
        <v>107</v>
      </c>
      <c r="G1" s="144" t="s">
        <v>108</v>
      </c>
      <c r="H1" s="144" t="s">
        <v>109</v>
      </c>
      <c r="I1" s="144" t="s">
        <v>110</v>
      </c>
      <c r="J1" s="145" t="s">
        <v>111</v>
      </c>
      <c r="K1" s="145" t="s">
        <v>112</v>
      </c>
    </row>
    <row r="2" spans="1:11" x14ac:dyDescent="0.25">
      <c r="A2" s="147" t="s">
        <v>36</v>
      </c>
      <c r="B2" s="174">
        <v>5388520</v>
      </c>
      <c r="C2" s="175">
        <v>1387397</v>
      </c>
      <c r="D2" s="148">
        <v>4064720.2999999993</v>
      </c>
      <c r="E2" s="148">
        <f t="shared" ref="E2:E42" si="0">SUM(C2:D2)</f>
        <v>5452117.2999999989</v>
      </c>
      <c r="F2" s="148">
        <v>0</v>
      </c>
      <c r="G2" s="148">
        <v>5259693.76</v>
      </c>
      <c r="H2" s="148">
        <f t="shared" ref="H2:H33" si="1">G2-B2</f>
        <v>-128826.24000000022</v>
      </c>
      <c r="I2" s="148">
        <f t="shared" ref="I2:I65" si="2">SUM(F2:G2)</f>
        <v>5259693.76</v>
      </c>
      <c r="J2" s="148">
        <f t="shared" ref="J2:J66" si="3">E2-I2</f>
        <v>192423.53999999911</v>
      </c>
      <c r="K2" s="149" t="str">
        <f>_xlfn.IFS(J2&gt;0,"Due To TF",J2&lt;0,"Due From TF")</f>
        <v>Due To TF</v>
      </c>
    </row>
    <row r="3" spans="1:11" x14ac:dyDescent="0.25">
      <c r="A3" s="147" t="s">
        <v>5</v>
      </c>
      <c r="B3" s="174">
        <v>663029</v>
      </c>
      <c r="C3" s="175">
        <v>242990</v>
      </c>
      <c r="D3" s="148">
        <v>446897.77</v>
      </c>
      <c r="E3" s="148">
        <f t="shared" si="0"/>
        <v>689887.77</v>
      </c>
      <c r="F3" s="148">
        <v>0</v>
      </c>
      <c r="G3" s="148">
        <v>615985.4</v>
      </c>
      <c r="H3" s="148">
        <f t="shared" si="1"/>
        <v>-47043.599999999977</v>
      </c>
      <c r="I3" s="148">
        <f t="shared" si="2"/>
        <v>615985.4</v>
      </c>
      <c r="J3" s="148">
        <f t="shared" si="3"/>
        <v>73902.37</v>
      </c>
      <c r="K3" s="149" t="str">
        <f t="shared" ref="K3:K66" si="4">_xlfn.IFS(J3&gt;0,"Due To TF",J3&lt;0,"Due From TF")</f>
        <v>Due To TF</v>
      </c>
    </row>
    <row r="4" spans="1:11" x14ac:dyDescent="0.25">
      <c r="A4" s="151" t="s">
        <v>45</v>
      </c>
      <c r="B4" s="176">
        <v>3437112</v>
      </c>
      <c r="C4" s="177">
        <v>0</v>
      </c>
      <c r="D4" s="152">
        <v>4264481.0599999996</v>
      </c>
      <c r="E4" s="152">
        <f t="shared" si="0"/>
        <v>4264481.0599999996</v>
      </c>
      <c r="F4" s="148">
        <v>897560.14</v>
      </c>
      <c r="G4" s="152">
        <v>3437112</v>
      </c>
      <c r="H4" s="152">
        <f t="shared" si="1"/>
        <v>0</v>
      </c>
      <c r="I4" s="152">
        <f>SUM(F4:G4)</f>
        <v>4334672.1399999997</v>
      </c>
      <c r="J4" s="152">
        <f t="shared" si="3"/>
        <v>-70191.080000000075</v>
      </c>
      <c r="K4" s="153" t="str">
        <f t="shared" si="4"/>
        <v>Due From TF</v>
      </c>
    </row>
    <row r="5" spans="1:11" x14ac:dyDescent="0.25">
      <c r="A5" s="155" t="s">
        <v>16</v>
      </c>
      <c r="B5" s="174">
        <v>680789</v>
      </c>
      <c r="C5" s="175">
        <v>0</v>
      </c>
      <c r="D5" s="148">
        <v>783754.22000000009</v>
      </c>
      <c r="E5" s="148">
        <f t="shared" si="0"/>
        <v>783754.22000000009</v>
      </c>
      <c r="F5" s="148">
        <v>117028.90000000001</v>
      </c>
      <c r="G5" s="148">
        <v>680788.99999999988</v>
      </c>
      <c r="H5" s="148">
        <f t="shared" si="1"/>
        <v>0</v>
      </c>
      <c r="I5" s="148">
        <f t="shared" si="2"/>
        <v>797817.89999999991</v>
      </c>
      <c r="J5" s="148">
        <f t="shared" si="3"/>
        <v>-14063.679999999818</v>
      </c>
      <c r="K5" s="149" t="str">
        <f t="shared" si="4"/>
        <v>Due From TF</v>
      </c>
    </row>
    <row r="6" spans="1:11" x14ac:dyDescent="0.25">
      <c r="A6" s="147" t="s">
        <v>46</v>
      </c>
      <c r="B6" s="174">
        <v>10485055</v>
      </c>
      <c r="C6" s="175">
        <v>2071718</v>
      </c>
      <c r="D6" s="148">
        <v>9176573.3599999994</v>
      </c>
      <c r="E6" s="148">
        <f t="shared" si="0"/>
        <v>11248291.359999999</v>
      </c>
      <c r="F6" s="148">
        <v>0</v>
      </c>
      <c r="G6" s="148">
        <v>10485055</v>
      </c>
      <c r="H6" s="148">
        <f t="shared" si="1"/>
        <v>0</v>
      </c>
      <c r="I6" s="148">
        <f t="shared" si="2"/>
        <v>10485055</v>
      </c>
      <c r="J6" s="148">
        <f t="shared" si="3"/>
        <v>763236.3599999994</v>
      </c>
      <c r="K6" s="149" t="str">
        <f t="shared" si="4"/>
        <v>Due To TF</v>
      </c>
    </row>
    <row r="7" spans="1:11" x14ac:dyDescent="0.25">
      <c r="A7" s="147" t="s">
        <v>63</v>
      </c>
      <c r="B7" s="174">
        <v>35887933</v>
      </c>
      <c r="C7" s="175">
        <v>3600180</v>
      </c>
      <c r="D7" s="148">
        <v>39703650.159999996</v>
      </c>
      <c r="E7" s="148">
        <f t="shared" si="0"/>
        <v>43303830.159999996</v>
      </c>
      <c r="F7" s="148">
        <v>4992954.5199999996</v>
      </c>
      <c r="G7" s="148">
        <v>35451996.719999999</v>
      </c>
      <c r="H7" s="148">
        <f t="shared" si="1"/>
        <v>-435936.28000000119</v>
      </c>
      <c r="I7" s="148">
        <f t="shared" si="2"/>
        <v>40444951.239999995</v>
      </c>
      <c r="J7" s="148">
        <f t="shared" si="3"/>
        <v>2858878.9200000018</v>
      </c>
      <c r="K7" s="149" t="str">
        <f t="shared" si="4"/>
        <v>Due To TF</v>
      </c>
    </row>
    <row r="8" spans="1:11" x14ac:dyDescent="0.25">
      <c r="A8" s="147" t="s">
        <v>1</v>
      </c>
      <c r="B8" s="174">
        <v>423037</v>
      </c>
      <c r="C8" s="175">
        <v>243870</v>
      </c>
      <c r="D8" s="148">
        <v>223443.75999999998</v>
      </c>
      <c r="E8" s="148">
        <f t="shared" si="0"/>
        <v>467313.76</v>
      </c>
      <c r="F8" s="148">
        <v>0</v>
      </c>
      <c r="G8" s="148">
        <v>400139.78</v>
      </c>
      <c r="H8" s="148">
        <f t="shared" si="1"/>
        <v>-22897.219999999972</v>
      </c>
      <c r="I8" s="148">
        <f t="shared" si="2"/>
        <v>400139.78</v>
      </c>
      <c r="J8" s="148">
        <f t="shared" si="3"/>
        <v>67173.979999999981</v>
      </c>
      <c r="K8" s="149" t="str">
        <f t="shared" si="4"/>
        <v>Due To TF</v>
      </c>
    </row>
    <row r="9" spans="1:11" x14ac:dyDescent="0.25">
      <c r="A9" s="147" t="s">
        <v>37</v>
      </c>
      <c r="B9" s="174">
        <v>3263255</v>
      </c>
      <c r="C9" s="175">
        <v>94083</v>
      </c>
      <c r="D9" s="148">
        <v>3574366.71</v>
      </c>
      <c r="E9" s="148">
        <f t="shared" si="0"/>
        <v>3668449.71</v>
      </c>
      <c r="F9" s="148">
        <v>368189.77999999997</v>
      </c>
      <c r="G9" s="148">
        <v>3263255</v>
      </c>
      <c r="H9" s="148">
        <f t="shared" si="1"/>
        <v>0</v>
      </c>
      <c r="I9" s="148">
        <f t="shared" si="2"/>
        <v>3631444.78</v>
      </c>
      <c r="J9" s="148">
        <f t="shared" si="3"/>
        <v>37004.930000000168</v>
      </c>
      <c r="K9" s="149" t="str">
        <f t="shared" si="4"/>
        <v>Due To TF</v>
      </c>
    </row>
    <row r="10" spans="1:11" x14ac:dyDescent="0.25">
      <c r="A10" s="147" t="s">
        <v>27</v>
      </c>
      <c r="B10" s="174">
        <v>2712182</v>
      </c>
      <c r="C10" s="175">
        <v>318681</v>
      </c>
      <c r="D10" s="148">
        <v>3039299.1899999995</v>
      </c>
      <c r="E10" s="148">
        <f t="shared" si="0"/>
        <v>3357980.1899999995</v>
      </c>
      <c r="F10" s="148">
        <v>372464.89</v>
      </c>
      <c r="G10" s="148">
        <v>2712182</v>
      </c>
      <c r="H10" s="148">
        <f t="shared" si="1"/>
        <v>0</v>
      </c>
      <c r="I10" s="148">
        <f t="shared" si="2"/>
        <v>3084646.89</v>
      </c>
      <c r="J10" s="148">
        <f t="shared" si="3"/>
        <v>273333.29999999935</v>
      </c>
      <c r="K10" s="149" t="str">
        <f t="shared" si="4"/>
        <v>Due To TF</v>
      </c>
    </row>
    <row r="11" spans="1:11" x14ac:dyDescent="0.25">
      <c r="A11" s="147" t="s">
        <v>38</v>
      </c>
      <c r="B11" s="174">
        <v>3368613</v>
      </c>
      <c r="C11" s="175">
        <v>160523</v>
      </c>
      <c r="D11" s="148">
        <v>4065691.7299999995</v>
      </c>
      <c r="E11" s="148">
        <f t="shared" si="0"/>
        <v>4226214.7299999995</v>
      </c>
      <c r="F11" s="148">
        <v>712103</v>
      </c>
      <c r="G11" s="148">
        <v>3368613</v>
      </c>
      <c r="H11" s="148">
        <f t="shared" si="1"/>
        <v>0</v>
      </c>
      <c r="I11" s="148">
        <f t="shared" si="2"/>
        <v>4080716</v>
      </c>
      <c r="J11" s="148">
        <f t="shared" si="3"/>
        <v>145498.72999999952</v>
      </c>
      <c r="K11" s="149" t="str">
        <f t="shared" si="4"/>
        <v>Due To TF</v>
      </c>
    </row>
    <row r="12" spans="1:11" x14ac:dyDescent="0.25">
      <c r="A12" s="147" t="s">
        <v>47</v>
      </c>
      <c r="B12" s="174">
        <v>5958891</v>
      </c>
      <c r="C12" s="175">
        <v>0</v>
      </c>
      <c r="D12" s="148">
        <v>6999092.2700000005</v>
      </c>
      <c r="E12" s="148">
        <f t="shared" si="0"/>
        <v>6999092.2700000005</v>
      </c>
      <c r="F12" s="148">
        <v>1064074.75</v>
      </c>
      <c r="G12" s="148">
        <v>5765724.7999999998</v>
      </c>
      <c r="H12" s="148">
        <f t="shared" si="1"/>
        <v>-193166.20000000019</v>
      </c>
      <c r="I12" s="148">
        <f t="shared" si="2"/>
        <v>6829799.5499999998</v>
      </c>
      <c r="J12" s="148">
        <f t="shared" si="3"/>
        <v>169292.72000000067</v>
      </c>
      <c r="K12" s="149" t="str">
        <f t="shared" si="4"/>
        <v>Due To TF</v>
      </c>
    </row>
    <row r="13" spans="1:11" x14ac:dyDescent="0.25">
      <c r="A13" s="147" t="s">
        <v>28</v>
      </c>
      <c r="B13" s="174">
        <v>1431276</v>
      </c>
      <c r="C13" s="175">
        <v>124400</v>
      </c>
      <c r="D13" s="148">
        <v>1351517.52</v>
      </c>
      <c r="E13" s="148">
        <f t="shared" si="0"/>
        <v>1475917.52</v>
      </c>
      <c r="F13" s="148">
        <v>42133.96</v>
      </c>
      <c r="G13" s="148">
        <v>1273923.6500000001</v>
      </c>
      <c r="H13" s="148">
        <f t="shared" si="1"/>
        <v>-157352.34999999986</v>
      </c>
      <c r="I13" s="148">
        <f t="shared" si="2"/>
        <v>1316057.6100000001</v>
      </c>
      <c r="J13" s="148">
        <f t="shared" si="3"/>
        <v>159859.90999999992</v>
      </c>
      <c r="K13" s="149" t="str">
        <f t="shared" si="4"/>
        <v>Due To TF</v>
      </c>
    </row>
    <row r="14" spans="1:11" x14ac:dyDescent="0.25">
      <c r="A14" s="147" t="s">
        <v>17</v>
      </c>
      <c r="B14" s="174">
        <v>762973</v>
      </c>
      <c r="C14" s="175">
        <v>204391</v>
      </c>
      <c r="D14" s="148">
        <v>681489.6100000001</v>
      </c>
      <c r="E14" s="148">
        <f t="shared" si="0"/>
        <v>885880.6100000001</v>
      </c>
      <c r="F14" s="148">
        <v>13111.550000000001</v>
      </c>
      <c r="G14" s="148">
        <v>762884.53</v>
      </c>
      <c r="H14" s="148">
        <f t="shared" si="1"/>
        <v>-88.46999999997206</v>
      </c>
      <c r="I14" s="148">
        <f t="shared" si="2"/>
        <v>775996.08000000007</v>
      </c>
      <c r="J14" s="148">
        <f t="shared" si="3"/>
        <v>109884.53000000003</v>
      </c>
      <c r="K14" s="149" t="str">
        <f t="shared" si="4"/>
        <v>Due To TF</v>
      </c>
    </row>
    <row r="15" spans="1:11" x14ac:dyDescent="0.25">
      <c r="A15" s="147" t="s">
        <v>6</v>
      </c>
      <c r="B15" s="174">
        <v>460671</v>
      </c>
      <c r="C15" s="175">
        <v>55077</v>
      </c>
      <c r="D15" s="148">
        <v>253317.48</v>
      </c>
      <c r="E15" s="148">
        <f t="shared" si="0"/>
        <v>308394.48</v>
      </c>
      <c r="F15" s="148">
        <v>0</v>
      </c>
      <c r="G15" s="156">
        <v>460671</v>
      </c>
      <c r="H15" s="148">
        <f t="shared" si="1"/>
        <v>0</v>
      </c>
      <c r="I15" s="148">
        <f t="shared" si="2"/>
        <v>460671</v>
      </c>
      <c r="J15" s="148">
        <f t="shared" si="3"/>
        <v>-152276.52000000002</v>
      </c>
      <c r="K15" s="149" t="str">
        <f t="shared" si="4"/>
        <v>Due From TF</v>
      </c>
    </row>
    <row r="16" spans="1:11" x14ac:dyDescent="0.25">
      <c r="A16" s="151" t="s">
        <v>58</v>
      </c>
      <c r="B16" s="176">
        <v>17962793</v>
      </c>
      <c r="C16" s="177">
        <v>836022</v>
      </c>
      <c r="D16" s="152">
        <v>20153154.329999998</v>
      </c>
      <c r="E16" s="152">
        <f t="shared" si="0"/>
        <v>20989176.329999998</v>
      </c>
      <c r="F16" s="152">
        <v>2437072.21</v>
      </c>
      <c r="G16" s="152">
        <v>17962044.57</v>
      </c>
      <c r="H16" s="152">
        <f t="shared" si="1"/>
        <v>-748.42999999970198</v>
      </c>
      <c r="I16" s="152">
        <f t="shared" si="2"/>
        <v>20399116.780000001</v>
      </c>
      <c r="J16" s="152">
        <f t="shared" si="3"/>
        <v>590059.54999999702</v>
      </c>
      <c r="K16" s="153" t="str">
        <f t="shared" si="4"/>
        <v>Due To TF</v>
      </c>
    </row>
    <row r="17" spans="1:11" x14ac:dyDescent="0.25">
      <c r="A17" s="147" t="s">
        <v>48</v>
      </c>
      <c r="B17" s="174">
        <v>6399841</v>
      </c>
      <c r="C17" s="175">
        <v>0</v>
      </c>
      <c r="D17" s="148">
        <v>6800244.5999999996</v>
      </c>
      <c r="E17" s="148">
        <f t="shared" si="0"/>
        <v>6800244.5999999996</v>
      </c>
      <c r="F17" s="148">
        <v>773209.78</v>
      </c>
      <c r="G17" s="148">
        <v>5820014.5699999994</v>
      </c>
      <c r="H17" s="148">
        <f t="shared" si="1"/>
        <v>-579826.43000000063</v>
      </c>
      <c r="I17" s="148">
        <f t="shared" si="2"/>
        <v>6593224.3499999996</v>
      </c>
      <c r="J17" s="148">
        <f t="shared" si="3"/>
        <v>207020.25</v>
      </c>
      <c r="K17" s="149" t="str">
        <f t="shared" si="4"/>
        <v>Due To TF</v>
      </c>
    </row>
    <row r="18" spans="1:11" x14ac:dyDescent="0.25">
      <c r="A18" s="147" t="s">
        <v>29</v>
      </c>
      <c r="B18" s="174">
        <v>1680006</v>
      </c>
      <c r="C18" s="175">
        <v>62161</v>
      </c>
      <c r="D18" s="148">
        <v>1757373.8299999998</v>
      </c>
      <c r="E18" s="148">
        <f t="shared" si="0"/>
        <v>1819534.8299999998</v>
      </c>
      <c r="F18" s="148">
        <v>155267.53</v>
      </c>
      <c r="G18" s="148">
        <v>1565029.5</v>
      </c>
      <c r="H18" s="148">
        <f t="shared" si="1"/>
        <v>-114976.5</v>
      </c>
      <c r="I18" s="148">
        <f t="shared" si="2"/>
        <v>1720297.03</v>
      </c>
      <c r="J18" s="148">
        <f t="shared" si="3"/>
        <v>99237.799999999814</v>
      </c>
      <c r="K18" s="149" t="str">
        <f t="shared" si="4"/>
        <v>Due To TF</v>
      </c>
    </row>
    <row r="19" spans="1:11" x14ac:dyDescent="0.25">
      <c r="A19" s="147" t="s">
        <v>7</v>
      </c>
      <c r="B19" s="174">
        <v>620259</v>
      </c>
      <c r="C19" s="175">
        <v>428923</v>
      </c>
      <c r="D19" s="148">
        <v>193993.63</v>
      </c>
      <c r="E19" s="148">
        <f t="shared" si="0"/>
        <v>622916.63</v>
      </c>
      <c r="F19" s="148">
        <v>0</v>
      </c>
      <c r="G19" s="148">
        <v>620259</v>
      </c>
      <c r="H19" s="148">
        <f t="shared" si="1"/>
        <v>0</v>
      </c>
      <c r="I19" s="148">
        <f t="shared" si="2"/>
        <v>620259</v>
      </c>
      <c r="J19" s="148">
        <f t="shared" si="3"/>
        <v>2657.6300000000047</v>
      </c>
      <c r="K19" s="149" t="str">
        <f t="shared" si="4"/>
        <v>Due To TF</v>
      </c>
    </row>
    <row r="20" spans="1:11" x14ac:dyDescent="0.25">
      <c r="A20" s="147" t="s">
        <v>18</v>
      </c>
      <c r="B20" s="174">
        <v>1230451</v>
      </c>
      <c r="C20" s="175">
        <v>476586</v>
      </c>
      <c r="D20" s="148">
        <v>729211.95000000019</v>
      </c>
      <c r="E20" s="148">
        <f t="shared" si="0"/>
        <v>1205797.9500000002</v>
      </c>
      <c r="F20" s="148">
        <v>0</v>
      </c>
      <c r="G20" s="148">
        <v>1227952.1399999999</v>
      </c>
      <c r="H20" s="148">
        <f t="shared" si="1"/>
        <v>-2498.8600000001024</v>
      </c>
      <c r="I20" s="148">
        <f t="shared" si="2"/>
        <v>1227952.1399999999</v>
      </c>
      <c r="J20" s="148">
        <f t="shared" si="3"/>
        <v>-22154.189999999711</v>
      </c>
      <c r="K20" s="149" t="str">
        <f t="shared" si="4"/>
        <v>Due From TF</v>
      </c>
    </row>
    <row r="21" spans="1:11" x14ac:dyDescent="0.25">
      <c r="A21" s="147" t="s">
        <v>8</v>
      </c>
      <c r="B21" s="174">
        <v>512702</v>
      </c>
      <c r="C21" s="175">
        <v>277024</v>
      </c>
      <c r="D21" s="148">
        <v>293198.84999999998</v>
      </c>
      <c r="E21" s="148">
        <f t="shared" si="0"/>
        <v>570222.85</v>
      </c>
      <c r="F21" s="148">
        <v>0</v>
      </c>
      <c r="G21" s="148">
        <v>464534.26999999996</v>
      </c>
      <c r="H21" s="148">
        <f t="shared" si="1"/>
        <v>-48167.73000000004</v>
      </c>
      <c r="I21" s="148">
        <f t="shared" si="2"/>
        <v>464534.26999999996</v>
      </c>
      <c r="J21" s="148">
        <f t="shared" si="3"/>
        <v>105688.58000000002</v>
      </c>
      <c r="K21" s="149" t="str">
        <f t="shared" si="4"/>
        <v>Due To TF</v>
      </c>
    </row>
    <row r="22" spans="1:11" x14ac:dyDescent="0.25">
      <c r="A22" s="147" t="s">
        <v>9</v>
      </c>
      <c r="B22" s="174">
        <v>498452</v>
      </c>
      <c r="C22" s="175">
        <v>131824</v>
      </c>
      <c r="D22" s="148">
        <v>428631.44</v>
      </c>
      <c r="E22" s="148">
        <f t="shared" si="0"/>
        <v>560455.43999999994</v>
      </c>
      <c r="F22" s="148">
        <v>7198</v>
      </c>
      <c r="G22" s="148">
        <v>457716.02999999997</v>
      </c>
      <c r="H22" s="148">
        <f t="shared" si="1"/>
        <v>-40735.97000000003</v>
      </c>
      <c r="I22" s="148">
        <f>SUM(F22:G22)</f>
        <v>464914.02999999997</v>
      </c>
      <c r="J22" s="148">
        <f t="shared" si="3"/>
        <v>95541.409999999974</v>
      </c>
      <c r="K22" s="149" t="str">
        <f t="shared" si="4"/>
        <v>Due To TF</v>
      </c>
    </row>
    <row r="23" spans="1:11" x14ac:dyDescent="0.25">
      <c r="A23" s="147" t="s">
        <v>10</v>
      </c>
      <c r="B23" s="174">
        <v>460067</v>
      </c>
      <c r="C23" s="175">
        <v>225566</v>
      </c>
      <c r="D23" s="148">
        <v>244970.11000000004</v>
      </c>
      <c r="E23" s="148">
        <f t="shared" si="0"/>
        <v>470536.11000000004</v>
      </c>
      <c r="F23" s="148">
        <v>0</v>
      </c>
      <c r="G23" s="148">
        <v>437540.81</v>
      </c>
      <c r="H23" s="148">
        <f t="shared" si="1"/>
        <v>-22526.190000000002</v>
      </c>
      <c r="I23" s="148">
        <f t="shared" si="2"/>
        <v>437540.81</v>
      </c>
      <c r="J23" s="148">
        <f t="shared" si="3"/>
        <v>32995.300000000047</v>
      </c>
      <c r="K23" s="149" t="str">
        <f t="shared" si="4"/>
        <v>Due To TF</v>
      </c>
    </row>
    <row r="24" spans="1:11" x14ac:dyDescent="0.25">
      <c r="A24" s="147" t="s">
        <v>11</v>
      </c>
      <c r="B24" s="174">
        <v>496714</v>
      </c>
      <c r="C24" s="175">
        <v>161623</v>
      </c>
      <c r="D24" s="148">
        <v>375317.33999999997</v>
      </c>
      <c r="E24" s="148">
        <f t="shared" si="0"/>
        <v>536940.34</v>
      </c>
      <c r="F24" s="148">
        <v>5870.8</v>
      </c>
      <c r="G24" s="148">
        <v>496654.36000000004</v>
      </c>
      <c r="H24" s="148">
        <f t="shared" si="1"/>
        <v>-59.639999999955762</v>
      </c>
      <c r="I24" s="148">
        <f t="shared" si="2"/>
        <v>502525.16000000003</v>
      </c>
      <c r="J24" s="148">
        <f t="shared" si="3"/>
        <v>34415.179999999935</v>
      </c>
      <c r="K24" s="149" t="str">
        <f t="shared" si="4"/>
        <v>Due To TF</v>
      </c>
    </row>
    <row r="25" spans="1:11" x14ac:dyDescent="0.25">
      <c r="A25" s="147" t="s">
        <v>19</v>
      </c>
      <c r="B25" s="174">
        <v>852932</v>
      </c>
      <c r="C25" s="175">
        <v>291379</v>
      </c>
      <c r="D25" s="148">
        <v>520848.57</v>
      </c>
      <c r="E25" s="148">
        <f t="shared" si="0"/>
        <v>812227.57000000007</v>
      </c>
      <c r="F25" s="148">
        <v>0</v>
      </c>
      <c r="G25" s="148">
        <v>735105.83</v>
      </c>
      <c r="H25" s="148">
        <f t="shared" si="1"/>
        <v>-117826.17000000004</v>
      </c>
      <c r="I25" s="148">
        <f t="shared" si="2"/>
        <v>735105.83</v>
      </c>
      <c r="J25" s="148">
        <f t="shared" si="3"/>
        <v>77121.740000000107</v>
      </c>
      <c r="K25" s="149" t="str">
        <f t="shared" si="4"/>
        <v>Due To TF</v>
      </c>
    </row>
    <row r="26" spans="1:11" x14ac:dyDescent="0.25">
      <c r="A26" s="147" t="s">
        <v>20</v>
      </c>
      <c r="B26" s="174">
        <v>1197173</v>
      </c>
      <c r="C26" s="175">
        <v>201641</v>
      </c>
      <c r="D26" s="148">
        <v>1090694.28</v>
      </c>
      <c r="E26" s="148">
        <f t="shared" si="0"/>
        <v>1292335.28</v>
      </c>
      <c r="F26" s="148">
        <v>0</v>
      </c>
      <c r="G26" s="148">
        <v>1136332.23</v>
      </c>
      <c r="H26" s="148">
        <f t="shared" si="1"/>
        <v>-60840.770000000019</v>
      </c>
      <c r="I26" s="148">
        <f t="shared" si="2"/>
        <v>1136332.23</v>
      </c>
      <c r="J26" s="148">
        <f t="shared" si="3"/>
        <v>156003.05000000005</v>
      </c>
      <c r="K26" s="149" t="str">
        <f t="shared" si="4"/>
        <v>Due To TF</v>
      </c>
    </row>
    <row r="27" spans="1:11" x14ac:dyDescent="0.25">
      <c r="A27" s="147" t="s">
        <v>39</v>
      </c>
      <c r="B27" s="174">
        <v>3138208</v>
      </c>
      <c r="C27" s="175">
        <v>0</v>
      </c>
      <c r="D27" s="148">
        <v>4156322.94</v>
      </c>
      <c r="E27" s="148">
        <f t="shared" si="0"/>
        <v>4156322.94</v>
      </c>
      <c r="F27" s="148">
        <v>1030301.81</v>
      </c>
      <c r="G27" s="148">
        <v>2675127.8799999994</v>
      </c>
      <c r="H27" s="148">
        <f t="shared" si="1"/>
        <v>-463080.12000000058</v>
      </c>
      <c r="I27" s="148">
        <f t="shared" si="2"/>
        <v>3705429.6899999995</v>
      </c>
      <c r="J27" s="148">
        <f t="shared" si="3"/>
        <v>450893.25000000047</v>
      </c>
      <c r="K27" s="149" t="str">
        <f t="shared" si="4"/>
        <v>Due To TF</v>
      </c>
    </row>
    <row r="28" spans="1:11" x14ac:dyDescent="0.25">
      <c r="A28" s="147" t="s">
        <v>30</v>
      </c>
      <c r="B28" s="174">
        <v>1823314</v>
      </c>
      <c r="C28" s="175">
        <v>137390</v>
      </c>
      <c r="D28" s="148">
        <v>1935492.0199999998</v>
      </c>
      <c r="E28" s="148">
        <f t="shared" si="0"/>
        <v>2072882.0199999998</v>
      </c>
      <c r="F28" s="148">
        <v>220512.15999999997</v>
      </c>
      <c r="G28" s="148">
        <v>1823313.4199999997</v>
      </c>
      <c r="H28" s="148">
        <f t="shared" si="1"/>
        <v>-0.58000000030733645</v>
      </c>
      <c r="I28" s="148">
        <f t="shared" si="2"/>
        <v>2043825.5799999996</v>
      </c>
      <c r="J28" s="148">
        <f t="shared" si="3"/>
        <v>29056.440000000177</v>
      </c>
      <c r="K28" s="149" t="str">
        <f t="shared" si="4"/>
        <v>Due To TF</v>
      </c>
    </row>
    <row r="29" spans="1:11" x14ac:dyDescent="0.25">
      <c r="A29" s="147" t="s">
        <v>64</v>
      </c>
      <c r="B29" s="174">
        <v>27528201</v>
      </c>
      <c r="C29" s="175">
        <v>0</v>
      </c>
      <c r="D29" s="148">
        <v>31279613.5</v>
      </c>
      <c r="E29" s="148">
        <f t="shared" si="0"/>
        <v>31279613.5</v>
      </c>
      <c r="F29" s="148">
        <v>3934504.12</v>
      </c>
      <c r="G29" s="148">
        <v>27528201</v>
      </c>
      <c r="H29" s="148">
        <f t="shared" si="1"/>
        <v>0</v>
      </c>
      <c r="I29" s="148">
        <f t="shared" si="2"/>
        <v>31462705.120000001</v>
      </c>
      <c r="J29" s="148">
        <f t="shared" si="3"/>
        <v>-183091.62000000104</v>
      </c>
      <c r="K29" s="149" t="str">
        <f t="shared" si="4"/>
        <v>Due From TF</v>
      </c>
    </row>
    <row r="30" spans="1:11" x14ac:dyDescent="0.25">
      <c r="A30" s="147" t="s">
        <v>12</v>
      </c>
      <c r="B30" s="174">
        <v>552802</v>
      </c>
      <c r="C30" s="175">
        <v>260524</v>
      </c>
      <c r="D30" s="148">
        <v>505699.39999999997</v>
      </c>
      <c r="E30" s="148">
        <f t="shared" si="0"/>
        <v>766223.39999999991</v>
      </c>
      <c r="F30" s="148">
        <v>17675.62</v>
      </c>
      <c r="G30" s="148">
        <v>530861.78</v>
      </c>
      <c r="H30" s="148">
        <f t="shared" si="1"/>
        <v>-21940.219999999972</v>
      </c>
      <c r="I30" s="148">
        <f t="shared" si="2"/>
        <v>548537.4</v>
      </c>
      <c r="J30" s="148">
        <f t="shared" si="3"/>
        <v>217685.99999999988</v>
      </c>
      <c r="K30" s="149" t="str">
        <f t="shared" si="4"/>
        <v>Due To TF</v>
      </c>
    </row>
    <row r="31" spans="1:11" x14ac:dyDescent="0.25">
      <c r="A31" s="147" t="s">
        <v>31</v>
      </c>
      <c r="B31" s="174">
        <v>2754925</v>
      </c>
      <c r="C31" s="175">
        <v>191851</v>
      </c>
      <c r="D31" s="148">
        <v>3106097.29</v>
      </c>
      <c r="E31" s="148">
        <f t="shared" si="0"/>
        <v>3297948.29</v>
      </c>
      <c r="F31" s="148">
        <v>383960.89999999997</v>
      </c>
      <c r="G31" s="148">
        <v>2747344.5400000005</v>
      </c>
      <c r="H31" s="148">
        <f t="shared" si="1"/>
        <v>-7580.4599999994971</v>
      </c>
      <c r="I31" s="148">
        <f t="shared" si="2"/>
        <v>3131305.4400000004</v>
      </c>
      <c r="J31" s="148">
        <f t="shared" si="3"/>
        <v>166642.84999999963</v>
      </c>
      <c r="K31" s="149" t="str">
        <f t="shared" si="4"/>
        <v>Due To TF</v>
      </c>
    </row>
    <row r="32" spans="1:11" x14ac:dyDescent="0.25">
      <c r="A32" s="147" t="s">
        <v>21</v>
      </c>
      <c r="B32" s="174">
        <v>1040209</v>
      </c>
      <c r="C32" s="175">
        <v>357786</v>
      </c>
      <c r="D32" s="148">
        <v>952918.32</v>
      </c>
      <c r="E32" s="148">
        <f t="shared" si="0"/>
        <v>1310704.3199999998</v>
      </c>
      <c r="F32" s="148">
        <v>30551.919999999998</v>
      </c>
      <c r="G32" s="148">
        <v>871747.99999999988</v>
      </c>
      <c r="H32" s="148">
        <f t="shared" si="1"/>
        <v>-168461.00000000012</v>
      </c>
      <c r="I32" s="148">
        <f t="shared" si="2"/>
        <v>902299.91999999993</v>
      </c>
      <c r="J32" s="148">
        <f t="shared" si="3"/>
        <v>408404.39999999991</v>
      </c>
      <c r="K32" s="149" t="str">
        <f t="shared" si="4"/>
        <v>Due To TF</v>
      </c>
    </row>
    <row r="33" spans="1:11" x14ac:dyDescent="0.25">
      <c r="A33" s="147" t="s">
        <v>13</v>
      </c>
      <c r="B33" s="174">
        <v>466416</v>
      </c>
      <c r="C33" s="175">
        <v>131087</v>
      </c>
      <c r="D33" s="148">
        <v>309287.98</v>
      </c>
      <c r="E33" s="148">
        <f t="shared" si="0"/>
        <v>440374.98</v>
      </c>
      <c r="F33" s="148">
        <v>0</v>
      </c>
      <c r="G33" s="148">
        <v>440318.03</v>
      </c>
      <c r="H33" s="148">
        <f t="shared" si="1"/>
        <v>-26097.969999999972</v>
      </c>
      <c r="I33" s="148">
        <f t="shared" si="2"/>
        <v>440318.03</v>
      </c>
      <c r="J33" s="148">
        <f t="shared" si="3"/>
        <v>56.949999999953434</v>
      </c>
      <c r="K33" s="149" t="str">
        <f t="shared" si="4"/>
        <v>Due To TF</v>
      </c>
    </row>
    <row r="34" spans="1:11" x14ac:dyDescent="0.25">
      <c r="A34" s="147" t="s">
        <v>2</v>
      </c>
      <c r="B34" s="174">
        <v>292156</v>
      </c>
      <c r="C34" s="175">
        <v>171611</v>
      </c>
      <c r="D34" s="148">
        <v>93106.86</v>
      </c>
      <c r="E34" s="148">
        <f t="shared" si="0"/>
        <v>264717.86</v>
      </c>
      <c r="F34" s="148">
        <v>0</v>
      </c>
      <c r="G34" s="148">
        <v>292156</v>
      </c>
      <c r="H34" s="148">
        <f t="shared" ref="H34:H65" si="5">G34-B34</f>
        <v>0</v>
      </c>
      <c r="I34" s="148">
        <f t="shared" si="2"/>
        <v>292156</v>
      </c>
      <c r="J34" s="148">
        <f t="shared" si="3"/>
        <v>-27438.140000000014</v>
      </c>
      <c r="K34" s="149" t="str">
        <f t="shared" si="4"/>
        <v>Due From TF</v>
      </c>
    </row>
    <row r="35" spans="1:11" x14ac:dyDescent="0.25">
      <c r="A35" s="147" t="s">
        <v>49</v>
      </c>
      <c r="B35" s="174">
        <v>5662266</v>
      </c>
      <c r="C35" s="175">
        <v>0</v>
      </c>
      <c r="D35" s="148">
        <v>6213482</v>
      </c>
      <c r="E35" s="148">
        <f t="shared" si="0"/>
        <v>6213482</v>
      </c>
      <c r="F35" s="148">
        <v>727718</v>
      </c>
      <c r="G35" s="148">
        <v>5161561</v>
      </c>
      <c r="H35" s="148">
        <f t="shared" si="5"/>
        <v>-500705</v>
      </c>
      <c r="I35" s="148">
        <f t="shared" si="2"/>
        <v>5889279</v>
      </c>
      <c r="J35" s="148">
        <f t="shared" si="3"/>
        <v>324203</v>
      </c>
      <c r="K35" s="149" t="str">
        <f t="shared" si="4"/>
        <v>Due To TF</v>
      </c>
    </row>
    <row r="36" spans="1:11" x14ac:dyDescent="0.25">
      <c r="A36" s="147" t="s">
        <v>59</v>
      </c>
      <c r="B36" s="174">
        <v>10708892</v>
      </c>
      <c r="C36" s="175">
        <v>0</v>
      </c>
      <c r="D36" s="148">
        <v>13816921.91</v>
      </c>
      <c r="E36" s="148">
        <f t="shared" si="0"/>
        <v>13816921.91</v>
      </c>
      <c r="F36" s="148">
        <v>3098955.3000000003</v>
      </c>
      <c r="G36" s="148">
        <v>10708892</v>
      </c>
      <c r="H36" s="148">
        <f t="shared" si="5"/>
        <v>0</v>
      </c>
      <c r="I36" s="148">
        <f t="shared" si="2"/>
        <v>13807847.300000001</v>
      </c>
      <c r="J36" s="148">
        <f t="shared" si="3"/>
        <v>9074.609999999404</v>
      </c>
      <c r="K36" s="149" t="str">
        <f t="shared" si="4"/>
        <v>Due To TF</v>
      </c>
    </row>
    <row r="37" spans="1:11" x14ac:dyDescent="0.25">
      <c r="A37" s="151" t="s">
        <v>50</v>
      </c>
      <c r="B37" s="176">
        <v>5464578</v>
      </c>
      <c r="C37" s="177">
        <v>1361525</v>
      </c>
      <c r="D37" s="152">
        <v>4511205.6099999994</v>
      </c>
      <c r="E37" s="152">
        <f t="shared" si="0"/>
        <v>5872730.6099999994</v>
      </c>
      <c r="F37" s="152">
        <v>66428.31</v>
      </c>
      <c r="G37" s="152">
        <v>5181699.709999999</v>
      </c>
      <c r="H37" s="152">
        <f t="shared" si="5"/>
        <v>-282878.29000000097</v>
      </c>
      <c r="I37" s="152">
        <f t="shared" si="2"/>
        <v>5248128.0199999986</v>
      </c>
      <c r="J37" s="152">
        <f t="shared" si="3"/>
        <v>624602.59000000078</v>
      </c>
      <c r="K37" s="153" t="str">
        <f t="shared" si="4"/>
        <v>Due To TF</v>
      </c>
    </row>
    <row r="38" spans="1:11" x14ac:dyDescent="0.25">
      <c r="A38" s="147" t="s">
        <v>22</v>
      </c>
      <c r="B38" s="174">
        <v>1017692</v>
      </c>
      <c r="C38" s="175">
        <v>344014</v>
      </c>
      <c r="D38" s="148">
        <v>942661.69000000006</v>
      </c>
      <c r="E38" s="148">
        <f t="shared" si="0"/>
        <v>1286675.69</v>
      </c>
      <c r="F38" s="148">
        <v>0</v>
      </c>
      <c r="G38" s="148">
        <v>986188.11</v>
      </c>
      <c r="H38" s="148">
        <f t="shared" si="5"/>
        <v>-31503.890000000014</v>
      </c>
      <c r="I38" s="148">
        <f t="shared" si="2"/>
        <v>986188.11</v>
      </c>
      <c r="J38" s="148">
        <f t="shared" si="3"/>
        <v>300487.57999999996</v>
      </c>
      <c r="K38" s="149" t="str">
        <f t="shared" si="4"/>
        <v>Due To TF</v>
      </c>
    </row>
    <row r="39" spans="1:11" x14ac:dyDescent="0.25">
      <c r="A39" s="147" t="s">
        <v>3</v>
      </c>
      <c r="B39" s="174">
        <v>288357</v>
      </c>
      <c r="C39" s="175">
        <v>80310</v>
      </c>
      <c r="D39" s="148">
        <v>162896.65</v>
      </c>
      <c r="E39" s="148">
        <f t="shared" si="0"/>
        <v>243206.65</v>
      </c>
      <c r="F39" s="148">
        <v>0</v>
      </c>
      <c r="G39" s="148">
        <v>288357</v>
      </c>
      <c r="H39" s="148">
        <f t="shared" si="5"/>
        <v>0</v>
      </c>
      <c r="I39" s="148">
        <f t="shared" si="2"/>
        <v>288357</v>
      </c>
      <c r="J39" s="148">
        <f t="shared" si="3"/>
        <v>-45150.350000000006</v>
      </c>
      <c r="K39" s="149" t="str">
        <f t="shared" si="4"/>
        <v>Due From TF</v>
      </c>
    </row>
    <row r="40" spans="1:11" x14ac:dyDescent="0.25">
      <c r="A40" s="157" t="s">
        <v>23</v>
      </c>
      <c r="B40" s="174">
        <v>524791</v>
      </c>
      <c r="C40" s="175">
        <v>0</v>
      </c>
      <c r="D40" s="148">
        <v>544562.79</v>
      </c>
      <c r="E40" s="148">
        <f t="shared" si="0"/>
        <v>544562.79</v>
      </c>
      <c r="F40" s="148">
        <v>48042.79</v>
      </c>
      <c r="G40" s="148">
        <v>524791</v>
      </c>
      <c r="H40" s="148">
        <f t="shared" si="5"/>
        <v>0</v>
      </c>
      <c r="I40" s="148">
        <f t="shared" si="2"/>
        <v>572833.79</v>
      </c>
      <c r="J40" s="148">
        <f t="shared" si="3"/>
        <v>-28271</v>
      </c>
      <c r="K40" s="149" t="str">
        <f t="shared" si="4"/>
        <v>Due From TF</v>
      </c>
    </row>
    <row r="41" spans="1:11" x14ac:dyDescent="0.25">
      <c r="A41" s="147" t="s">
        <v>51</v>
      </c>
      <c r="B41" s="174">
        <v>5474546</v>
      </c>
      <c r="C41" s="175">
        <v>0</v>
      </c>
      <c r="D41" s="148">
        <v>6407169.0400000019</v>
      </c>
      <c r="E41" s="148">
        <f t="shared" si="0"/>
        <v>6407169.0400000019</v>
      </c>
      <c r="F41" s="148">
        <v>952412.32</v>
      </c>
      <c r="G41" s="148">
        <v>5012666.0200000005</v>
      </c>
      <c r="H41" s="148">
        <f t="shared" si="5"/>
        <v>-461879.97999999952</v>
      </c>
      <c r="I41" s="148">
        <f t="shared" si="2"/>
        <v>5965078.3400000008</v>
      </c>
      <c r="J41" s="148">
        <f t="shared" si="3"/>
        <v>442090.70000000112</v>
      </c>
      <c r="K41" s="149" t="str">
        <f t="shared" si="4"/>
        <v>Due To TF</v>
      </c>
    </row>
    <row r="42" spans="1:11" x14ac:dyDescent="0.25">
      <c r="A42" s="147" t="s">
        <v>52</v>
      </c>
      <c r="B42" s="174">
        <v>6068963</v>
      </c>
      <c r="C42" s="175">
        <v>0</v>
      </c>
      <c r="D42" s="148">
        <v>6533472.3700000001</v>
      </c>
      <c r="E42" s="148">
        <f t="shared" si="0"/>
        <v>6533472.3700000001</v>
      </c>
      <c r="F42" s="148">
        <v>541970.99</v>
      </c>
      <c r="G42" s="148">
        <v>5553194.46</v>
      </c>
      <c r="H42" s="148">
        <f t="shared" si="5"/>
        <v>-515768.54000000004</v>
      </c>
      <c r="I42" s="148">
        <f>SUM(F42:G42)</f>
        <v>6095165.4500000002</v>
      </c>
      <c r="J42" s="148">
        <f t="shared" si="3"/>
        <v>438306.91999999993</v>
      </c>
      <c r="K42" s="149" t="str">
        <f t="shared" si="4"/>
        <v>Due To TF</v>
      </c>
    </row>
    <row r="43" spans="1:11" x14ac:dyDescent="0.25">
      <c r="A43" s="147" t="s">
        <v>40</v>
      </c>
      <c r="B43" s="174">
        <v>3270896</v>
      </c>
      <c r="C43" s="175">
        <v>0</v>
      </c>
      <c r="D43" s="148">
        <v>3342137.5400000005</v>
      </c>
      <c r="E43" s="148">
        <v>3342137.54</v>
      </c>
      <c r="F43" s="148">
        <v>180293.92</v>
      </c>
      <c r="G43" s="148">
        <v>3222056.1</v>
      </c>
      <c r="H43" s="148">
        <f t="shared" si="5"/>
        <v>-48839.899999999907</v>
      </c>
      <c r="I43" s="148">
        <f>SUM(F43:G43)</f>
        <v>3402350.02</v>
      </c>
      <c r="J43" s="148">
        <f t="shared" si="3"/>
        <v>-60212.479999999981</v>
      </c>
      <c r="K43" s="149" t="str">
        <f t="shared" si="4"/>
        <v>Due From TF</v>
      </c>
    </row>
    <row r="44" spans="1:11" x14ac:dyDescent="0.25">
      <c r="A44" s="158" t="s">
        <v>65</v>
      </c>
      <c r="B44" s="174">
        <v>65681042</v>
      </c>
      <c r="C44" s="175">
        <v>1296295</v>
      </c>
      <c r="D44" s="148">
        <v>66068473.189999998</v>
      </c>
      <c r="E44" s="148">
        <f t="shared" ref="E44:E68" si="6">SUM(C44:D44)</f>
        <v>67364768.189999998</v>
      </c>
      <c r="F44" s="148">
        <v>4622788.29</v>
      </c>
      <c r="G44" s="148">
        <v>65681042</v>
      </c>
      <c r="H44" s="148">
        <f t="shared" si="5"/>
        <v>0</v>
      </c>
      <c r="I44" s="148">
        <f>SUM(F44:G44)</f>
        <v>70303830.290000007</v>
      </c>
      <c r="J44" s="148">
        <f t="shared" si="3"/>
        <v>-2939062.1000000089</v>
      </c>
      <c r="K44" s="149" t="str">
        <f t="shared" si="4"/>
        <v>Due From TF</v>
      </c>
    </row>
    <row r="45" spans="1:11" x14ac:dyDescent="0.25">
      <c r="A45" s="147" t="s">
        <v>41</v>
      </c>
      <c r="B45" s="174">
        <v>3209897</v>
      </c>
      <c r="C45" s="175">
        <v>928268</v>
      </c>
      <c r="D45" s="148">
        <v>2916747.41</v>
      </c>
      <c r="E45" s="148">
        <f t="shared" si="6"/>
        <v>3845015.41</v>
      </c>
      <c r="F45" s="148">
        <v>0</v>
      </c>
      <c r="G45" s="148">
        <v>3209897</v>
      </c>
      <c r="H45" s="148">
        <f t="shared" si="5"/>
        <v>0</v>
      </c>
      <c r="I45" s="148">
        <f t="shared" si="2"/>
        <v>3209897</v>
      </c>
      <c r="J45" s="148">
        <f t="shared" si="3"/>
        <v>635118.41000000015</v>
      </c>
      <c r="K45" s="149" t="str">
        <f t="shared" si="4"/>
        <v>Due To TF</v>
      </c>
    </row>
    <row r="46" spans="1:11" x14ac:dyDescent="0.25">
      <c r="A46" s="147" t="s">
        <v>32</v>
      </c>
      <c r="B46" s="174">
        <v>1439667</v>
      </c>
      <c r="C46" s="175">
        <v>15422</v>
      </c>
      <c r="D46" s="148">
        <v>1389285.5100000002</v>
      </c>
      <c r="E46" s="148">
        <f t="shared" si="6"/>
        <v>1404707.5100000002</v>
      </c>
      <c r="F46" s="148">
        <v>58298.07</v>
      </c>
      <c r="G46" s="148">
        <v>1290509.3999999999</v>
      </c>
      <c r="H46" s="148">
        <f t="shared" si="5"/>
        <v>-149157.60000000009</v>
      </c>
      <c r="I46" s="148">
        <f t="shared" si="2"/>
        <v>1348807.47</v>
      </c>
      <c r="J46" s="148">
        <f t="shared" si="3"/>
        <v>55900.04000000027</v>
      </c>
      <c r="K46" s="149" t="str">
        <f t="shared" si="4"/>
        <v>Due To TF</v>
      </c>
    </row>
    <row r="47" spans="1:11" x14ac:dyDescent="0.25">
      <c r="A47" s="147" t="s">
        <v>42</v>
      </c>
      <c r="B47" s="174">
        <v>3358182</v>
      </c>
      <c r="C47" s="175">
        <v>0</v>
      </c>
      <c r="D47" s="148">
        <v>3868704.3200000003</v>
      </c>
      <c r="E47" s="148">
        <f t="shared" si="6"/>
        <v>3868704.3200000003</v>
      </c>
      <c r="F47" s="148">
        <v>573116.36</v>
      </c>
      <c r="G47" s="148">
        <v>3358182</v>
      </c>
      <c r="H47" s="148">
        <f t="shared" si="5"/>
        <v>0</v>
      </c>
      <c r="I47" s="148">
        <f t="shared" si="2"/>
        <v>3931298.36</v>
      </c>
      <c r="J47" s="148">
        <f t="shared" si="3"/>
        <v>-62594.039999999572</v>
      </c>
      <c r="K47" s="149" t="str">
        <f t="shared" si="4"/>
        <v>Due From TF</v>
      </c>
    </row>
    <row r="48" spans="1:11" x14ac:dyDescent="0.25">
      <c r="A48" s="147" t="s">
        <v>24</v>
      </c>
      <c r="B48" s="174">
        <v>1195690</v>
      </c>
      <c r="C48" s="175">
        <v>387332</v>
      </c>
      <c r="D48" s="148">
        <v>863798.54999999981</v>
      </c>
      <c r="E48" s="148">
        <f t="shared" si="6"/>
        <v>1251130.5499999998</v>
      </c>
      <c r="F48" s="148">
        <v>0</v>
      </c>
      <c r="G48" s="148">
        <v>1060169.8399999999</v>
      </c>
      <c r="H48" s="148">
        <f t="shared" si="5"/>
        <v>-135520.16000000015</v>
      </c>
      <c r="I48" s="148">
        <f t="shared" si="2"/>
        <v>1060169.8399999999</v>
      </c>
      <c r="J48" s="148">
        <f t="shared" si="3"/>
        <v>190960.70999999996</v>
      </c>
      <c r="K48" s="149" t="str">
        <f t="shared" si="4"/>
        <v>Due To TF</v>
      </c>
    </row>
    <row r="49" spans="1:11" x14ac:dyDescent="0.25">
      <c r="A49" s="147" t="s">
        <v>66</v>
      </c>
      <c r="B49" s="174">
        <v>26657769</v>
      </c>
      <c r="C49" s="175">
        <v>0</v>
      </c>
      <c r="D49" s="148">
        <v>37734585.020000003</v>
      </c>
      <c r="E49" s="148">
        <f t="shared" si="6"/>
        <v>37734585.020000003</v>
      </c>
      <c r="F49" s="148">
        <v>11383573.890000001</v>
      </c>
      <c r="G49" s="148">
        <v>26657769</v>
      </c>
      <c r="H49" s="148">
        <f t="shared" si="5"/>
        <v>0</v>
      </c>
      <c r="I49" s="148">
        <f t="shared" si="2"/>
        <v>38041342.890000001</v>
      </c>
      <c r="J49" s="148">
        <f t="shared" si="3"/>
        <v>-306757.86999999732</v>
      </c>
      <c r="K49" s="149" t="str">
        <f t="shared" si="4"/>
        <v>Due From TF</v>
      </c>
    </row>
    <row r="50" spans="1:11" x14ac:dyDescent="0.25">
      <c r="A50" s="157" t="s">
        <v>53</v>
      </c>
      <c r="B50" s="174">
        <v>6760921</v>
      </c>
      <c r="C50" s="175">
        <v>0</v>
      </c>
      <c r="D50" s="148">
        <v>8801684.0300000012</v>
      </c>
      <c r="E50" s="148">
        <f t="shared" si="6"/>
        <v>8801684.0300000012</v>
      </c>
      <c r="F50" s="148">
        <v>1801138.65</v>
      </c>
      <c r="G50" s="148">
        <v>6119643.5800000001</v>
      </c>
      <c r="H50" s="148">
        <f t="shared" si="5"/>
        <v>-641277.41999999993</v>
      </c>
      <c r="I50" s="148">
        <f t="shared" si="2"/>
        <v>7920782.2300000004</v>
      </c>
      <c r="J50" s="148">
        <f t="shared" si="3"/>
        <v>880901.80000000075</v>
      </c>
      <c r="K50" s="149" t="str">
        <f t="shared" si="4"/>
        <v>Due To TF</v>
      </c>
    </row>
    <row r="51" spans="1:11" x14ac:dyDescent="0.25">
      <c r="A51" s="151" t="s">
        <v>67</v>
      </c>
      <c r="B51" s="176">
        <v>28065385</v>
      </c>
      <c r="C51" s="177">
        <v>2345640</v>
      </c>
      <c r="D51" s="152">
        <v>27369876.960000001</v>
      </c>
      <c r="E51" s="152">
        <f t="shared" si="6"/>
        <v>29715516.960000001</v>
      </c>
      <c r="F51" s="152">
        <v>571175.67000000004</v>
      </c>
      <c r="G51" s="152">
        <v>27597616.539999999</v>
      </c>
      <c r="H51" s="152">
        <f t="shared" si="5"/>
        <v>-467768.46000000089</v>
      </c>
      <c r="I51" s="152">
        <f t="shared" si="2"/>
        <v>28168792.210000001</v>
      </c>
      <c r="J51" s="152">
        <f t="shared" si="3"/>
        <v>1546724.75</v>
      </c>
      <c r="K51" s="153" t="str">
        <f t="shared" si="4"/>
        <v>Due To TF</v>
      </c>
    </row>
    <row r="52" spans="1:11" x14ac:dyDescent="0.25">
      <c r="A52" s="147" t="s">
        <v>54</v>
      </c>
      <c r="B52" s="174">
        <v>10766297</v>
      </c>
      <c r="C52" s="175">
        <v>3222098</v>
      </c>
      <c r="D52" s="148">
        <v>8132118.0200000005</v>
      </c>
      <c r="E52" s="148">
        <f t="shared" si="6"/>
        <v>11354216.02</v>
      </c>
      <c r="F52" s="148">
        <v>1083603.5799999998</v>
      </c>
      <c r="G52" s="148">
        <v>9692147.6499999985</v>
      </c>
      <c r="H52" s="148">
        <f t="shared" si="5"/>
        <v>-1074149.3500000015</v>
      </c>
      <c r="I52" s="148">
        <f t="shared" si="2"/>
        <v>10775751.229999999</v>
      </c>
      <c r="J52" s="148">
        <f t="shared" si="3"/>
        <v>578464.79000000097</v>
      </c>
      <c r="K52" s="149" t="str">
        <f t="shared" si="4"/>
        <v>Due To TF</v>
      </c>
    </row>
    <row r="53" spans="1:11" x14ac:dyDescent="0.25">
      <c r="A53" s="147" t="s">
        <v>60</v>
      </c>
      <c r="B53" s="174">
        <v>21039506</v>
      </c>
      <c r="C53" s="175">
        <v>1651826</v>
      </c>
      <c r="D53" s="148">
        <v>19354222.830000002</v>
      </c>
      <c r="E53" s="148">
        <f t="shared" si="6"/>
        <v>21006048.830000002</v>
      </c>
      <c r="F53" s="148">
        <v>290406.98</v>
      </c>
      <c r="G53" s="148">
        <v>21039506</v>
      </c>
      <c r="H53" s="148">
        <f t="shared" si="5"/>
        <v>0</v>
      </c>
      <c r="I53" s="148">
        <f t="shared" si="2"/>
        <v>21329912.98</v>
      </c>
      <c r="J53" s="148">
        <f t="shared" si="3"/>
        <v>-323864.14999999851</v>
      </c>
      <c r="K53" s="149" t="str">
        <f t="shared" si="4"/>
        <v>Due From TF</v>
      </c>
    </row>
    <row r="54" spans="1:11" x14ac:dyDescent="0.25">
      <c r="A54" s="147" t="s">
        <v>61</v>
      </c>
      <c r="B54" s="174">
        <v>11472659</v>
      </c>
      <c r="C54" s="175">
        <v>0</v>
      </c>
      <c r="D54" s="148">
        <v>13440340.920000002</v>
      </c>
      <c r="E54" s="148">
        <f t="shared" si="6"/>
        <v>13440340.920000002</v>
      </c>
      <c r="F54" s="148">
        <v>2022837.05</v>
      </c>
      <c r="G54" s="148">
        <v>10873802.780000001</v>
      </c>
      <c r="H54" s="148">
        <f t="shared" si="5"/>
        <v>-598856.21999999881</v>
      </c>
      <c r="I54" s="148">
        <f t="shared" si="2"/>
        <v>12896639.830000002</v>
      </c>
      <c r="J54" s="148">
        <f t="shared" si="3"/>
        <v>543701.08999999985</v>
      </c>
      <c r="K54" s="149" t="str">
        <f t="shared" si="4"/>
        <v>Due To TF</v>
      </c>
    </row>
    <row r="55" spans="1:11" x14ac:dyDescent="0.25">
      <c r="A55" s="147" t="s">
        <v>33</v>
      </c>
      <c r="B55" s="174">
        <v>1995899</v>
      </c>
      <c r="C55" s="175">
        <v>953700</v>
      </c>
      <c r="D55" s="148">
        <v>949319.07999999984</v>
      </c>
      <c r="E55" s="148">
        <f t="shared" si="6"/>
        <v>1903019.0799999998</v>
      </c>
      <c r="F55" s="148">
        <v>0</v>
      </c>
      <c r="G55" s="148">
        <v>1967523.3699999999</v>
      </c>
      <c r="H55" s="148">
        <f t="shared" si="5"/>
        <v>-28375.630000000121</v>
      </c>
      <c r="I55" s="148">
        <f t="shared" si="2"/>
        <v>1967523.3699999999</v>
      </c>
      <c r="J55" s="148">
        <f t="shared" si="3"/>
        <v>-64504.290000000037</v>
      </c>
      <c r="K55" s="149" t="str">
        <f t="shared" si="4"/>
        <v>Due From TF</v>
      </c>
    </row>
    <row r="56" spans="1:11" x14ac:dyDescent="0.25">
      <c r="A56" s="147" t="s">
        <v>43</v>
      </c>
      <c r="B56" s="174">
        <v>3256170</v>
      </c>
      <c r="C56" s="175">
        <v>319616</v>
      </c>
      <c r="D56" s="148">
        <v>4058050.7900000005</v>
      </c>
      <c r="E56" s="148">
        <f t="shared" si="6"/>
        <v>4377666.790000001</v>
      </c>
      <c r="F56" s="148">
        <v>812910.12000000011</v>
      </c>
      <c r="G56" s="148">
        <v>3256170</v>
      </c>
      <c r="H56" s="148">
        <f t="shared" si="5"/>
        <v>0</v>
      </c>
      <c r="I56" s="148">
        <f t="shared" si="2"/>
        <v>4069080.12</v>
      </c>
      <c r="J56" s="148">
        <f t="shared" si="3"/>
        <v>308586.67000000086</v>
      </c>
      <c r="K56" s="149" t="str">
        <f t="shared" si="4"/>
        <v>Due To TF</v>
      </c>
    </row>
    <row r="57" spans="1:11" x14ac:dyDescent="0.25">
      <c r="A57" s="147" t="s">
        <v>55</v>
      </c>
      <c r="B57" s="174">
        <v>6162040</v>
      </c>
      <c r="C57" s="175">
        <v>0</v>
      </c>
      <c r="D57" s="148">
        <v>6854051.3499999996</v>
      </c>
      <c r="E57" s="148">
        <f t="shared" si="6"/>
        <v>6854051.3499999996</v>
      </c>
      <c r="F57" s="148">
        <v>873583.37999999989</v>
      </c>
      <c r="G57" s="148">
        <v>5837217.71</v>
      </c>
      <c r="H57" s="148">
        <f t="shared" si="5"/>
        <v>-324822.29000000004</v>
      </c>
      <c r="I57" s="148">
        <f t="shared" si="2"/>
        <v>6710801.0899999999</v>
      </c>
      <c r="J57" s="148">
        <f t="shared" si="3"/>
        <v>143250.25999999978</v>
      </c>
      <c r="K57" s="149" t="str">
        <f t="shared" si="4"/>
        <v>Due To TF</v>
      </c>
    </row>
    <row r="58" spans="1:11" x14ac:dyDescent="0.25">
      <c r="A58" s="147" t="s">
        <v>44</v>
      </c>
      <c r="B58" s="174">
        <v>2904913</v>
      </c>
      <c r="C58" s="175">
        <v>0</v>
      </c>
      <c r="D58" s="148">
        <v>3948644.7</v>
      </c>
      <c r="E58" s="148">
        <f t="shared" si="6"/>
        <v>3948644.7</v>
      </c>
      <c r="F58" s="148">
        <v>1054552.8999999999</v>
      </c>
      <c r="G58" s="148">
        <v>2904912.9999999995</v>
      </c>
      <c r="H58" s="148">
        <f t="shared" si="5"/>
        <v>0</v>
      </c>
      <c r="I58" s="148">
        <f t="shared" si="2"/>
        <v>3959465.8999999994</v>
      </c>
      <c r="J58" s="148">
        <f t="shared" si="3"/>
        <v>-10821.199999999255</v>
      </c>
      <c r="K58" s="149" t="str">
        <f t="shared" si="4"/>
        <v>Due From TF</v>
      </c>
    </row>
    <row r="59" spans="1:11" x14ac:dyDescent="0.25">
      <c r="A59" s="147" t="s">
        <v>56</v>
      </c>
      <c r="B59" s="174">
        <v>7549352</v>
      </c>
      <c r="C59" s="175">
        <v>1253890</v>
      </c>
      <c r="D59" s="148">
        <v>7103516.8000000007</v>
      </c>
      <c r="E59" s="148">
        <f t="shared" si="6"/>
        <v>8357406.8000000007</v>
      </c>
      <c r="F59" s="148">
        <v>193022.42</v>
      </c>
      <c r="G59" s="148">
        <v>6797572.1400000006</v>
      </c>
      <c r="H59" s="148">
        <f t="shared" si="5"/>
        <v>-751779.8599999994</v>
      </c>
      <c r="I59" s="148">
        <f t="shared" si="2"/>
        <v>6990594.5600000005</v>
      </c>
      <c r="J59" s="148">
        <f t="shared" si="3"/>
        <v>1366812.2400000002</v>
      </c>
      <c r="K59" s="149" t="str">
        <f t="shared" si="4"/>
        <v>Due To TF</v>
      </c>
    </row>
    <row r="60" spans="1:11" x14ac:dyDescent="0.25">
      <c r="A60" s="147" t="s">
        <v>57</v>
      </c>
      <c r="B60" s="174">
        <v>8135019</v>
      </c>
      <c r="C60" s="175">
        <v>0</v>
      </c>
      <c r="D60" s="148">
        <v>8825877.5500000007</v>
      </c>
      <c r="E60" s="148">
        <f t="shared" si="6"/>
        <v>8825877.5500000007</v>
      </c>
      <c r="F60" s="148">
        <v>753255.79999999993</v>
      </c>
      <c r="G60" s="148">
        <v>8135018.9999999991</v>
      </c>
      <c r="H60" s="148">
        <f t="shared" si="5"/>
        <v>0</v>
      </c>
      <c r="I60" s="148">
        <f t="shared" si="2"/>
        <v>8888274.7999999989</v>
      </c>
      <c r="J60" s="148">
        <f t="shared" si="3"/>
        <v>-62397.249999998137</v>
      </c>
      <c r="K60" s="149" t="str">
        <f t="shared" si="4"/>
        <v>Due From TF</v>
      </c>
    </row>
    <row r="61" spans="1:11" x14ac:dyDescent="0.25">
      <c r="A61" s="147" t="s">
        <v>34</v>
      </c>
      <c r="B61" s="174">
        <v>1725333</v>
      </c>
      <c r="C61" s="175">
        <v>0</v>
      </c>
      <c r="D61" s="148">
        <v>2111430.5299999998</v>
      </c>
      <c r="E61" s="148">
        <f t="shared" si="6"/>
        <v>2111430.5299999998</v>
      </c>
      <c r="F61" s="148">
        <v>393754.86</v>
      </c>
      <c r="G61" s="148">
        <v>1717675.67</v>
      </c>
      <c r="H61" s="148">
        <f t="shared" si="5"/>
        <v>-7657.3300000000745</v>
      </c>
      <c r="I61" s="148">
        <f t="shared" si="2"/>
        <v>2111430.5299999998</v>
      </c>
      <c r="J61" s="148">
        <f>E61-I61</f>
        <v>0</v>
      </c>
      <c r="K61" s="149" t="e">
        <f t="shared" si="4"/>
        <v>#N/A</v>
      </c>
    </row>
    <row r="62" spans="1:11" x14ac:dyDescent="0.25">
      <c r="A62" s="147" t="s">
        <v>25</v>
      </c>
      <c r="B62" s="174">
        <v>1088604</v>
      </c>
      <c r="C62" s="175">
        <v>167376</v>
      </c>
      <c r="D62" s="148">
        <v>1060494.3400000001</v>
      </c>
      <c r="E62" s="148">
        <f t="shared" si="6"/>
        <v>1227870.3400000001</v>
      </c>
      <c r="F62" s="148">
        <v>45058.11</v>
      </c>
      <c r="G62" s="148">
        <v>1088604</v>
      </c>
      <c r="H62" s="148">
        <f t="shared" si="5"/>
        <v>0</v>
      </c>
      <c r="I62" s="148">
        <f t="shared" si="2"/>
        <v>1133662.1100000001</v>
      </c>
      <c r="J62" s="148">
        <f t="shared" si="3"/>
        <v>94208.229999999981</v>
      </c>
      <c r="K62" s="149" t="str">
        <f t="shared" si="4"/>
        <v>Due To TF</v>
      </c>
    </row>
    <row r="63" spans="1:11" x14ac:dyDescent="0.25">
      <c r="A63" s="151" t="s">
        <v>14</v>
      </c>
      <c r="B63" s="176">
        <v>525751</v>
      </c>
      <c r="C63" s="177">
        <v>92807</v>
      </c>
      <c r="D63" s="152">
        <v>392431.05</v>
      </c>
      <c r="E63" s="152">
        <f t="shared" si="6"/>
        <v>485238.05</v>
      </c>
      <c r="F63" s="152">
        <v>4294.4799999999996</v>
      </c>
      <c r="G63" s="152">
        <v>524003.08</v>
      </c>
      <c r="H63" s="152">
        <f t="shared" si="5"/>
        <v>-1747.9199999999837</v>
      </c>
      <c r="I63" s="152">
        <f t="shared" si="2"/>
        <v>528297.56000000006</v>
      </c>
      <c r="J63" s="152">
        <f t="shared" si="3"/>
        <v>-43059.510000000068</v>
      </c>
      <c r="K63" s="153" t="str">
        <f t="shared" si="4"/>
        <v>Due From TF</v>
      </c>
    </row>
    <row r="64" spans="1:11" x14ac:dyDescent="0.25">
      <c r="A64" s="151" t="s">
        <v>4</v>
      </c>
      <c r="B64" s="176">
        <v>457872</v>
      </c>
      <c r="C64" s="177">
        <v>282766</v>
      </c>
      <c r="D64" s="152">
        <v>140388.70000000001</v>
      </c>
      <c r="E64" s="152">
        <f t="shared" si="6"/>
        <v>423154.7</v>
      </c>
      <c r="F64" s="152">
        <v>0</v>
      </c>
      <c r="G64" s="152">
        <v>392099.53</v>
      </c>
      <c r="H64" s="152">
        <f t="shared" si="5"/>
        <v>-65772.469999999972</v>
      </c>
      <c r="I64" s="152">
        <f t="shared" si="2"/>
        <v>392099.53</v>
      </c>
      <c r="J64" s="152">
        <f t="shared" si="3"/>
        <v>31055.169999999984</v>
      </c>
      <c r="K64" s="153" t="str">
        <f t="shared" si="4"/>
        <v>Due To TF</v>
      </c>
    </row>
    <row r="65" spans="1:11" x14ac:dyDescent="0.25">
      <c r="A65" s="147" t="s">
        <v>62</v>
      </c>
      <c r="B65" s="174">
        <v>10757055</v>
      </c>
      <c r="C65" s="175">
        <v>2225531</v>
      </c>
      <c r="D65" s="148">
        <v>10209355.15</v>
      </c>
      <c r="E65" s="148">
        <f t="shared" si="6"/>
        <v>12434886.15</v>
      </c>
      <c r="F65" s="148">
        <v>358139.06</v>
      </c>
      <c r="G65" s="148">
        <v>9755968.6599999983</v>
      </c>
      <c r="H65" s="148">
        <f t="shared" si="5"/>
        <v>-1001086.3400000017</v>
      </c>
      <c r="I65" s="148">
        <f t="shared" si="2"/>
        <v>10114107.719999999</v>
      </c>
      <c r="J65" s="148">
        <f t="shared" si="3"/>
        <v>2320778.4300000016</v>
      </c>
      <c r="K65" s="149" t="str">
        <f t="shared" si="4"/>
        <v>Due To TF</v>
      </c>
    </row>
    <row r="66" spans="1:11" x14ac:dyDescent="0.25">
      <c r="A66" s="147" t="s">
        <v>26</v>
      </c>
      <c r="B66" s="174">
        <v>644175</v>
      </c>
      <c r="C66" s="175">
        <v>208538</v>
      </c>
      <c r="D66" s="148">
        <v>597410.01</v>
      </c>
      <c r="E66" s="148">
        <f t="shared" si="6"/>
        <v>805948.01</v>
      </c>
      <c r="F66" s="148">
        <v>9803.83</v>
      </c>
      <c r="G66" s="148">
        <v>644175</v>
      </c>
      <c r="H66" s="148">
        <f t="shared" ref="H66:H68" si="7">G66-B66</f>
        <v>0</v>
      </c>
      <c r="I66" s="148">
        <f t="shared" ref="I66:I68" si="8">SUM(F66:G66)</f>
        <v>653978.82999999996</v>
      </c>
      <c r="J66" s="148">
        <f t="shared" si="3"/>
        <v>151969.18000000005</v>
      </c>
      <c r="K66" s="149" t="str">
        <f t="shared" si="4"/>
        <v>Due To TF</v>
      </c>
    </row>
    <row r="67" spans="1:11" x14ac:dyDescent="0.25">
      <c r="A67" s="147" t="s">
        <v>35</v>
      </c>
      <c r="B67" s="174">
        <v>1497855</v>
      </c>
      <c r="C67" s="175">
        <v>159731</v>
      </c>
      <c r="D67" s="148">
        <v>1617171.93</v>
      </c>
      <c r="E67" s="148">
        <f t="shared" si="6"/>
        <v>1776902.93</v>
      </c>
      <c r="F67" s="148">
        <v>221803.11000000002</v>
      </c>
      <c r="G67" s="148">
        <v>1497855</v>
      </c>
      <c r="H67" s="148">
        <f t="shared" si="7"/>
        <v>0</v>
      </c>
      <c r="I67" s="148">
        <f t="shared" si="8"/>
        <v>1719658.11</v>
      </c>
      <c r="J67" s="148">
        <f>E67-I67</f>
        <v>57244.819999999832</v>
      </c>
      <c r="K67" s="149" t="str">
        <f>_xlfn.IFS(J67&gt;0,"Due To TF",J67&lt;0,"Due From TF")</f>
        <v>Due To TF</v>
      </c>
    </row>
    <row r="68" spans="1:11" x14ac:dyDescent="0.25">
      <c r="A68" s="151" t="s">
        <v>15</v>
      </c>
      <c r="B68" s="176">
        <v>741009</v>
      </c>
      <c r="C68" s="177">
        <v>310794</v>
      </c>
      <c r="D68" s="152">
        <v>529221.06999999995</v>
      </c>
      <c r="E68" s="152">
        <f t="shared" si="6"/>
        <v>840015.07</v>
      </c>
      <c r="F68" s="152">
        <v>0</v>
      </c>
      <c r="G68" s="152">
        <v>741009</v>
      </c>
      <c r="H68" s="152">
        <f t="shared" si="7"/>
        <v>0</v>
      </c>
      <c r="I68" s="152">
        <f t="shared" si="8"/>
        <v>741009</v>
      </c>
      <c r="J68" s="152">
        <f>E68-I68</f>
        <v>99006.069999999949</v>
      </c>
      <c r="K68" s="153" t="str">
        <f>_xlfn.IFS(J68&gt;0,"Due To TF",J68&lt;0,"Due From TF")</f>
        <v>Due To TF</v>
      </c>
    </row>
    <row r="69" spans="1:11" ht="9" customHeight="1" thickBot="1" x14ac:dyDescent="0.3">
      <c r="A69" s="159"/>
      <c r="B69" s="178"/>
      <c r="C69" s="178"/>
      <c r="D69" s="160"/>
      <c r="E69" s="148"/>
      <c r="F69" s="160"/>
      <c r="G69" s="160"/>
      <c r="H69" s="160"/>
      <c r="I69" s="148"/>
      <c r="J69" s="161"/>
      <c r="K69" s="162"/>
    </row>
    <row r="70" spans="1:11" s="164" customFormat="1" ht="16.5" thickTop="1" x14ac:dyDescent="0.25">
      <c r="A70" s="171" t="s">
        <v>113</v>
      </c>
      <c r="B70" s="179">
        <f>SUM(B2:B68)</f>
        <v>410000000</v>
      </c>
      <c r="C70" s="179">
        <f t="shared" ref="C70:J70" si="9">SUM(C2:C68)</f>
        <v>30453787</v>
      </c>
      <c r="D70" s="172">
        <f t="shared" si="9"/>
        <v>434366181.7899999</v>
      </c>
      <c r="E70" s="172">
        <f t="shared" si="9"/>
        <v>464819968.7899999</v>
      </c>
      <c r="F70" s="172">
        <f t="shared" si="9"/>
        <v>50318684.579999983</v>
      </c>
      <c r="G70" s="172">
        <f t="shared" si="9"/>
        <v>400249775.94999993</v>
      </c>
      <c r="H70" s="192">
        <f>SUM(H2:H68)</f>
        <v>-9750224.0500000063</v>
      </c>
      <c r="I70" s="173">
        <f t="shared" si="9"/>
        <v>450568460.52999991</v>
      </c>
      <c r="J70" s="172">
        <f t="shared" si="9"/>
        <v>14251508.259999998</v>
      </c>
    </row>
    <row r="71" spans="1:11" x14ac:dyDescent="0.25">
      <c r="D71" s="154"/>
      <c r="G71" s="154"/>
      <c r="H71" s="154"/>
      <c r="I71" s="154"/>
    </row>
    <row r="72" spans="1:11" x14ac:dyDescent="0.25">
      <c r="A72" s="164"/>
      <c r="B72" s="164"/>
      <c r="I72" s="165">
        <f>SUMIF(K2:K68,J72,J2:J68)</f>
        <v>-4415909.4700000016</v>
      </c>
      <c r="J72" s="150" t="s">
        <v>114</v>
      </c>
      <c r="K72" s="166">
        <f>COUNTIF(K2:K68,K55)</f>
        <v>17</v>
      </c>
    </row>
    <row r="73" spans="1:11" ht="15.75" customHeight="1" thickBot="1" x14ac:dyDescent="0.3">
      <c r="A73" s="167"/>
      <c r="B73" s="167"/>
      <c r="C73" s="167"/>
      <c r="D73" s="167"/>
      <c r="E73" s="167"/>
      <c r="F73" s="167"/>
      <c r="G73" s="167"/>
      <c r="H73" s="167"/>
      <c r="I73" s="165">
        <f>SUMIF(K2:K68,J73,J2:J68)</f>
        <v>18667417.730000004</v>
      </c>
      <c r="J73" s="150" t="s">
        <v>115</v>
      </c>
      <c r="K73" s="166">
        <f>COUNTIF(K2:K68,K68)</f>
        <v>49</v>
      </c>
    </row>
    <row r="74" spans="1:11" ht="16.5" thickTop="1" x14ac:dyDescent="0.25">
      <c r="A74" s="167"/>
      <c r="B74" s="167"/>
      <c r="C74" s="167"/>
      <c r="D74" s="167"/>
      <c r="E74" s="167"/>
      <c r="F74" s="168"/>
      <c r="G74" s="167"/>
      <c r="H74" s="167"/>
      <c r="I74" s="169">
        <f>I72+I73</f>
        <v>14251508.260000002</v>
      </c>
      <c r="J74" s="170" t="s">
        <v>75</v>
      </c>
    </row>
    <row r="75" spans="1:11" x14ac:dyDescent="0.25">
      <c r="F75" s="150"/>
    </row>
    <row r="77" spans="1:11" x14ac:dyDescent="0.25">
      <c r="G77" s="154"/>
    </row>
    <row r="78" spans="1:11" x14ac:dyDescent="0.25">
      <c r="H78" s="154"/>
    </row>
  </sheetData>
  <pageMargins left="0.5" right="0.5" top="0.5" bottom="1" header="0.25" footer="0.25"/>
  <pageSetup paperSize="5" scale="73" fitToHeight="0" orientation="landscape" r:id="rId1"/>
  <headerFooter>
    <oddFooter>&amp;L&amp;D&amp;RPage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D66D-0F66-4B2D-A58A-6AEA620A4F60}">
  <sheetPr>
    <tabColor rgb="FF0070C0"/>
  </sheetPr>
  <dimension ref="A1:E10"/>
  <sheetViews>
    <sheetView zoomScale="150" zoomScaleNormal="150" workbookViewId="0">
      <selection activeCell="B13" sqref="B13"/>
    </sheetView>
  </sheetViews>
  <sheetFormatPr defaultRowHeight="16.5" x14ac:dyDescent="0.3"/>
  <cols>
    <col min="1" max="1" width="69" style="182" customWidth="1"/>
    <col min="2" max="2" width="19.140625" style="182" customWidth="1"/>
    <col min="3" max="3" width="3.85546875" style="182" customWidth="1"/>
    <col min="4" max="5" width="17.28515625" style="182" customWidth="1"/>
    <col min="6" max="16384" width="9.140625" style="182"/>
  </cols>
  <sheetData>
    <row r="1" spans="1:5" s="181" customFormat="1" ht="19.5" x14ac:dyDescent="0.35">
      <c r="A1" s="315" t="s">
        <v>118</v>
      </c>
      <c r="B1" s="315"/>
    </row>
    <row r="2" spans="1:5" s="181" customFormat="1" ht="19.5" x14ac:dyDescent="0.35">
      <c r="D2" s="191" t="s">
        <v>117</v>
      </c>
    </row>
    <row r="3" spans="1:5" x14ac:dyDescent="0.3">
      <c r="A3" s="182" t="s">
        <v>120</v>
      </c>
      <c r="B3" s="183">
        <v>432855670</v>
      </c>
    </row>
    <row r="4" spans="1:5" x14ac:dyDescent="0.3">
      <c r="A4" s="182" t="s">
        <v>209</v>
      </c>
      <c r="B4" s="183">
        <v>11050000</v>
      </c>
      <c r="D4" s="184">
        <v>12183090.9</v>
      </c>
      <c r="E4" s="185">
        <f>D4-B4</f>
        <v>1133090.9000000004</v>
      </c>
    </row>
    <row r="5" spans="1:5" x14ac:dyDescent="0.3">
      <c r="A5" s="182" t="s">
        <v>121</v>
      </c>
      <c r="B5" s="186">
        <f>B4*-0.1</f>
        <v>-1105000</v>
      </c>
      <c r="C5" s="186"/>
      <c r="D5" s="186">
        <f t="shared" ref="D5" si="0">D4*-0.1</f>
        <v>-1218309.0900000001</v>
      </c>
      <c r="E5" s="187">
        <f>-(B5-D5)</f>
        <v>-113309.09000000008</v>
      </c>
    </row>
    <row r="6" spans="1:5" ht="17.25" thickBot="1" x14ac:dyDescent="0.35">
      <c r="A6" s="182" t="s">
        <v>119</v>
      </c>
      <c r="B6" s="183">
        <v>2054573</v>
      </c>
      <c r="E6" s="190">
        <f>E4+E5</f>
        <v>1019781.8100000003</v>
      </c>
    </row>
    <row r="7" spans="1:5" ht="17.25" thickTop="1" x14ac:dyDescent="0.3">
      <c r="B7" s="188">
        <f>SUM(B3:B6)</f>
        <v>444855243</v>
      </c>
    </row>
    <row r="8" spans="1:5" x14ac:dyDescent="0.3">
      <c r="B8" s="183"/>
    </row>
    <row r="10" spans="1:5" x14ac:dyDescent="0.3">
      <c r="B10" s="189"/>
    </row>
  </sheetData>
  <mergeCells count="1">
    <mergeCell ref="A1:B1"/>
  </mergeCells>
  <printOptions horizontalCentered="1"/>
  <pageMargins left="1" right="1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8E93-6003-4E2E-AC82-D755E6BAD6FE}">
  <sheetPr>
    <pageSetUpPr fitToPage="1"/>
  </sheetPr>
  <dimension ref="A1:O75"/>
  <sheetViews>
    <sheetView zoomScale="120" zoomScaleNormal="120" zoomScalePageLayoutView="5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R67" sqref="R67"/>
    </sheetView>
  </sheetViews>
  <sheetFormatPr defaultColWidth="2.28515625" defaultRowHeight="13.5" x14ac:dyDescent="0.25"/>
  <cols>
    <col min="1" max="1" width="13.42578125" style="8" customWidth="1"/>
    <col min="2" max="2" width="6.28515625" style="8" customWidth="1"/>
    <col min="3" max="3" width="17" style="8" customWidth="1"/>
    <col min="4" max="4" width="17.85546875" style="4" customWidth="1"/>
    <col min="5" max="5" width="17.28515625" style="8" customWidth="1"/>
    <col min="6" max="6" width="11.28515625" style="24" customWidth="1"/>
    <col min="7" max="7" width="16" style="5" customWidth="1"/>
    <col min="8" max="16384" width="2.28515625" style="8"/>
  </cols>
  <sheetData>
    <row r="1" spans="1:15" s="62" customFormat="1" ht="14.25" thickBot="1" x14ac:dyDescent="0.3">
      <c r="A1" s="26" t="s">
        <v>69</v>
      </c>
      <c r="B1" s="26"/>
      <c r="C1" s="26"/>
      <c r="D1" s="65">
        <f>C71</f>
        <v>444778204</v>
      </c>
      <c r="E1" s="9"/>
      <c r="F1" s="64"/>
      <c r="G1" s="63"/>
    </row>
    <row r="2" spans="1:15" s="51" customFormat="1" ht="54.75" thickBot="1" x14ac:dyDescent="0.3">
      <c r="A2" s="29" t="s">
        <v>0</v>
      </c>
      <c r="B2" s="30" t="s">
        <v>73</v>
      </c>
      <c r="C2" s="210" t="s">
        <v>78</v>
      </c>
      <c r="D2" s="242" t="s">
        <v>204</v>
      </c>
      <c r="E2" s="2" t="s">
        <v>202</v>
      </c>
      <c r="F2" s="61" t="s">
        <v>76</v>
      </c>
      <c r="G2" s="60" t="s">
        <v>75</v>
      </c>
      <c r="H2" s="8"/>
      <c r="I2" s="8"/>
      <c r="J2" s="8"/>
      <c r="K2" s="8"/>
      <c r="L2" s="8"/>
      <c r="M2" s="8"/>
      <c r="N2" s="8"/>
      <c r="O2" s="8"/>
    </row>
    <row r="3" spans="1:15" s="42" customFormat="1" x14ac:dyDescent="0.25">
      <c r="A3" s="50" t="s">
        <v>1</v>
      </c>
      <c r="B3" s="49">
        <v>1</v>
      </c>
      <c r="C3" s="207">
        <v>448334</v>
      </c>
      <c r="D3" s="238">
        <v>10054.5</v>
      </c>
      <c r="E3" s="59">
        <f t="shared" ref="E3:E34" si="0">ROUND((D3/$D$71*$D$1),0)</f>
        <v>249386</v>
      </c>
      <c r="F3" s="28">
        <f>E3/$D$1</f>
        <v>5.6069743921174703E-4</v>
      </c>
      <c r="G3" s="44">
        <f t="shared" ref="G3:G34" si="1">E3-C3</f>
        <v>-198948</v>
      </c>
      <c r="H3" s="8"/>
      <c r="I3" s="8"/>
      <c r="J3" s="8"/>
      <c r="K3" s="8"/>
      <c r="L3" s="8"/>
      <c r="M3" s="8"/>
      <c r="N3" s="8"/>
      <c r="O3" s="8"/>
    </row>
    <row r="4" spans="1:15" customFormat="1" ht="15" x14ac:dyDescent="0.25">
      <c r="A4" s="31" t="s">
        <v>2</v>
      </c>
      <c r="B4" s="32">
        <v>1</v>
      </c>
      <c r="C4" s="208">
        <v>307140</v>
      </c>
      <c r="D4" s="239">
        <v>3869</v>
      </c>
      <c r="E4" s="58">
        <f>ROUND((D4/$D$71*$D$1),0)</f>
        <v>95964</v>
      </c>
      <c r="F4" s="20">
        <f t="shared" ref="F4:F34" si="2">E4/$D$1</f>
        <v>2.1575697535754248E-4</v>
      </c>
      <c r="G4" s="6">
        <f t="shared" si="1"/>
        <v>-211176</v>
      </c>
    </row>
    <row r="5" spans="1:15" s="43" customFormat="1" x14ac:dyDescent="0.25">
      <c r="A5" s="31" t="s">
        <v>3</v>
      </c>
      <c r="B5" s="32">
        <v>1</v>
      </c>
      <c r="C5" s="208">
        <v>312333</v>
      </c>
      <c r="D5" s="239">
        <v>6585.5</v>
      </c>
      <c r="E5" s="58">
        <f t="shared" si="0"/>
        <v>163343</v>
      </c>
      <c r="F5" s="20">
        <f t="shared" si="2"/>
        <v>3.6724596333861719E-4</v>
      </c>
      <c r="G5" s="6">
        <f t="shared" si="1"/>
        <v>-148990</v>
      </c>
      <c r="H5" s="8"/>
      <c r="I5" s="8"/>
      <c r="J5" s="8"/>
      <c r="K5" s="8"/>
      <c r="L5" s="8"/>
      <c r="M5" s="8"/>
      <c r="N5" s="8"/>
      <c r="O5" s="8"/>
    </row>
    <row r="6" spans="1:15" s="42" customFormat="1" x14ac:dyDescent="0.25">
      <c r="A6" s="31" t="s">
        <v>4</v>
      </c>
      <c r="B6" s="32">
        <v>1</v>
      </c>
      <c r="C6" s="208">
        <v>485497</v>
      </c>
      <c r="D6" s="239">
        <v>7100</v>
      </c>
      <c r="E6" s="58">
        <f t="shared" si="0"/>
        <v>176104</v>
      </c>
      <c r="F6" s="20">
        <f t="shared" si="2"/>
        <v>3.9593666779588868E-4</v>
      </c>
      <c r="G6" s="6">
        <f t="shared" si="1"/>
        <v>-309393</v>
      </c>
      <c r="H6" s="8"/>
      <c r="I6" s="8"/>
      <c r="J6" s="8"/>
      <c r="K6" s="8"/>
      <c r="L6" s="8"/>
      <c r="M6" s="8"/>
      <c r="N6" s="8"/>
      <c r="O6" s="8"/>
    </row>
    <row r="7" spans="1:15" s="42" customFormat="1" x14ac:dyDescent="0.25">
      <c r="A7" s="31" t="s">
        <v>5</v>
      </c>
      <c r="B7" s="32">
        <v>2</v>
      </c>
      <c r="C7" s="208">
        <v>707152</v>
      </c>
      <c r="D7" s="239">
        <v>18280.5</v>
      </c>
      <c r="E7" s="58">
        <f t="shared" si="0"/>
        <v>453419</v>
      </c>
      <c r="F7" s="20">
        <f t="shared" si="2"/>
        <v>1.0194272019678375E-3</v>
      </c>
      <c r="G7" s="6">
        <f t="shared" si="1"/>
        <v>-253733</v>
      </c>
      <c r="H7" s="8"/>
      <c r="I7" s="8"/>
      <c r="J7" s="8"/>
      <c r="K7" s="8"/>
      <c r="L7" s="8"/>
      <c r="M7" s="8"/>
      <c r="N7" s="8"/>
      <c r="O7" s="8"/>
    </row>
    <row r="8" spans="1:15" s="42" customFormat="1" x14ac:dyDescent="0.25">
      <c r="A8" s="31" t="s">
        <v>6</v>
      </c>
      <c r="B8" s="32">
        <v>2</v>
      </c>
      <c r="C8" s="208">
        <v>489054</v>
      </c>
      <c r="D8" s="239">
        <v>14410</v>
      </c>
      <c r="E8" s="58">
        <f t="shared" si="0"/>
        <v>357417</v>
      </c>
      <c r="F8" s="20">
        <f t="shared" si="2"/>
        <v>8.0358479076910881E-4</v>
      </c>
      <c r="G8" s="6">
        <f t="shared" si="1"/>
        <v>-131637</v>
      </c>
      <c r="H8" s="8"/>
      <c r="I8" s="8"/>
      <c r="J8" s="8"/>
      <c r="K8" s="8"/>
      <c r="L8" s="8"/>
      <c r="M8" s="8"/>
      <c r="N8" s="8"/>
      <c r="O8" s="8"/>
    </row>
    <row r="9" spans="1:15" s="42" customFormat="1" x14ac:dyDescent="0.25">
      <c r="A9" s="31" t="s">
        <v>7</v>
      </c>
      <c r="B9" s="32">
        <v>2</v>
      </c>
      <c r="C9" s="208">
        <v>658287</v>
      </c>
      <c r="D9" s="239">
        <v>10508.5</v>
      </c>
      <c r="E9" s="58">
        <f t="shared" si="0"/>
        <v>260647</v>
      </c>
      <c r="F9" s="20">
        <f t="shared" si="2"/>
        <v>5.8601567625377613E-4</v>
      </c>
      <c r="G9" s="6">
        <f t="shared" si="1"/>
        <v>-397640</v>
      </c>
      <c r="H9" s="8"/>
      <c r="I9" s="8"/>
      <c r="J9" s="8"/>
      <c r="K9" s="8"/>
      <c r="L9" s="8"/>
      <c r="M9" s="8"/>
      <c r="N9" s="8"/>
      <c r="O9" s="8"/>
    </row>
    <row r="10" spans="1:15" s="42" customFormat="1" x14ac:dyDescent="0.25">
      <c r="A10" s="31" t="s">
        <v>8</v>
      </c>
      <c r="B10" s="32">
        <v>2</v>
      </c>
      <c r="C10" s="208">
        <v>545457</v>
      </c>
      <c r="D10" s="239">
        <v>12138.5</v>
      </c>
      <c r="E10" s="58">
        <f t="shared" si="0"/>
        <v>301076</v>
      </c>
      <c r="F10" s="20">
        <f t="shared" si="2"/>
        <v>6.7691266634099724E-4</v>
      </c>
      <c r="G10" s="6">
        <f t="shared" si="1"/>
        <v>-244381</v>
      </c>
      <c r="H10" s="8"/>
      <c r="I10" s="8"/>
      <c r="J10" s="8"/>
      <c r="K10" s="8"/>
      <c r="L10" s="8"/>
      <c r="M10" s="8"/>
      <c r="N10" s="8"/>
      <c r="O10" s="8"/>
    </row>
    <row r="11" spans="1:15" s="42" customFormat="1" x14ac:dyDescent="0.25">
      <c r="A11" s="31" t="s">
        <v>9</v>
      </c>
      <c r="B11" s="32">
        <v>2</v>
      </c>
      <c r="C11" s="208">
        <v>566489</v>
      </c>
      <c r="D11" s="239">
        <v>13606</v>
      </c>
      <c r="E11" s="58">
        <f t="shared" si="0"/>
        <v>337475</v>
      </c>
      <c r="F11" s="20">
        <f t="shared" si="2"/>
        <v>7.587489606392673E-4</v>
      </c>
      <c r="G11" s="6">
        <f t="shared" si="1"/>
        <v>-229014</v>
      </c>
      <c r="H11" s="8"/>
      <c r="I11" s="8"/>
      <c r="J11" s="8"/>
      <c r="K11" s="8"/>
      <c r="L11" s="8"/>
      <c r="M11" s="8"/>
      <c r="N11" s="8"/>
      <c r="O11" s="8"/>
    </row>
    <row r="12" spans="1:15" s="42" customFormat="1" x14ac:dyDescent="0.25">
      <c r="A12" s="31" t="s">
        <v>10</v>
      </c>
      <c r="B12" s="32">
        <v>2</v>
      </c>
      <c r="C12" s="208">
        <v>490361</v>
      </c>
      <c r="D12" s="239">
        <v>10113.5</v>
      </c>
      <c r="E12" s="58">
        <f t="shared" si="0"/>
        <v>250849</v>
      </c>
      <c r="F12" s="20">
        <f t="shared" si="2"/>
        <v>5.6398671909741328E-4</v>
      </c>
      <c r="G12" s="6">
        <f t="shared" si="1"/>
        <v>-239512</v>
      </c>
      <c r="H12" s="8"/>
      <c r="I12" s="8"/>
      <c r="J12" s="8"/>
      <c r="K12" s="8"/>
      <c r="L12" s="8"/>
      <c r="M12" s="8"/>
      <c r="N12" s="8"/>
      <c r="O12" s="8"/>
    </row>
    <row r="13" spans="1:15" s="42" customFormat="1" ht="12.75" customHeight="1" x14ac:dyDescent="0.25">
      <c r="A13" s="31" t="s">
        <v>11</v>
      </c>
      <c r="B13" s="32">
        <v>2</v>
      </c>
      <c r="C13" s="208">
        <v>596303</v>
      </c>
      <c r="D13" s="239">
        <v>13653</v>
      </c>
      <c r="E13" s="58">
        <f t="shared" si="0"/>
        <v>338641</v>
      </c>
      <c r="F13" s="20">
        <f t="shared" si="2"/>
        <v>7.613704919767157E-4</v>
      </c>
      <c r="G13" s="6">
        <f t="shared" si="1"/>
        <v>-257662</v>
      </c>
      <c r="H13" s="8"/>
      <c r="I13" s="8"/>
      <c r="J13" s="8"/>
      <c r="K13" s="8"/>
      <c r="L13" s="8"/>
      <c r="M13" s="8"/>
      <c r="N13" s="8"/>
      <c r="O13" s="8"/>
    </row>
    <row r="14" spans="1:15" s="42" customFormat="1" x14ac:dyDescent="0.25">
      <c r="A14" s="31" t="s">
        <v>12</v>
      </c>
      <c r="B14" s="32">
        <v>2</v>
      </c>
      <c r="C14" s="208">
        <v>589080</v>
      </c>
      <c r="D14" s="239">
        <v>18084</v>
      </c>
      <c r="E14" s="58">
        <f t="shared" si="0"/>
        <v>448545</v>
      </c>
      <c r="F14" s="20">
        <f t="shared" si="2"/>
        <v>1.0084689311799101E-3</v>
      </c>
      <c r="G14" s="6">
        <f t="shared" si="1"/>
        <v>-140535</v>
      </c>
      <c r="H14" s="8"/>
      <c r="I14" s="8"/>
      <c r="J14" s="8"/>
      <c r="K14" s="8"/>
      <c r="L14" s="8"/>
      <c r="M14" s="8"/>
      <c r="N14" s="8"/>
      <c r="O14" s="8"/>
    </row>
    <row r="15" spans="1:15" s="42" customFormat="1" x14ac:dyDescent="0.25">
      <c r="A15" s="31" t="s">
        <v>13</v>
      </c>
      <c r="B15" s="32">
        <v>2</v>
      </c>
      <c r="C15" s="208">
        <v>501826</v>
      </c>
      <c r="D15" s="239">
        <v>10999</v>
      </c>
      <c r="E15" s="58">
        <f t="shared" si="0"/>
        <v>272813</v>
      </c>
      <c r="F15" s="20">
        <f t="shared" si="2"/>
        <v>6.1336863530300149E-4</v>
      </c>
      <c r="G15" s="6">
        <f t="shared" si="1"/>
        <v>-229013</v>
      </c>
      <c r="H15" s="8"/>
      <c r="I15" s="8"/>
      <c r="J15" s="8"/>
      <c r="K15" s="8"/>
      <c r="L15" s="8"/>
      <c r="M15" s="8"/>
      <c r="N15" s="8"/>
      <c r="O15" s="8"/>
    </row>
    <row r="16" spans="1:15" s="42" customFormat="1" x14ac:dyDescent="0.25">
      <c r="A16" s="31" t="s">
        <v>14</v>
      </c>
      <c r="B16" s="32">
        <v>2</v>
      </c>
      <c r="C16" s="208">
        <v>562835</v>
      </c>
      <c r="D16" s="239">
        <v>19712</v>
      </c>
      <c r="E16" s="58">
        <f t="shared" si="0"/>
        <v>488925</v>
      </c>
      <c r="F16" s="20">
        <f t="shared" si="2"/>
        <v>1.0992557539982331E-3</v>
      </c>
      <c r="G16" s="6">
        <f t="shared" si="1"/>
        <v>-73910</v>
      </c>
      <c r="H16" s="8"/>
      <c r="I16" s="8"/>
      <c r="J16" s="8"/>
      <c r="K16" s="8"/>
      <c r="L16" s="8"/>
      <c r="M16" s="8"/>
      <c r="N16" s="8"/>
      <c r="O16" s="8"/>
    </row>
    <row r="17" spans="1:15" s="42" customFormat="1" x14ac:dyDescent="0.25">
      <c r="A17" s="31" t="s">
        <v>15</v>
      </c>
      <c r="B17" s="32">
        <v>2</v>
      </c>
      <c r="C17" s="208">
        <v>786795</v>
      </c>
      <c r="D17" s="239">
        <v>18481</v>
      </c>
      <c r="E17" s="58">
        <f t="shared" si="0"/>
        <v>458392</v>
      </c>
      <c r="F17" s="20">
        <f t="shared" si="2"/>
        <v>1.0306080556051708E-3</v>
      </c>
      <c r="G17" s="6">
        <f t="shared" si="1"/>
        <v>-328403</v>
      </c>
      <c r="H17" s="8"/>
      <c r="I17" s="8"/>
      <c r="J17" s="8"/>
      <c r="K17" s="8"/>
      <c r="L17" s="8"/>
      <c r="M17" s="8"/>
      <c r="N17" s="8"/>
      <c r="O17" s="8"/>
    </row>
    <row r="18" spans="1:15" s="42" customFormat="1" x14ac:dyDescent="0.25">
      <c r="A18" s="31" t="s">
        <v>16</v>
      </c>
      <c r="B18" s="32">
        <v>3</v>
      </c>
      <c r="C18" s="208">
        <v>854135</v>
      </c>
      <c r="D18" s="239">
        <v>31867</v>
      </c>
      <c r="E18" s="58">
        <f t="shared" si="0"/>
        <v>790411</v>
      </c>
      <c r="F18" s="20">
        <f t="shared" si="2"/>
        <v>1.7770902280993966E-3</v>
      </c>
      <c r="G18" s="6">
        <f t="shared" si="1"/>
        <v>-63724</v>
      </c>
      <c r="H18" s="8"/>
      <c r="I18" s="8"/>
      <c r="J18" s="8"/>
      <c r="K18" s="8"/>
      <c r="L18" s="8"/>
      <c r="M18" s="8"/>
      <c r="N18" s="8"/>
      <c r="O18" s="8"/>
    </row>
    <row r="19" spans="1:15" s="42" customFormat="1" x14ac:dyDescent="0.25">
      <c r="A19" s="31" t="s">
        <v>17</v>
      </c>
      <c r="B19" s="32">
        <v>3</v>
      </c>
      <c r="C19" s="208">
        <v>805964</v>
      </c>
      <c r="D19" s="239">
        <v>28033</v>
      </c>
      <c r="E19" s="58">
        <f t="shared" si="0"/>
        <v>695314</v>
      </c>
      <c r="F19" s="20">
        <f t="shared" si="2"/>
        <v>1.5632825389078643E-3</v>
      </c>
      <c r="G19" s="6">
        <f t="shared" si="1"/>
        <v>-110650</v>
      </c>
      <c r="H19" s="8"/>
      <c r="I19" s="8"/>
      <c r="J19" s="8"/>
      <c r="K19" s="8"/>
      <c r="L19" s="8"/>
      <c r="M19" s="8"/>
      <c r="N19" s="8"/>
      <c r="O19" s="8"/>
    </row>
    <row r="20" spans="1:15" s="42" customFormat="1" x14ac:dyDescent="0.25">
      <c r="A20" s="31" t="s">
        <v>18</v>
      </c>
      <c r="B20" s="32">
        <v>3</v>
      </c>
      <c r="C20" s="208">
        <v>1334828</v>
      </c>
      <c r="D20" s="239">
        <v>37739.5</v>
      </c>
      <c r="E20" s="58">
        <f t="shared" si="0"/>
        <v>936069</v>
      </c>
      <c r="F20" s="20">
        <f t="shared" si="2"/>
        <v>2.104574800612307E-3</v>
      </c>
      <c r="G20" s="6">
        <f t="shared" si="1"/>
        <v>-398759</v>
      </c>
      <c r="H20" s="8"/>
      <c r="I20" s="8"/>
      <c r="J20" s="8"/>
      <c r="K20" s="8"/>
      <c r="L20" s="8"/>
      <c r="M20" s="8"/>
      <c r="N20" s="8"/>
      <c r="O20" s="8"/>
    </row>
    <row r="21" spans="1:15" s="42" customFormat="1" x14ac:dyDescent="0.25">
      <c r="A21" s="31" t="s">
        <v>19</v>
      </c>
      <c r="B21" s="32">
        <v>3</v>
      </c>
      <c r="C21" s="208">
        <v>906252</v>
      </c>
      <c r="D21" s="239">
        <v>21666.5</v>
      </c>
      <c r="E21" s="58">
        <f t="shared" si="0"/>
        <v>537403</v>
      </c>
      <c r="F21" s="20">
        <f t="shared" si="2"/>
        <v>1.2082494042356445E-3</v>
      </c>
      <c r="G21" s="6">
        <f t="shared" si="1"/>
        <v>-368849</v>
      </c>
      <c r="H21" s="8"/>
      <c r="I21" s="8"/>
      <c r="J21" s="8"/>
      <c r="K21" s="8"/>
      <c r="L21" s="8"/>
      <c r="M21" s="8"/>
      <c r="N21" s="8"/>
      <c r="O21" s="8"/>
    </row>
    <row r="22" spans="1:15" s="42" customFormat="1" x14ac:dyDescent="0.25">
      <c r="A22" s="31" t="s">
        <v>20</v>
      </c>
      <c r="B22" s="32">
        <v>3</v>
      </c>
      <c r="C22" s="208">
        <v>1281071</v>
      </c>
      <c r="D22" s="239">
        <v>31135</v>
      </c>
      <c r="E22" s="58">
        <f t="shared" si="0"/>
        <v>772255</v>
      </c>
      <c r="F22" s="20">
        <f t="shared" si="2"/>
        <v>1.7362698825053038E-3</v>
      </c>
      <c r="G22" s="6">
        <f t="shared" si="1"/>
        <v>-508816</v>
      </c>
      <c r="H22" s="8"/>
      <c r="I22" s="8"/>
      <c r="J22" s="8"/>
      <c r="K22" s="8"/>
      <c r="L22" s="8"/>
      <c r="M22" s="8"/>
      <c r="N22" s="8"/>
      <c r="O22" s="8"/>
    </row>
    <row r="23" spans="1:15" s="42" customFormat="1" x14ac:dyDescent="0.25">
      <c r="A23" s="31" t="s">
        <v>21</v>
      </c>
      <c r="B23" s="32">
        <v>3</v>
      </c>
      <c r="C23" s="208">
        <v>1104348</v>
      </c>
      <c r="D23" s="239">
        <v>35398</v>
      </c>
      <c r="E23" s="58">
        <f t="shared" si="0"/>
        <v>877992</v>
      </c>
      <c r="F23" s="20">
        <f t="shared" si="2"/>
        <v>1.9739996072289548E-3</v>
      </c>
      <c r="G23" s="6">
        <f t="shared" si="1"/>
        <v>-226356</v>
      </c>
      <c r="H23" s="8"/>
      <c r="I23" s="8"/>
      <c r="J23" s="8"/>
      <c r="K23" s="8"/>
      <c r="L23" s="8"/>
      <c r="M23" s="8"/>
      <c r="N23" s="8"/>
      <c r="O23" s="8"/>
    </row>
    <row r="24" spans="1:15" s="42" customFormat="1" x14ac:dyDescent="0.25">
      <c r="A24" s="31" t="s">
        <v>22</v>
      </c>
      <c r="B24" s="32">
        <v>3</v>
      </c>
      <c r="C24" s="208">
        <v>1122633</v>
      </c>
      <c r="D24" s="239">
        <v>37134</v>
      </c>
      <c r="E24" s="58">
        <f t="shared" si="0"/>
        <v>921050</v>
      </c>
      <c r="F24" s="20">
        <f t="shared" si="2"/>
        <v>2.0708074085392905E-3</v>
      </c>
      <c r="G24" s="6">
        <f t="shared" si="1"/>
        <v>-201583</v>
      </c>
      <c r="H24" s="8"/>
      <c r="I24" s="8"/>
      <c r="J24" s="8"/>
      <c r="K24" s="8"/>
      <c r="L24" s="8"/>
      <c r="M24" s="8"/>
      <c r="N24" s="8"/>
      <c r="O24" s="8"/>
    </row>
    <row r="25" spans="1:15" s="42" customFormat="1" x14ac:dyDescent="0.25">
      <c r="A25" s="31" t="s">
        <v>23</v>
      </c>
      <c r="B25" s="32">
        <v>3</v>
      </c>
      <c r="C25" s="208">
        <v>556502</v>
      </c>
      <c r="D25" s="239">
        <v>23740</v>
      </c>
      <c r="E25" s="58">
        <f t="shared" si="0"/>
        <v>588833</v>
      </c>
      <c r="F25" s="20">
        <f t="shared" si="2"/>
        <v>1.3238800703462528E-3</v>
      </c>
      <c r="G25" s="6">
        <f t="shared" si="1"/>
        <v>32331</v>
      </c>
      <c r="H25" s="8"/>
      <c r="I25" s="8"/>
      <c r="J25" s="8"/>
      <c r="K25" s="8"/>
      <c r="L25" s="8"/>
      <c r="M25" s="8"/>
      <c r="N25" s="8"/>
      <c r="O25" s="8"/>
    </row>
    <row r="26" spans="1:15" s="42" customFormat="1" x14ac:dyDescent="0.25">
      <c r="A26" s="31" t="s">
        <v>24</v>
      </c>
      <c r="B26" s="32">
        <v>3</v>
      </c>
      <c r="C26" s="208">
        <v>1273503</v>
      </c>
      <c r="D26" s="239">
        <v>32825.5</v>
      </c>
      <c r="E26" s="58">
        <f t="shared" si="0"/>
        <v>814185</v>
      </c>
      <c r="F26" s="20">
        <f t="shared" si="2"/>
        <v>1.8305415883193774E-3</v>
      </c>
      <c r="G26" s="6">
        <f t="shared" si="1"/>
        <v>-459318</v>
      </c>
      <c r="H26" s="8"/>
      <c r="I26" s="8"/>
      <c r="J26" s="8"/>
      <c r="K26" s="8"/>
      <c r="L26" s="8"/>
      <c r="M26" s="8"/>
      <c r="N26" s="8"/>
      <c r="O26" s="8"/>
    </row>
    <row r="27" spans="1:15" s="42" customFormat="1" x14ac:dyDescent="0.25">
      <c r="A27" s="31" t="s">
        <v>25</v>
      </c>
      <c r="B27" s="32">
        <v>3</v>
      </c>
      <c r="C27" s="208">
        <v>1172095</v>
      </c>
      <c r="D27" s="239">
        <v>36468.5</v>
      </c>
      <c r="E27" s="58">
        <f t="shared" si="0"/>
        <v>904544</v>
      </c>
      <c r="F27" s="20">
        <f t="shared" si="2"/>
        <v>2.0336967771019641E-3</v>
      </c>
      <c r="G27" s="6">
        <f t="shared" si="1"/>
        <v>-267551</v>
      </c>
      <c r="H27" s="8"/>
      <c r="I27" s="8"/>
      <c r="J27" s="8"/>
      <c r="K27" s="8"/>
      <c r="L27" s="8"/>
      <c r="M27" s="8"/>
      <c r="N27" s="8"/>
      <c r="O27" s="8"/>
    </row>
    <row r="28" spans="1:15" s="42" customFormat="1" x14ac:dyDescent="0.25">
      <c r="A28" s="31" t="s">
        <v>26</v>
      </c>
      <c r="B28" s="32">
        <v>3</v>
      </c>
      <c r="C28" s="208">
        <v>688701</v>
      </c>
      <c r="D28" s="239">
        <v>22579.5</v>
      </c>
      <c r="E28" s="58">
        <f t="shared" si="0"/>
        <v>560049</v>
      </c>
      <c r="F28" s="20">
        <f t="shared" si="2"/>
        <v>1.2591646689593628E-3</v>
      </c>
      <c r="G28" s="6">
        <f t="shared" si="1"/>
        <v>-128652</v>
      </c>
      <c r="H28" s="8"/>
      <c r="I28" s="8"/>
      <c r="J28" s="8"/>
      <c r="K28" s="8"/>
      <c r="L28" s="8"/>
      <c r="M28" s="8"/>
      <c r="N28" s="8"/>
      <c r="O28" s="8"/>
    </row>
    <row r="29" spans="1:15" s="42" customFormat="1" x14ac:dyDescent="0.25">
      <c r="A29" s="31" t="s">
        <v>27</v>
      </c>
      <c r="B29" s="32">
        <v>4</v>
      </c>
      <c r="C29" s="208">
        <v>2995549</v>
      </c>
      <c r="D29" s="239">
        <v>99627.5</v>
      </c>
      <c r="E29" s="58">
        <f t="shared" si="0"/>
        <v>2471103</v>
      </c>
      <c r="F29" s="20">
        <f t="shared" si="2"/>
        <v>5.5558095648050232E-3</v>
      </c>
      <c r="G29" s="6">
        <f t="shared" si="1"/>
        <v>-524446</v>
      </c>
      <c r="H29" s="8"/>
      <c r="I29" s="8"/>
      <c r="J29" s="8"/>
      <c r="K29" s="8"/>
      <c r="L29" s="8"/>
      <c r="M29" s="8"/>
      <c r="N29" s="8"/>
      <c r="O29" s="8"/>
    </row>
    <row r="30" spans="1:15" s="42" customFormat="1" x14ac:dyDescent="0.25">
      <c r="A30" s="31" t="s">
        <v>28</v>
      </c>
      <c r="B30" s="32">
        <v>4</v>
      </c>
      <c r="C30" s="208">
        <v>1527140</v>
      </c>
      <c r="D30" s="239">
        <v>60631</v>
      </c>
      <c r="E30" s="58">
        <f t="shared" si="0"/>
        <v>1503857</v>
      </c>
      <c r="F30" s="20">
        <f t="shared" si="2"/>
        <v>3.3811391531227103E-3</v>
      </c>
      <c r="G30" s="6">
        <f t="shared" si="1"/>
        <v>-23283</v>
      </c>
      <c r="H30" s="8"/>
      <c r="I30" s="8"/>
      <c r="J30" s="8"/>
      <c r="K30" s="8"/>
      <c r="L30" s="8"/>
      <c r="M30" s="8"/>
      <c r="N30" s="8"/>
      <c r="O30" s="8"/>
    </row>
    <row r="31" spans="1:15" s="42" customFormat="1" x14ac:dyDescent="0.25">
      <c r="A31" s="31" t="s">
        <v>29</v>
      </c>
      <c r="B31" s="32">
        <v>4</v>
      </c>
      <c r="C31" s="208">
        <v>1818120</v>
      </c>
      <c r="D31" s="239">
        <v>67808</v>
      </c>
      <c r="E31" s="58">
        <f t="shared" si="0"/>
        <v>1681871</v>
      </c>
      <c r="F31" s="20">
        <f t="shared" si="2"/>
        <v>3.7813700960940074E-3</v>
      </c>
      <c r="G31" s="6">
        <f t="shared" si="1"/>
        <v>-136249</v>
      </c>
      <c r="H31" s="8"/>
      <c r="I31" s="8"/>
      <c r="J31" s="8"/>
      <c r="K31" s="8"/>
      <c r="L31" s="8"/>
      <c r="M31" s="8"/>
      <c r="N31" s="8"/>
      <c r="O31" s="8"/>
    </row>
    <row r="32" spans="1:15" s="42" customFormat="1" x14ac:dyDescent="0.25">
      <c r="A32" s="31" t="s">
        <v>30</v>
      </c>
      <c r="B32" s="32">
        <v>4</v>
      </c>
      <c r="C32" s="208">
        <v>1963861</v>
      </c>
      <c r="D32" s="239">
        <v>59096.5</v>
      </c>
      <c r="E32" s="58">
        <f t="shared" si="0"/>
        <v>1465796</v>
      </c>
      <c r="F32" s="20">
        <f t="shared" si="2"/>
        <v>3.2955661649283516E-3</v>
      </c>
      <c r="G32" s="6">
        <f t="shared" si="1"/>
        <v>-498065</v>
      </c>
      <c r="H32" s="8"/>
      <c r="I32" s="8"/>
      <c r="J32" s="8"/>
      <c r="K32" s="8"/>
      <c r="L32" s="8"/>
      <c r="M32" s="8"/>
      <c r="N32" s="8"/>
      <c r="O32" s="8"/>
    </row>
    <row r="33" spans="1:15" s="42" customFormat="1" x14ac:dyDescent="0.25">
      <c r="A33" s="31" t="s">
        <v>31</v>
      </c>
      <c r="B33" s="32">
        <v>4</v>
      </c>
      <c r="C33" s="208">
        <v>2968481</v>
      </c>
      <c r="D33" s="239">
        <v>90620.5</v>
      </c>
      <c r="E33" s="58">
        <f t="shared" si="0"/>
        <v>2247699</v>
      </c>
      <c r="F33" s="20">
        <f t="shared" si="2"/>
        <v>5.0535277578484935E-3</v>
      </c>
      <c r="G33" s="6">
        <f t="shared" si="1"/>
        <v>-720782</v>
      </c>
      <c r="H33" s="8"/>
      <c r="I33" s="8"/>
      <c r="J33" s="8"/>
      <c r="K33" s="8"/>
      <c r="L33" s="8"/>
      <c r="M33" s="8"/>
      <c r="N33" s="8"/>
      <c r="O33" s="8"/>
    </row>
    <row r="34" spans="1:15" s="42" customFormat="1" x14ac:dyDescent="0.25">
      <c r="A34" s="31" t="s">
        <v>32</v>
      </c>
      <c r="B34" s="32">
        <v>4</v>
      </c>
      <c r="C34" s="208">
        <v>1563243</v>
      </c>
      <c r="D34" s="239">
        <v>53467.5</v>
      </c>
      <c r="E34" s="58">
        <f t="shared" si="0"/>
        <v>1326177</v>
      </c>
      <c r="F34" s="20">
        <f t="shared" si="2"/>
        <v>2.9816591462292069E-3</v>
      </c>
      <c r="G34" s="6">
        <f t="shared" si="1"/>
        <v>-237066</v>
      </c>
      <c r="H34" s="8"/>
      <c r="I34" s="8"/>
      <c r="J34" s="8"/>
      <c r="K34" s="8"/>
      <c r="L34" s="8"/>
      <c r="M34" s="8"/>
      <c r="N34" s="8"/>
      <c r="O34" s="8"/>
    </row>
    <row r="35" spans="1:15" s="42" customFormat="1" x14ac:dyDescent="0.25">
      <c r="A35" s="31" t="s">
        <v>33</v>
      </c>
      <c r="B35" s="32">
        <v>4</v>
      </c>
      <c r="C35" s="208">
        <v>2147549</v>
      </c>
      <c r="D35" s="239">
        <v>54945.5</v>
      </c>
      <c r="E35" s="58">
        <f t="shared" ref="E35:E64" si="3">ROUND((D35/$D$71*$D$1),0)</f>
        <v>1362837</v>
      </c>
      <c r="F35" s="20">
        <f t="shared" ref="F35:F66" si="4">E35/$D$1</f>
        <v>3.0640822498577292E-3</v>
      </c>
      <c r="G35" s="6">
        <f t="shared" ref="G35:G69" si="5">E35-C35</f>
        <v>-784712</v>
      </c>
      <c r="H35" s="8"/>
      <c r="I35" s="8"/>
      <c r="J35" s="8"/>
      <c r="K35" s="8"/>
      <c r="L35" s="8"/>
      <c r="M35" s="8"/>
      <c r="N35" s="8"/>
      <c r="O35" s="8"/>
    </row>
    <row r="36" spans="1:15" s="42" customFormat="1" x14ac:dyDescent="0.25">
      <c r="A36" s="31" t="s">
        <v>34</v>
      </c>
      <c r="B36" s="32">
        <v>4</v>
      </c>
      <c r="C36" s="208">
        <v>1897084</v>
      </c>
      <c r="D36" s="239">
        <v>66571</v>
      </c>
      <c r="E36" s="58">
        <f t="shared" si="3"/>
        <v>1651189</v>
      </c>
      <c r="F36" s="20">
        <f t="shared" si="4"/>
        <v>3.7123873992710309E-3</v>
      </c>
      <c r="G36" s="6">
        <f t="shared" si="5"/>
        <v>-245895</v>
      </c>
      <c r="H36" s="8"/>
      <c r="I36" s="8"/>
      <c r="J36" s="8"/>
      <c r="K36" s="8"/>
      <c r="L36" s="8"/>
      <c r="M36" s="8"/>
      <c r="N36" s="8"/>
      <c r="O36" s="8"/>
    </row>
    <row r="37" spans="1:15" s="42" customFormat="1" x14ac:dyDescent="0.25">
      <c r="A37" s="31" t="s">
        <v>35</v>
      </c>
      <c r="B37" s="32">
        <v>4</v>
      </c>
      <c r="C37" s="208">
        <v>1649782</v>
      </c>
      <c r="D37" s="239">
        <v>55950</v>
      </c>
      <c r="E37" s="58">
        <f t="shared" si="3"/>
        <v>1387752</v>
      </c>
      <c r="F37" s="20">
        <f t="shared" si="4"/>
        <v>3.1200989336249039E-3</v>
      </c>
      <c r="G37" s="6">
        <f t="shared" si="5"/>
        <v>-262030</v>
      </c>
      <c r="H37" s="8"/>
      <c r="I37" s="8"/>
      <c r="J37" s="8"/>
      <c r="K37" s="8"/>
      <c r="L37" s="8"/>
      <c r="M37" s="8"/>
      <c r="N37" s="8"/>
      <c r="O37" s="8"/>
    </row>
    <row r="38" spans="1:15" s="42" customFormat="1" x14ac:dyDescent="0.25">
      <c r="A38" s="31" t="s">
        <v>36</v>
      </c>
      <c r="B38" s="32">
        <v>5</v>
      </c>
      <c r="C38" s="208">
        <v>5812319</v>
      </c>
      <c r="D38" s="239">
        <v>182728</v>
      </c>
      <c r="E38" s="58">
        <f t="shared" si="3"/>
        <v>4532281</v>
      </c>
      <c r="F38" s="20">
        <f t="shared" si="4"/>
        <v>1.0189979992814575E-2</v>
      </c>
      <c r="G38" s="6">
        <f t="shared" si="5"/>
        <v>-1280038</v>
      </c>
      <c r="H38" s="8"/>
      <c r="I38" s="8"/>
      <c r="J38" s="8"/>
      <c r="K38" s="8"/>
      <c r="L38" s="8"/>
      <c r="M38" s="8"/>
      <c r="N38" s="8"/>
      <c r="O38" s="8"/>
    </row>
    <row r="39" spans="1:15" s="42" customFormat="1" x14ac:dyDescent="0.25">
      <c r="A39" s="31" t="s">
        <v>37</v>
      </c>
      <c r="B39" s="32">
        <v>5</v>
      </c>
      <c r="C39" s="208">
        <v>3537405</v>
      </c>
      <c r="D39" s="239">
        <v>142018.5</v>
      </c>
      <c r="E39" s="58">
        <f t="shared" si="3"/>
        <v>3522546</v>
      </c>
      <c r="F39" s="20">
        <f t="shared" si="4"/>
        <v>7.9197810691281085E-3</v>
      </c>
      <c r="G39" s="6">
        <f t="shared" si="5"/>
        <v>-14859</v>
      </c>
      <c r="H39" s="8"/>
      <c r="I39" s="8"/>
      <c r="J39" s="8"/>
      <c r="K39" s="8"/>
      <c r="L39" s="8"/>
      <c r="M39" s="8"/>
      <c r="N39" s="8"/>
      <c r="O39" s="8"/>
    </row>
    <row r="40" spans="1:15" s="42" customFormat="1" x14ac:dyDescent="0.25">
      <c r="A40" s="31" t="s">
        <v>38</v>
      </c>
      <c r="B40" s="32">
        <v>5</v>
      </c>
      <c r="C40" s="208">
        <v>3656087</v>
      </c>
      <c r="D40" s="239">
        <v>140230.5</v>
      </c>
      <c r="E40" s="58">
        <f>ROUND((D40/$D$71*$D$1),0)</f>
        <v>3478197</v>
      </c>
      <c r="F40" s="20">
        <f t="shared" si="4"/>
        <v>7.8200706975290538E-3</v>
      </c>
      <c r="G40" s="6">
        <f t="shared" si="5"/>
        <v>-177890</v>
      </c>
      <c r="H40" s="8"/>
      <c r="I40" s="8"/>
      <c r="J40" s="8"/>
      <c r="K40" s="8"/>
      <c r="L40" s="8"/>
      <c r="M40" s="8"/>
      <c r="N40" s="8"/>
      <c r="O40" s="8"/>
    </row>
    <row r="41" spans="1:15" s="42" customFormat="1" x14ac:dyDescent="0.25">
      <c r="A41" s="31" t="s">
        <v>39</v>
      </c>
      <c r="B41" s="32">
        <v>5</v>
      </c>
      <c r="C41" s="208">
        <v>3417201</v>
      </c>
      <c r="D41" s="239">
        <v>128596.5</v>
      </c>
      <c r="E41" s="58">
        <f t="shared" si="3"/>
        <v>3189634</v>
      </c>
      <c r="F41" s="20">
        <f t="shared" si="4"/>
        <v>7.1712911543660085E-3</v>
      </c>
      <c r="G41" s="6">
        <f t="shared" si="5"/>
        <v>-227567</v>
      </c>
      <c r="H41" s="8"/>
      <c r="I41" s="8"/>
      <c r="J41" s="8"/>
      <c r="K41" s="8"/>
      <c r="L41" s="8"/>
      <c r="M41" s="8"/>
      <c r="N41" s="8"/>
      <c r="O41" s="8"/>
    </row>
    <row r="42" spans="1:15" s="42" customFormat="1" x14ac:dyDescent="0.25">
      <c r="A42" s="31" t="s">
        <v>40</v>
      </c>
      <c r="B42" s="32">
        <v>5</v>
      </c>
      <c r="C42" s="208">
        <v>3504902</v>
      </c>
      <c r="D42" s="239">
        <v>100343.5</v>
      </c>
      <c r="E42" s="58">
        <f t="shared" si="3"/>
        <v>2488863</v>
      </c>
      <c r="F42" s="20">
        <f t="shared" si="4"/>
        <v>5.5957395790014923E-3</v>
      </c>
      <c r="G42" s="6">
        <f t="shared" si="5"/>
        <v>-1016039</v>
      </c>
      <c r="H42" s="8"/>
      <c r="I42" s="8"/>
      <c r="J42" s="8"/>
      <c r="K42" s="8"/>
      <c r="L42" s="8"/>
      <c r="M42" s="8"/>
      <c r="N42" s="8"/>
      <c r="O42" s="8"/>
    </row>
    <row r="43" spans="1:15" s="42" customFormat="1" x14ac:dyDescent="0.25">
      <c r="A43" s="31" t="s">
        <v>41</v>
      </c>
      <c r="B43" s="32">
        <v>5</v>
      </c>
      <c r="C43" s="208">
        <v>3508532</v>
      </c>
      <c r="D43" s="239">
        <v>112725</v>
      </c>
      <c r="E43" s="58">
        <f t="shared" si="3"/>
        <v>2795966</v>
      </c>
      <c r="F43" s="20">
        <f t="shared" si="4"/>
        <v>6.2862028194169339E-3</v>
      </c>
      <c r="G43" s="6">
        <f t="shared" si="5"/>
        <v>-712566</v>
      </c>
      <c r="H43" s="8"/>
      <c r="I43" s="8"/>
      <c r="J43" s="8"/>
      <c r="K43" s="8"/>
      <c r="L43" s="8"/>
      <c r="M43" s="8"/>
      <c r="N43" s="8"/>
      <c r="O43" s="8"/>
    </row>
    <row r="44" spans="1:15" s="42" customFormat="1" x14ac:dyDescent="0.25">
      <c r="A44" s="31" t="s">
        <v>42</v>
      </c>
      <c r="B44" s="32">
        <v>5</v>
      </c>
      <c r="C44" s="208">
        <v>3639385</v>
      </c>
      <c r="D44" s="239">
        <v>162381</v>
      </c>
      <c r="E44" s="58">
        <f t="shared" si="3"/>
        <v>4027605</v>
      </c>
      <c r="F44" s="20">
        <f t="shared" si="4"/>
        <v>9.0553110826446879E-3</v>
      </c>
      <c r="G44" s="6">
        <f t="shared" si="5"/>
        <v>388220</v>
      </c>
      <c r="H44" s="8"/>
      <c r="I44" s="8"/>
      <c r="J44" s="8"/>
      <c r="K44" s="8"/>
      <c r="L44" s="8"/>
      <c r="M44" s="8"/>
      <c r="N44" s="8"/>
      <c r="O44" s="8"/>
    </row>
    <row r="45" spans="1:15" s="42" customFormat="1" x14ac:dyDescent="0.25">
      <c r="A45" s="31" t="s">
        <v>43</v>
      </c>
      <c r="B45" s="32">
        <v>5</v>
      </c>
      <c r="C45" s="208">
        <v>3582299</v>
      </c>
      <c r="D45" s="239">
        <v>141643</v>
      </c>
      <c r="E45" s="58">
        <f t="shared" si="3"/>
        <v>3513232</v>
      </c>
      <c r="F45" s="20">
        <f t="shared" si="4"/>
        <v>7.8988402947910638E-3</v>
      </c>
      <c r="G45" s="6">
        <f t="shared" si="5"/>
        <v>-69067</v>
      </c>
      <c r="H45" s="8"/>
      <c r="I45" s="8"/>
      <c r="J45" s="8"/>
      <c r="K45" s="8"/>
      <c r="L45" s="8"/>
      <c r="M45" s="8"/>
      <c r="N45" s="8"/>
      <c r="O45" s="8"/>
    </row>
    <row r="46" spans="1:15" s="42" customFormat="1" x14ac:dyDescent="0.25">
      <c r="A46" s="31" t="s">
        <v>44</v>
      </c>
      <c r="B46" s="32">
        <v>5</v>
      </c>
      <c r="C46" s="208">
        <v>3178098</v>
      </c>
      <c r="D46" s="239">
        <v>114096.5</v>
      </c>
      <c r="E46" s="58">
        <f t="shared" si="3"/>
        <v>2829984</v>
      </c>
      <c r="F46" s="20">
        <f t="shared" si="4"/>
        <v>6.3626858837714092E-3</v>
      </c>
      <c r="G46" s="6">
        <f t="shared" si="5"/>
        <v>-348114</v>
      </c>
      <c r="H46" s="8"/>
      <c r="I46" s="8"/>
      <c r="J46" s="8"/>
      <c r="K46" s="8"/>
      <c r="L46" s="8"/>
      <c r="M46" s="8"/>
      <c r="N46" s="8"/>
      <c r="O46" s="8"/>
    </row>
    <row r="47" spans="1:15" s="42" customFormat="1" x14ac:dyDescent="0.25">
      <c r="A47" s="31" t="s">
        <v>45</v>
      </c>
      <c r="B47" s="32">
        <v>6</v>
      </c>
      <c r="C47" s="208">
        <v>3866025</v>
      </c>
      <c r="D47" s="239">
        <v>211628.5</v>
      </c>
      <c r="E47" s="58">
        <f t="shared" si="3"/>
        <v>5249112</v>
      </c>
      <c r="F47" s="20">
        <f t="shared" si="4"/>
        <v>1.1801639452638285E-2</v>
      </c>
      <c r="G47" s="6">
        <f t="shared" si="5"/>
        <v>1383087</v>
      </c>
      <c r="H47" s="8"/>
      <c r="I47" s="8"/>
      <c r="J47" s="8"/>
      <c r="K47" s="8"/>
      <c r="L47" s="8"/>
      <c r="M47" s="8"/>
      <c r="N47" s="8"/>
      <c r="O47" s="8"/>
    </row>
    <row r="48" spans="1:15" s="42" customFormat="1" x14ac:dyDescent="0.25">
      <c r="A48" s="31" t="s">
        <v>46</v>
      </c>
      <c r="B48" s="32">
        <v>6</v>
      </c>
      <c r="C48" s="208">
        <v>11310285</v>
      </c>
      <c r="D48" s="239">
        <v>391956</v>
      </c>
      <c r="E48" s="58">
        <f t="shared" si="3"/>
        <v>9721852</v>
      </c>
      <c r="F48" s="20">
        <f t="shared" si="4"/>
        <v>2.1857752723872234E-2</v>
      </c>
      <c r="G48" s="6">
        <f t="shared" si="5"/>
        <v>-1588433</v>
      </c>
      <c r="H48" s="8"/>
      <c r="I48" s="8"/>
      <c r="J48" s="8"/>
      <c r="K48" s="8"/>
      <c r="L48" s="8"/>
      <c r="M48" s="8"/>
      <c r="N48" s="8"/>
      <c r="O48" s="8"/>
    </row>
    <row r="49" spans="1:15" s="42" customFormat="1" x14ac:dyDescent="0.25">
      <c r="A49" s="31" t="s">
        <v>47</v>
      </c>
      <c r="B49" s="32">
        <v>6</v>
      </c>
      <c r="C49" s="208">
        <v>6428666</v>
      </c>
      <c r="D49" s="239">
        <v>219771</v>
      </c>
      <c r="E49" s="58">
        <f t="shared" si="3"/>
        <v>5451074</v>
      </c>
      <c r="F49" s="20">
        <f t="shared" si="4"/>
        <v>1.2255712962049732E-2</v>
      </c>
      <c r="G49" s="6">
        <f t="shared" si="5"/>
        <v>-977592</v>
      </c>
      <c r="H49" s="8"/>
      <c r="I49" s="8"/>
      <c r="J49" s="8"/>
      <c r="K49" s="8"/>
      <c r="L49" s="8"/>
      <c r="M49" s="8"/>
      <c r="N49" s="8"/>
      <c r="O49" s="8"/>
    </row>
    <row r="50" spans="1:15" s="42" customFormat="1" x14ac:dyDescent="0.25">
      <c r="A50" s="31" t="s">
        <v>48</v>
      </c>
      <c r="B50" s="32">
        <v>6</v>
      </c>
      <c r="C50" s="208">
        <v>6977883</v>
      </c>
      <c r="D50" s="239">
        <v>250250</v>
      </c>
      <c r="E50" s="58">
        <f t="shared" si="3"/>
        <v>6207058</v>
      </c>
      <c r="F50" s="20">
        <f t="shared" si="4"/>
        <v>1.3955400566346097E-2</v>
      </c>
      <c r="G50" s="6">
        <f t="shared" si="5"/>
        <v>-770825</v>
      </c>
      <c r="H50" s="8"/>
      <c r="I50" s="8"/>
      <c r="J50" s="8"/>
      <c r="K50" s="8"/>
      <c r="L50" s="8"/>
      <c r="M50" s="8"/>
      <c r="N50" s="8"/>
      <c r="O50" s="8"/>
    </row>
    <row r="51" spans="1:15" s="42" customFormat="1" x14ac:dyDescent="0.25">
      <c r="A51" s="31" t="s">
        <v>49</v>
      </c>
      <c r="B51" s="32">
        <v>6</v>
      </c>
      <c r="C51" s="208">
        <v>6136866</v>
      </c>
      <c r="D51" s="239">
        <v>221687</v>
      </c>
      <c r="E51" s="58">
        <f t="shared" si="3"/>
        <v>5498597</v>
      </c>
      <c r="F51" s="20">
        <f t="shared" si="4"/>
        <v>1.236255947469944E-2</v>
      </c>
      <c r="G51" s="6">
        <f t="shared" si="5"/>
        <v>-638269</v>
      </c>
      <c r="H51" s="8"/>
      <c r="I51" s="8"/>
      <c r="J51" s="8"/>
      <c r="K51" s="8"/>
      <c r="L51" s="8"/>
      <c r="M51" s="8"/>
      <c r="N51" s="8"/>
      <c r="O51" s="8"/>
    </row>
    <row r="52" spans="1:15" s="42" customFormat="1" x14ac:dyDescent="0.25">
      <c r="A52" s="31" t="s">
        <v>50</v>
      </c>
      <c r="B52" s="32">
        <v>6</v>
      </c>
      <c r="C52" s="208">
        <v>5905602</v>
      </c>
      <c r="D52" s="239">
        <v>183090</v>
      </c>
      <c r="E52" s="58">
        <f t="shared" si="3"/>
        <v>4541259</v>
      </c>
      <c r="F52" s="20">
        <f t="shared" si="4"/>
        <v>1.0210165334450606E-2</v>
      </c>
      <c r="G52" s="6">
        <f t="shared" si="5"/>
        <v>-1364343</v>
      </c>
      <c r="H52" s="8"/>
      <c r="I52" s="8"/>
      <c r="J52" s="8"/>
      <c r="K52" s="8"/>
      <c r="L52" s="8"/>
      <c r="M52" s="8"/>
      <c r="N52" s="8"/>
      <c r="O52" s="8"/>
    </row>
    <row r="53" spans="1:15" s="42" customFormat="1" x14ac:dyDescent="0.25">
      <c r="A53" s="31" t="s">
        <v>51</v>
      </c>
      <c r="B53" s="32">
        <v>6</v>
      </c>
      <c r="C53" s="208">
        <v>5938958</v>
      </c>
      <c r="D53" s="239">
        <v>242336.5</v>
      </c>
      <c r="E53" s="58">
        <f t="shared" si="3"/>
        <v>6010776</v>
      </c>
      <c r="F53" s="20">
        <f t="shared" si="4"/>
        <v>1.3514097466880369E-2</v>
      </c>
      <c r="G53" s="6">
        <f t="shared" si="5"/>
        <v>71818</v>
      </c>
      <c r="H53" s="8"/>
      <c r="I53" s="8"/>
      <c r="J53" s="8"/>
      <c r="K53" s="8"/>
      <c r="L53" s="8"/>
      <c r="M53" s="8"/>
      <c r="N53" s="8"/>
      <c r="O53" s="8"/>
    </row>
    <row r="54" spans="1:15" s="42" customFormat="1" x14ac:dyDescent="0.25">
      <c r="A54" s="31" t="s">
        <v>52</v>
      </c>
      <c r="B54" s="32">
        <v>6</v>
      </c>
      <c r="C54" s="208">
        <v>6558206</v>
      </c>
      <c r="D54" s="239">
        <v>236281</v>
      </c>
      <c r="E54" s="58">
        <f t="shared" si="3"/>
        <v>5860579</v>
      </c>
      <c r="F54" s="20">
        <f t="shared" si="4"/>
        <v>1.3176407807968936E-2</v>
      </c>
      <c r="G54" s="6">
        <f t="shared" si="5"/>
        <v>-697627</v>
      </c>
      <c r="H54" s="8"/>
      <c r="I54" s="8"/>
      <c r="J54" s="8"/>
      <c r="K54" s="8"/>
      <c r="L54" s="8"/>
      <c r="M54" s="8"/>
      <c r="N54" s="8"/>
      <c r="O54" s="8"/>
    </row>
    <row r="55" spans="1:15" s="42" customFormat="1" x14ac:dyDescent="0.25">
      <c r="A55" s="31" t="s">
        <v>53</v>
      </c>
      <c r="B55" s="32">
        <v>6</v>
      </c>
      <c r="C55" s="208">
        <v>7748730</v>
      </c>
      <c r="D55" s="239">
        <v>291554</v>
      </c>
      <c r="E55" s="58">
        <f t="shared" si="3"/>
        <v>7231538</v>
      </c>
      <c r="F55" s="20">
        <f t="shared" si="4"/>
        <v>1.6258750844724397E-2</v>
      </c>
      <c r="G55" s="6">
        <f t="shared" si="5"/>
        <v>-517192</v>
      </c>
      <c r="H55" s="8"/>
      <c r="I55" s="8"/>
      <c r="J55" s="8"/>
      <c r="K55" s="8"/>
      <c r="L55" s="8"/>
      <c r="M55" s="8"/>
      <c r="N55" s="8"/>
      <c r="O55" s="8"/>
    </row>
    <row r="56" spans="1:15" s="42" customFormat="1" x14ac:dyDescent="0.25">
      <c r="A56" s="31" t="s">
        <v>54</v>
      </c>
      <c r="B56" s="32">
        <v>6</v>
      </c>
      <c r="C56" s="208">
        <v>11604036</v>
      </c>
      <c r="D56" s="239">
        <v>336855</v>
      </c>
      <c r="E56" s="58">
        <f t="shared" si="3"/>
        <v>8355158</v>
      </c>
      <c r="F56" s="20">
        <f t="shared" si="4"/>
        <v>1.8784998736134113E-2</v>
      </c>
      <c r="G56" s="6">
        <f t="shared" si="5"/>
        <v>-3248878</v>
      </c>
      <c r="H56" s="8"/>
      <c r="I56" s="8"/>
      <c r="J56" s="8"/>
      <c r="K56" s="8"/>
      <c r="L56" s="8"/>
      <c r="M56" s="8"/>
      <c r="N56" s="8"/>
      <c r="O56" s="8"/>
    </row>
    <row r="57" spans="1:15" s="42" customFormat="1" x14ac:dyDescent="0.25">
      <c r="A57" s="31" t="s">
        <v>55</v>
      </c>
      <c r="B57" s="32">
        <v>6</v>
      </c>
      <c r="C57" s="208">
        <v>6684411</v>
      </c>
      <c r="D57" s="239">
        <v>225286.5</v>
      </c>
      <c r="E57" s="58">
        <f t="shared" si="3"/>
        <v>5587877</v>
      </c>
      <c r="F57" s="20">
        <f t="shared" si="4"/>
        <v>1.2563288735254662E-2</v>
      </c>
      <c r="G57" s="6">
        <f t="shared" si="5"/>
        <v>-1096534</v>
      </c>
      <c r="H57" s="8"/>
      <c r="I57" s="8"/>
      <c r="J57" s="8"/>
      <c r="K57" s="8"/>
      <c r="L57" s="8"/>
      <c r="M57" s="8"/>
      <c r="N57" s="8"/>
      <c r="O57" s="8"/>
    </row>
    <row r="58" spans="1:15" s="42" customFormat="1" x14ac:dyDescent="0.25">
      <c r="A58" s="31" t="s">
        <v>56</v>
      </c>
      <c r="B58" s="32">
        <v>6</v>
      </c>
      <c r="C58" s="208">
        <v>8122696</v>
      </c>
      <c r="D58" s="239">
        <v>280269</v>
      </c>
      <c r="E58" s="58">
        <f t="shared" si="3"/>
        <v>6951632</v>
      </c>
      <c r="F58" s="20">
        <f t="shared" si="4"/>
        <v>1.5629434935170518E-2</v>
      </c>
      <c r="G58" s="6">
        <f t="shared" si="5"/>
        <v>-1171064</v>
      </c>
      <c r="H58" s="8"/>
      <c r="I58" s="8"/>
      <c r="J58" s="8"/>
      <c r="K58" s="8"/>
      <c r="L58" s="8"/>
      <c r="M58" s="8"/>
      <c r="N58" s="8"/>
      <c r="O58" s="8"/>
    </row>
    <row r="59" spans="1:15" s="42" customFormat="1" x14ac:dyDescent="0.25">
      <c r="A59" s="31" t="s">
        <v>57</v>
      </c>
      <c r="B59" s="32">
        <v>6</v>
      </c>
      <c r="C59" s="208">
        <v>8861209</v>
      </c>
      <c r="D59" s="239">
        <v>335066</v>
      </c>
      <c r="E59" s="58">
        <f t="shared" si="3"/>
        <v>8310785</v>
      </c>
      <c r="F59" s="20">
        <f t="shared" si="4"/>
        <v>1.8685234405056414E-2</v>
      </c>
      <c r="G59" s="6">
        <f t="shared" si="5"/>
        <v>-550424</v>
      </c>
      <c r="H59" s="8"/>
      <c r="I59" s="8"/>
      <c r="J59" s="8"/>
      <c r="K59" s="8"/>
      <c r="L59" s="8"/>
      <c r="M59" s="8"/>
      <c r="N59" s="8"/>
      <c r="O59" s="8"/>
    </row>
    <row r="60" spans="1:15" s="42" customFormat="1" x14ac:dyDescent="0.25">
      <c r="A60" s="31" t="s">
        <v>58</v>
      </c>
      <c r="B60" s="32">
        <v>7</v>
      </c>
      <c r="C60" s="208">
        <v>19581816</v>
      </c>
      <c r="D60" s="239">
        <v>1068704.5</v>
      </c>
      <c r="E60" s="58">
        <f t="shared" si="3"/>
        <v>26507534</v>
      </c>
      <c r="F60" s="20">
        <f t="shared" si="4"/>
        <v>5.9597196448951895E-2</v>
      </c>
      <c r="G60" s="6">
        <f t="shared" si="5"/>
        <v>6925718</v>
      </c>
      <c r="H60" s="8"/>
      <c r="I60" s="8"/>
      <c r="J60" s="8"/>
      <c r="K60" s="8"/>
      <c r="L60" s="8"/>
      <c r="M60" s="8"/>
      <c r="N60" s="8"/>
      <c r="O60" s="8"/>
    </row>
    <row r="61" spans="1:15" s="42" customFormat="1" x14ac:dyDescent="0.25">
      <c r="A61" s="31" t="s">
        <v>59</v>
      </c>
      <c r="B61" s="32">
        <v>7</v>
      </c>
      <c r="C61" s="208">
        <v>11689883</v>
      </c>
      <c r="D61" s="239">
        <v>488502</v>
      </c>
      <c r="E61" s="58">
        <f>ROUND((D61/$D$71*$D$1),0)</f>
        <v>12116524</v>
      </c>
      <c r="F61" s="20">
        <f t="shared" si="4"/>
        <v>2.7241721584001E-2</v>
      </c>
      <c r="G61" s="6">
        <f t="shared" si="5"/>
        <v>426641</v>
      </c>
      <c r="H61" s="8"/>
      <c r="I61" s="8"/>
      <c r="J61" s="8"/>
      <c r="K61" s="8"/>
      <c r="L61" s="8"/>
      <c r="M61" s="8"/>
      <c r="N61" s="8"/>
      <c r="O61" s="8"/>
    </row>
    <row r="62" spans="1:15" s="42" customFormat="1" x14ac:dyDescent="0.25">
      <c r="A62" s="31" t="s">
        <v>60</v>
      </c>
      <c r="B62" s="32">
        <v>7</v>
      </c>
      <c r="C62" s="208">
        <v>22646675</v>
      </c>
      <c r="D62" s="239">
        <v>689018</v>
      </c>
      <c r="E62" s="58">
        <f>ROUND((D62/$D$71*$D$1),0)</f>
        <v>17090008</v>
      </c>
      <c r="F62" s="20">
        <f t="shared" si="4"/>
        <v>3.842366340415368E-2</v>
      </c>
      <c r="G62" s="6">
        <f t="shared" si="5"/>
        <v>-5556667</v>
      </c>
      <c r="H62" s="8"/>
      <c r="I62" s="8"/>
      <c r="J62" s="8"/>
      <c r="K62" s="8"/>
      <c r="L62" s="8"/>
      <c r="M62" s="8"/>
      <c r="N62" s="8"/>
      <c r="O62" s="8"/>
    </row>
    <row r="63" spans="1:15" s="42" customFormat="1" x14ac:dyDescent="0.25">
      <c r="A63" s="31" t="s">
        <v>61</v>
      </c>
      <c r="B63" s="32">
        <v>7</v>
      </c>
      <c r="C63" s="208">
        <v>12397921</v>
      </c>
      <c r="D63" s="239">
        <v>528475</v>
      </c>
      <c r="E63" s="58">
        <f t="shared" si="3"/>
        <v>13107991</v>
      </c>
      <c r="F63" s="20">
        <f t="shared" si="4"/>
        <v>2.9470848351193037E-2</v>
      </c>
      <c r="G63" s="6">
        <f t="shared" si="5"/>
        <v>710070</v>
      </c>
      <c r="H63" s="8"/>
      <c r="I63" s="8"/>
      <c r="J63" s="8"/>
      <c r="K63" s="8"/>
      <c r="L63" s="8"/>
      <c r="M63" s="8"/>
      <c r="N63" s="8"/>
      <c r="O63" s="8"/>
    </row>
    <row r="64" spans="1:15" s="42" customFormat="1" x14ac:dyDescent="0.25">
      <c r="A64" s="31" t="s">
        <v>62</v>
      </c>
      <c r="B64" s="32">
        <v>7</v>
      </c>
      <c r="C64" s="208">
        <v>11626073</v>
      </c>
      <c r="D64" s="239">
        <v>520553.5</v>
      </c>
      <c r="E64" s="58">
        <f t="shared" si="3"/>
        <v>12911511</v>
      </c>
      <c r="F64" s="20">
        <f t="shared" si="4"/>
        <v>2.9029100086028495E-2</v>
      </c>
      <c r="G64" s="6">
        <f t="shared" si="5"/>
        <v>1285438</v>
      </c>
      <c r="H64" s="8"/>
      <c r="I64" s="8"/>
      <c r="J64" s="8"/>
      <c r="K64" s="8"/>
      <c r="L64" s="8"/>
      <c r="M64" s="8"/>
      <c r="N64" s="8"/>
      <c r="O64" s="8"/>
    </row>
    <row r="65" spans="1:15" s="42" customFormat="1" x14ac:dyDescent="0.25">
      <c r="A65" s="31" t="s">
        <v>63</v>
      </c>
      <c r="B65" s="32">
        <v>8</v>
      </c>
      <c r="C65" s="208">
        <v>38928487</v>
      </c>
      <c r="D65" s="239">
        <v>1749498.5</v>
      </c>
      <c r="E65" s="58">
        <f>ROUND((D65/$D$71*$D$1),0)-1</f>
        <v>43393557</v>
      </c>
      <c r="F65" s="20">
        <f t="shared" si="4"/>
        <v>9.7562238009306773E-2</v>
      </c>
      <c r="G65" s="6">
        <f t="shared" si="5"/>
        <v>4465070</v>
      </c>
      <c r="H65" s="8"/>
      <c r="I65" s="8"/>
      <c r="J65" s="8"/>
      <c r="K65" s="8"/>
      <c r="L65" s="8"/>
      <c r="M65" s="8"/>
      <c r="N65" s="8"/>
      <c r="O65" s="8"/>
    </row>
    <row r="66" spans="1:15" s="42" customFormat="1" x14ac:dyDescent="0.25">
      <c r="A66" s="31" t="s">
        <v>64</v>
      </c>
      <c r="B66" s="32">
        <v>8</v>
      </c>
      <c r="C66" s="208">
        <v>30288553</v>
      </c>
      <c r="D66" s="239">
        <v>1563237</v>
      </c>
      <c r="E66" s="58">
        <f>ROUND((D66/$D$71*$D$1),0)-1</f>
        <v>38773634</v>
      </c>
      <c r="F66" s="20">
        <f t="shared" si="4"/>
        <v>8.7175211490354412E-2</v>
      </c>
      <c r="G66" s="6">
        <f t="shared" si="5"/>
        <v>8485081</v>
      </c>
      <c r="H66" s="8"/>
      <c r="I66" s="8"/>
      <c r="J66" s="8"/>
      <c r="K66" s="8"/>
      <c r="L66" s="8"/>
      <c r="M66" s="8"/>
      <c r="N66" s="8"/>
      <c r="O66" s="8"/>
    </row>
    <row r="67" spans="1:15" s="42" customFormat="1" x14ac:dyDescent="0.25">
      <c r="A67" s="31" t="s">
        <v>65</v>
      </c>
      <c r="B67" s="32">
        <v>8</v>
      </c>
      <c r="C67" s="208">
        <v>70739517</v>
      </c>
      <c r="D67" s="239">
        <v>2990994</v>
      </c>
      <c r="E67" s="58">
        <f>ROUND((D67/$D$71*$D$1),0)-1</f>
        <v>74186901</v>
      </c>
      <c r="F67" s="20">
        <f t="shared" ref="F67:F69" si="6">E67/$D$1</f>
        <v>0.16679527084020512</v>
      </c>
      <c r="G67" s="6">
        <f t="shared" si="5"/>
        <v>3447384</v>
      </c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31" t="s">
        <v>66</v>
      </c>
      <c r="B68" s="32">
        <v>8</v>
      </c>
      <c r="C68" s="208">
        <v>28984523</v>
      </c>
      <c r="D68" s="239">
        <v>1454819.5</v>
      </c>
      <c r="E68" s="58">
        <f>ROUND((D68/$D$71*$D$1),0)-1</f>
        <v>36084508</v>
      </c>
      <c r="F68" s="20">
        <f t="shared" si="6"/>
        <v>8.1129218283367138E-2</v>
      </c>
      <c r="G68" s="6">
        <f t="shared" si="5"/>
        <v>7099985</v>
      </c>
    </row>
    <row r="69" spans="1:15" ht="14.25" thickBot="1" x14ac:dyDescent="0.3">
      <c r="A69" s="33" t="s">
        <v>67</v>
      </c>
      <c r="B69" s="34">
        <v>8</v>
      </c>
      <c r="C69" s="209">
        <v>30237171</v>
      </c>
      <c r="D69" s="240">
        <v>1092633</v>
      </c>
      <c r="E69" s="57">
        <f>ROUND((D69/$D$71*$D$1),0)</f>
        <v>27101043</v>
      </c>
      <c r="F69" s="21">
        <f t="shared" si="6"/>
        <v>6.0931589624387258E-2</v>
      </c>
      <c r="G69" s="17">
        <f t="shared" si="5"/>
        <v>-3136128</v>
      </c>
    </row>
    <row r="70" spans="1:15" ht="14.25" thickBot="1" x14ac:dyDescent="0.3">
      <c r="A70" s="35"/>
      <c r="B70" s="36"/>
      <c r="C70" s="211"/>
      <c r="D70" s="206"/>
      <c r="E70" s="15"/>
      <c r="F70" s="22"/>
      <c r="G70" s="16"/>
    </row>
    <row r="71" spans="1:15" s="42" customFormat="1" ht="14.25" thickBot="1" x14ac:dyDescent="0.3">
      <c r="A71" s="314" t="s">
        <v>74</v>
      </c>
      <c r="B71" s="314"/>
      <c r="C71" s="212">
        <f>SUM(C3:C69)</f>
        <v>444778204</v>
      </c>
      <c r="D71" s="243">
        <f>SUM(D3:D70)</f>
        <v>17932127</v>
      </c>
      <c r="E71" s="14">
        <f>SUM(E3:E69)</f>
        <v>444778198</v>
      </c>
      <c r="F71" s="23">
        <f>SUM(F3:F69)</f>
        <v>0.99999998651013022</v>
      </c>
      <c r="G71" s="13">
        <f>SUM(G3:G69)</f>
        <v>-6</v>
      </c>
      <c r="H71" s="8"/>
      <c r="I71" s="8"/>
      <c r="J71" s="8"/>
      <c r="K71" s="8"/>
      <c r="L71" s="8"/>
      <c r="M71" s="8"/>
      <c r="N71" s="8"/>
      <c r="O71" s="8"/>
    </row>
    <row r="72" spans="1:15" x14ac:dyDescent="0.25">
      <c r="C72" s="7"/>
      <c r="D72" s="241" t="s">
        <v>203</v>
      </c>
    </row>
    <row r="73" spans="1:15" x14ac:dyDescent="0.25">
      <c r="C73" s="7"/>
      <c r="G73" s="56">
        <f>COUNTIF(G3:G69,"&lt;0")</f>
        <v>55</v>
      </c>
    </row>
    <row r="74" spans="1:15" s="5" customFormat="1" x14ac:dyDescent="0.25">
      <c r="A74" s="8"/>
      <c r="B74" s="8"/>
      <c r="C74" s="8"/>
      <c r="D74" s="4"/>
      <c r="E74" s="8"/>
      <c r="F74" s="24"/>
      <c r="H74" s="8"/>
      <c r="I74" s="8"/>
      <c r="J74" s="8"/>
      <c r="K74" s="8"/>
      <c r="L74" s="8"/>
      <c r="M74" s="8"/>
      <c r="N74" s="8"/>
      <c r="O74" s="8"/>
    </row>
    <row r="75" spans="1:15" s="5" customFormat="1" x14ac:dyDescent="0.25">
      <c r="A75" s="8"/>
      <c r="B75" s="8"/>
      <c r="C75" s="38"/>
      <c r="D75" s="40"/>
      <c r="E75" s="38"/>
      <c r="F75" s="39"/>
      <c r="G75" s="27"/>
      <c r="H75" s="8"/>
      <c r="I75" s="8"/>
      <c r="J75" s="8"/>
      <c r="K75" s="8"/>
      <c r="L75" s="8"/>
      <c r="M75" s="8"/>
      <c r="N75" s="8"/>
      <c r="O75" s="8"/>
    </row>
  </sheetData>
  <autoFilter ref="A2:G69" xr:uid="{4EC7684B-053D-43A3-8CD8-BE9A689EFD27}"/>
  <mergeCells count="1">
    <mergeCell ref="A71:B71"/>
  </mergeCells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8591-58F5-488C-AB73-A27256F03021}">
  <sheetPr>
    <pageSetUpPr fitToPage="1"/>
  </sheetPr>
  <dimension ref="A1:D94"/>
  <sheetViews>
    <sheetView topLeftCell="A53" zoomScale="120" zoomScaleNormal="120" workbookViewId="0">
      <selection activeCell="D84" sqref="D84"/>
    </sheetView>
  </sheetViews>
  <sheetFormatPr defaultColWidth="9.140625" defaultRowHeight="13.5" outlineLevelRow="2" x14ac:dyDescent="0.25"/>
  <cols>
    <col min="1" max="1" width="16.7109375" style="110" customWidth="1"/>
    <col min="2" max="2" width="8" style="140" customWidth="1"/>
    <col min="3" max="3" width="17.7109375" style="138" customWidth="1"/>
    <col min="4" max="4" width="13.85546875" style="139" customWidth="1"/>
    <col min="5" max="16384" width="9.140625" style="110"/>
  </cols>
  <sheetData>
    <row r="1" spans="1:4" ht="28.5" customHeight="1" thickBot="1" x14ac:dyDescent="0.3">
      <c r="A1" s="321" t="s">
        <v>91</v>
      </c>
      <c r="B1" s="322"/>
      <c r="C1" s="322"/>
      <c r="D1" s="323"/>
    </row>
    <row r="2" spans="1:4" ht="45.75" customHeight="1" thickBot="1" x14ac:dyDescent="0.3">
      <c r="A2" s="111" t="s">
        <v>0</v>
      </c>
      <c r="B2" s="112" t="s">
        <v>92</v>
      </c>
      <c r="C2" s="276" t="s">
        <v>77</v>
      </c>
      <c r="D2" s="113" t="s">
        <v>231</v>
      </c>
    </row>
    <row r="3" spans="1:4" outlineLevel="2" x14ac:dyDescent="0.25">
      <c r="A3" s="114" t="s">
        <v>1</v>
      </c>
      <c r="B3" s="115">
        <v>1</v>
      </c>
      <c r="C3" s="277">
        <v>459014.59064273734</v>
      </c>
      <c r="D3" s="116">
        <f>C3/$C$7-1</f>
        <v>0.15134078123761996</v>
      </c>
    </row>
    <row r="4" spans="1:4" outlineLevel="2" x14ac:dyDescent="0.25">
      <c r="A4" s="117" t="s">
        <v>2</v>
      </c>
      <c r="B4" s="118">
        <v>1</v>
      </c>
      <c r="C4" s="277">
        <v>315036.79031373578</v>
      </c>
      <c r="D4" s="119">
        <f>C4/$C$7-1</f>
        <v>-0.20979700499168041</v>
      </c>
    </row>
    <row r="5" spans="1:4" outlineLevel="2" x14ac:dyDescent="0.25">
      <c r="A5" s="117" t="s">
        <v>3</v>
      </c>
      <c r="B5" s="118">
        <v>1</v>
      </c>
      <c r="C5" s="277">
        <v>322496.72759339341</v>
      </c>
      <c r="D5" s="119">
        <f>C5/$C$7-1</f>
        <v>-0.1910853339671974</v>
      </c>
    </row>
    <row r="6" spans="1:4" ht="14.25" outlineLevel="2" thickBot="1" x14ac:dyDescent="0.3">
      <c r="A6" s="120" t="s">
        <v>4</v>
      </c>
      <c r="B6" s="121">
        <v>1</v>
      </c>
      <c r="C6" s="278">
        <v>498165.1097184039</v>
      </c>
      <c r="D6" s="122">
        <f>C6/$C$7-1</f>
        <v>0.24954155772125852</v>
      </c>
    </row>
    <row r="7" spans="1:4" ht="15" customHeight="1" outlineLevel="1" thickBot="1" x14ac:dyDescent="0.3">
      <c r="A7" s="316" t="s">
        <v>93</v>
      </c>
      <c r="B7" s="317"/>
      <c r="C7" s="279">
        <f>SUBTOTAL(1,C3:C6)</f>
        <v>398678.30456706753</v>
      </c>
      <c r="D7" s="123"/>
    </row>
    <row r="8" spans="1:4" outlineLevel="2" x14ac:dyDescent="0.25">
      <c r="A8" s="114" t="s">
        <v>5</v>
      </c>
      <c r="B8" s="115">
        <v>2</v>
      </c>
      <c r="C8" s="277">
        <v>725439.47801392386</v>
      </c>
      <c r="D8" s="116">
        <f t="shared" ref="D8:D18" si="0">C8/$C$19-1</f>
        <v>0.20025871242523596</v>
      </c>
    </row>
    <row r="9" spans="1:4" outlineLevel="2" x14ac:dyDescent="0.25">
      <c r="A9" s="117" t="s">
        <v>6</v>
      </c>
      <c r="B9" s="118">
        <v>2</v>
      </c>
      <c r="C9" s="277">
        <v>501450.31244996039</v>
      </c>
      <c r="D9" s="124">
        <f t="shared" si="0"/>
        <v>-0.17033725816219003</v>
      </c>
    </row>
    <row r="10" spans="1:4" outlineLevel="2" x14ac:dyDescent="0.25">
      <c r="A10" s="117" t="s">
        <v>7</v>
      </c>
      <c r="B10" s="118">
        <v>2</v>
      </c>
      <c r="C10" s="277">
        <v>674134.71966310788</v>
      </c>
      <c r="D10" s="125">
        <f t="shared" si="0"/>
        <v>0.11537363921688715</v>
      </c>
    </row>
    <row r="11" spans="1:4" outlineLevel="2" x14ac:dyDescent="0.25">
      <c r="A11" s="117" t="s">
        <v>8</v>
      </c>
      <c r="B11" s="118">
        <v>2</v>
      </c>
      <c r="C11" s="277">
        <v>557818.32633381232</v>
      </c>
      <c r="D11" s="124">
        <f t="shared" si="0"/>
        <v>-7.7074895392209353E-2</v>
      </c>
    </row>
    <row r="12" spans="1:4" outlineLevel="2" x14ac:dyDescent="0.25">
      <c r="A12" s="117" t="s">
        <v>9</v>
      </c>
      <c r="B12" s="118">
        <v>2</v>
      </c>
      <c r="C12" s="277">
        <v>579027.5951687413</v>
      </c>
      <c r="D12" s="124">
        <f t="shared" si="0"/>
        <v>-4.1983601804236326E-2</v>
      </c>
    </row>
    <row r="13" spans="1:4" outlineLevel="2" x14ac:dyDescent="0.25">
      <c r="A13" s="117" t="s">
        <v>10</v>
      </c>
      <c r="B13" s="118">
        <v>2</v>
      </c>
      <c r="C13" s="277">
        <v>502570.31387351878</v>
      </c>
      <c r="D13" s="124">
        <f t="shared" si="0"/>
        <v>-0.16848418632463991</v>
      </c>
    </row>
    <row r="14" spans="1:4" outlineLevel="2" x14ac:dyDescent="0.25">
      <c r="A14" s="117" t="s">
        <v>11</v>
      </c>
      <c r="B14" s="118">
        <v>2</v>
      </c>
      <c r="C14" s="277">
        <v>609838.75346430275</v>
      </c>
      <c r="D14" s="124">
        <f t="shared" si="0"/>
        <v>8.9942706509638093E-3</v>
      </c>
    </row>
    <row r="15" spans="1:4" outlineLevel="2" x14ac:dyDescent="0.25">
      <c r="A15" s="117" t="s">
        <v>12</v>
      </c>
      <c r="B15" s="118">
        <v>2</v>
      </c>
      <c r="C15" s="277">
        <v>604123.51154300408</v>
      </c>
      <c r="D15" s="124">
        <f t="shared" si="0"/>
        <v>-4.6174755256311872E-4</v>
      </c>
    </row>
    <row r="16" spans="1:4" outlineLevel="2" x14ac:dyDescent="0.25">
      <c r="A16" s="117" t="s">
        <v>13</v>
      </c>
      <c r="B16" s="118">
        <v>2</v>
      </c>
      <c r="C16" s="277">
        <v>513901.73621836456</v>
      </c>
      <c r="D16" s="124">
        <f t="shared" si="0"/>
        <v>-0.14973604977325405</v>
      </c>
    </row>
    <row r="17" spans="1:4" outlineLevel="2" x14ac:dyDescent="0.25">
      <c r="A17" s="117" t="s">
        <v>14</v>
      </c>
      <c r="B17" s="118">
        <v>2</v>
      </c>
      <c r="C17" s="277">
        <v>574285.78408759309</v>
      </c>
      <c r="D17" s="124">
        <f t="shared" si="0"/>
        <v>-4.9829053058701112E-2</v>
      </c>
    </row>
    <row r="18" spans="1:4" ht="14.25" outlineLevel="2" thickBot="1" x14ac:dyDescent="0.3">
      <c r="A18" s="120" t="s">
        <v>15</v>
      </c>
      <c r="B18" s="121">
        <v>2</v>
      </c>
      <c r="C18" s="278">
        <v>805837.99175540451</v>
      </c>
      <c r="D18" s="126">
        <f t="shared" si="0"/>
        <v>0.33328016977470765</v>
      </c>
    </row>
    <row r="19" spans="1:4" ht="14.25" outlineLevel="1" thickBot="1" x14ac:dyDescent="0.3">
      <c r="A19" s="316" t="s">
        <v>94</v>
      </c>
      <c r="B19" s="317" t="s">
        <v>95</v>
      </c>
      <c r="C19" s="279">
        <f>SUBTOTAL(1,C8:C18)</f>
        <v>604402.59296106664</v>
      </c>
      <c r="D19" s="123"/>
    </row>
    <row r="20" spans="1:4" outlineLevel="2" x14ac:dyDescent="0.25">
      <c r="A20" s="114" t="s">
        <v>16</v>
      </c>
      <c r="B20" s="115">
        <v>3</v>
      </c>
      <c r="C20" s="277">
        <v>873912.44651130447</v>
      </c>
      <c r="D20" s="119">
        <f t="shared" ref="D20:D30" si="1">C20/$C$31-1</f>
        <v>-0.1524865579060295</v>
      </c>
    </row>
    <row r="21" spans="1:4" outlineLevel="2" x14ac:dyDescent="0.25">
      <c r="A21" s="117" t="s">
        <v>17</v>
      </c>
      <c r="B21" s="118">
        <v>3</v>
      </c>
      <c r="C21" s="277">
        <v>823615.487275369</v>
      </c>
      <c r="D21" s="124">
        <f t="shared" si="1"/>
        <v>-0.20126415481413862</v>
      </c>
    </row>
    <row r="22" spans="1:4" outlineLevel="2" x14ac:dyDescent="0.25">
      <c r="A22" s="117" t="s">
        <v>18</v>
      </c>
      <c r="B22" s="118">
        <v>3</v>
      </c>
      <c r="C22" s="277">
        <v>1365042.1682261289</v>
      </c>
      <c r="D22" s="125">
        <f t="shared" si="1"/>
        <v>0.32380719740873753</v>
      </c>
    </row>
    <row r="23" spans="1:4" outlineLevel="2" x14ac:dyDescent="0.25">
      <c r="A23" s="117" t="s">
        <v>19</v>
      </c>
      <c r="B23" s="118">
        <v>3</v>
      </c>
      <c r="C23" s="277">
        <v>924370.12797318376</v>
      </c>
      <c r="D23" s="124">
        <f t="shared" si="1"/>
        <v>-0.1035530938427216</v>
      </c>
    </row>
    <row r="24" spans="1:4" outlineLevel="2" x14ac:dyDescent="0.25">
      <c r="A24" s="117" t="s">
        <v>20</v>
      </c>
      <c r="B24" s="118">
        <v>3</v>
      </c>
      <c r="C24" s="277">
        <v>1306754.5851154381</v>
      </c>
      <c r="D24" s="125">
        <f t="shared" si="1"/>
        <v>0.26728035608649181</v>
      </c>
    </row>
    <row r="25" spans="1:4" outlineLevel="2" x14ac:dyDescent="0.25">
      <c r="A25" s="117" t="s">
        <v>21</v>
      </c>
      <c r="B25" s="118">
        <v>3</v>
      </c>
      <c r="C25" s="277">
        <v>1128977.6082525733</v>
      </c>
      <c r="D25" s="124">
        <f t="shared" si="1"/>
        <v>9.4873637098129571E-2</v>
      </c>
    </row>
    <row r="26" spans="1:4" outlineLevel="2" x14ac:dyDescent="0.25">
      <c r="A26" s="117" t="s">
        <v>22</v>
      </c>
      <c r="B26" s="118">
        <v>3</v>
      </c>
      <c r="C26" s="277">
        <v>1148148.0297307179</v>
      </c>
      <c r="D26" s="125">
        <f t="shared" si="1"/>
        <v>0.11346496161604214</v>
      </c>
    </row>
    <row r="27" spans="1:4" outlineLevel="2" x14ac:dyDescent="0.25">
      <c r="A27" s="117" t="s">
        <v>23</v>
      </c>
      <c r="B27" s="118">
        <v>3</v>
      </c>
      <c r="C27" s="277">
        <v>568909.17075554712</v>
      </c>
      <c r="D27" s="124">
        <f t="shared" si="1"/>
        <v>-0.44827634453467735</v>
      </c>
    </row>
    <row r="28" spans="1:4" outlineLevel="2" x14ac:dyDescent="0.25">
      <c r="A28" s="117" t="s">
        <v>24</v>
      </c>
      <c r="B28" s="118">
        <v>3</v>
      </c>
      <c r="C28" s="277">
        <v>1298780.1345464382</v>
      </c>
      <c r="D28" s="125">
        <f t="shared" si="1"/>
        <v>0.25954679641753264</v>
      </c>
    </row>
    <row r="29" spans="1:4" outlineLevel="2" x14ac:dyDescent="0.25">
      <c r="A29" s="117" t="s">
        <v>25</v>
      </c>
      <c r="B29" s="118">
        <v>3</v>
      </c>
      <c r="C29" s="277">
        <v>1199403.2573326579</v>
      </c>
      <c r="D29" s="125">
        <f t="shared" si="1"/>
        <v>0.16317187967590296</v>
      </c>
    </row>
    <row r="30" spans="1:4" ht="14.25" outlineLevel="2" thickBot="1" x14ac:dyDescent="0.3">
      <c r="A30" s="120" t="s">
        <v>26</v>
      </c>
      <c r="B30" s="121">
        <v>3</v>
      </c>
      <c r="C30" s="278">
        <v>704723.49500453321</v>
      </c>
      <c r="D30" s="127">
        <f t="shared" si="1"/>
        <v>-0.31656467720527071</v>
      </c>
    </row>
    <row r="31" spans="1:4" ht="15" customHeight="1" outlineLevel="1" thickBot="1" x14ac:dyDescent="0.3">
      <c r="A31" s="316" t="s">
        <v>96</v>
      </c>
      <c r="B31" s="317"/>
      <c r="C31" s="279">
        <f>SUBTOTAL(1,C20:C30)</f>
        <v>1031148.7737021721</v>
      </c>
      <c r="D31" s="123"/>
    </row>
    <row r="32" spans="1:4" outlineLevel="2" x14ac:dyDescent="0.25">
      <c r="A32" s="114" t="s">
        <v>27</v>
      </c>
      <c r="B32" s="115">
        <v>4</v>
      </c>
      <c r="C32" s="277">
        <v>3063819.4898824035</v>
      </c>
      <c r="D32" s="116">
        <f t="shared" ref="D32:D40" si="2">C32/$C$41-1</f>
        <v>0.45632545316342354</v>
      </c>
    </row>
    <row r="33" spans="1:4" outlineLevel="2" x14ac:dyDescent="0.25">
      <c r="A33" s="117" t="s">
        <v>28</v>
      </c>
      <c r="B33" s="118">
        <v>4</v>
      </c>
      <c r="C33" s="277">
        <v>1557901.7635374721</v>
      </c>
      <c r="D33" s="124">
        <f t="shared" si="2"/>
        <v>-0.25948248607332669</v>
      </c>
    </row>
    <row r="34" spans="1:4" outlineLevel="2" x14ac:dyDescent="0.25">
      <c r="A34" s="117" t="s">
        <v>29</v>
      </c>
      <c r="B34" s="118">
        <v>4</v>
      </c>
      <c r="C34" s="277">
        <v>1857621.4224692769</v>
      </c>
      <c r="D34" s="124">
        <f t="shared" si="2"/>
        <v>-0.11701672738314983</v>
      </c>
    </row>
    <row r="35" spans="1:4" outlineLevel="2" x14ac:dyDescent="0.25">
      <c r="A35" s="117" t="s">
        <v>30</v>
      </c>
      <c r="B35" s="118">
        <v>4</v>
      </c>
      <c r="C35" s="277">
        <v>2009733.3847616124</v>
      </c>
      <c r="D35" s="124">
        <f t="shared" si="2"/>
        <v>-4.4713341642410365E-2</v>
      </c>
    </row>
    <row r="36" spans="1:4" outlineLevel="2" x14ac:dyDescent="0.25">
      <c r="A36" s="117" t="s">
        <v>31</v>
      </c>
      <c r="B36" s="118">
        <v>4</v>
      </c>
      <c r="C36" s="277">
        <v>3029669.554779971</v>
      </c>
      <c r="D36" s="125">
        <f t="shared" si="2"/>
        <v>0.4400929630060284</v>
      </c>
    </row>
    <row r="37" spans="1:4" outlineLevel="2" x14ac:dyDescent="0.25">
      <c r="A37" s="117" t="s">
        <v>32</v>
      </c>
      <c r="B37" s="118">
        <v>4</v>
      </c>
      <c r="C37" s="277">
        <v>1593029.1728064942</v>
      </c>
      <c r="D37" s="124">
        <f t="shared" si="2"/>
        <v>-0.24278537307724446</v>
      </c>
    </row>
    <row r="38" spans="1:4" outlineLevel="2" x14ac:dyDescent="0.25">
      <c r="A38" s="117" t="s">
        <v>33</v>
      </c>
      <c r="B38" s="118">
        <v>4</v>
      </c>
      <c r="C38" s="277">
        <v>2193535.928849957</v>
      </c>
      <c r="D38" s="124">
        <f t="shared" si="2"/>
        <v>4.2653529740186213E-2</v>
      </c>
    </row>
    <row r="39" spans="1:4" outlineLevel="2" x14ac:dyDescent="0.25">
      <c r="A39" s="117" t="s">
        <v>34</v>
      </c>
      <c r="B39" s="118">
        <v>4</v>
      </c>
      <c r="C39" s="277">
        <v>1941030.192744473</v>
      </c>
      <c r="D39" s="124">
        <f t="shared" si="2"/>
        <v>-7.7370032932005395E-2</v>
      </c>
    </row>
    <row r="40" spans="1:4" ht="14.25" outlineLevel="2" thickBot="1" x14ac:dyDescent="0.3">
      <c r="A40" s="120" t="s">
        <v>35</v>
      </c>
      <c r="B40" s="121">
        <v>4</v>
      </c>
      <c r="C40" s="278">
        <v>1687871.4594191166</v>
      </c>
      <c r="D40" s="127">
        <f t="shared" si="2"/>
        <v>-0.19770398480149975</v>
      </c>
    </row>
    <row r="41" spans="1:4" ht="15" customHeight="1" outlineLevel="1" thickBot="1" x14ac:dyDescent="0.3">
      <c r="A41" s="316" t="s">
        <v>97</v>
      </c>
      <c r="B41" s="317"/>
      <c r="C41" s="279">
        <f>SUBTOTAL(1,C32:C40)</f>
        <v>2103801.374361197</v>
      </c>
      <c r="D41" s="123"/>
    </row>
    <row r="42" spans="1:4" outlineLevel="2" x14ac:dyDescent="0.25">
      <c r="A42" s="114" t="s">
        <v>36</v>
      </c>
      <c r="B42" s="115">
        <v>5</v>
      </c>
      <c r="C42" s="277">
        <v>5924258.6490596049</v>
      </c>
      <c r="D42" s="116">
        <f t="shared" ref="D42:D50" si="3">C42/$C$51-1</f>
        <v>0.54441800289131503</v>
      </c>
    </row>
    <row r="43" spans="1:4" outlineLevel="2" x14ac:dyDescent="0.25">
      <c r="A43" s="117" t="s">
        <v>37</v>
      </c>
      <c r="B43" s="118">
        <v>5</v>
      </c>
      <c r="C43" s="277">
        <v>3607348.7005813592</v>
      </c>
      <c r="D43" s="124">
        <f t="shared" si="3"/>
        <v>-5.9586252742559798E-2</v>
      </c>
    </row>
    <row r="44" spans="1:4" outlineLevel="2" x14ac:dyDescent="0.25">
      <c r="A44" s="117" t="s">
        <v>38</v>
      </c>
      <c r="B44" s="118">
        <v>5</v>
      </c>
      <c r="C44" s="277">
        <v>3737552.9093964566</v>
      </c>
      <c r="D44" s="124">
        <f t="shared" si="3"/>
        <v>-2.5642811704890689E-2</v>
      </c>
    </row>
    <row r="45" spans="1:4" outlineLevel="2" x14ac:dyDescent="0.25">
      <c r="A45" s="117" t="s">
        <v>39</v>
      </c>
      <c r="B45" s="118">
        <v>5</v>
      </c>
      <c r="C45" s="277">
        <v>3487927.0325470357</v>
      </c>
      <c r="D45" s="124">
        <f t="shared" si="3"/>
        <v>-9.0718751334058045E-2</v>
      </c>
    </row>
    <row r="46" spans="1:4" outlineLevel="2" x14ac:dyDescent="0.25">
      <c r="A46" s="117" t="s">
        <v>40</v>
      </c>
      <c r="B46" s="118">
        <v>5</v>
      </c>
      <c r="C46" s="277">
        <v>3572364.8294009161</v>
      </c>
      <c r="D46" s="124">
        <f t="shared" si="3"/>
        <v>-6.8706334032475058E-2</v>
      </c>
    </row>
    <row r="47" spans="1:4" outlineLevel="2" x14ac:dyDescent="0.25">
      <c r="A47" s="117" t="s">
        <v>41</v>
      </c>
      <c r="B47" s="118">
        <v>5</v>
      </c>
      <c r="C47" s="277">
        <v>3577729.3127536457</v>
      </c>
      <c r="D47" s="124">
        <f t="shared" si="3"/>
        <v>-6.7307846026303797E-2</v>
      </c>
    </row>
    <row r="48" spans="1:4" outlineLevel="2" x14ac:dyDescent="0.25">
      <c r="A48" s="117" t="s">
        <v>42</v>
      </c>
      <c r="B48" s="118">
        <v>5</v>
      </c>
      <c r="C48" s="277">
        <v>3716894.5437888196</v>
      </c>
      <c r="D48" s="124">
        <f t="shared" si="3"/>
        <v>-3.1028321292627781E-2</v>
      </c>
    </row>
    <row r="49" spans="1:4" outlineLevel="2" x14ac:dyDescent="0.25">
      <c r="A49" s="117" t="s">
        <v>43</v>
      </c>
      <c r="B49" s="118">
        <v>5</v>
      </c>
      <c r="C49" s="277">
        <v>3655584.574165097</v>
      </c>
      <c r="D49" s="124">
        <f t="shared" si="3"/>
        <v>-4.7011455462272367E-2</v>
      </c>
    </row>
    <row r="50" spans="1:4" ht="14.25" outlineLevel="2" thickBot="1" x14ac:dyDescent="0.3">
      <c r="A50" s="120" t="s">
        <v>44</v>
      </c>
      <c r="B50" s="121">
        <v>5</v>
      </c>
      <c r="C50" s="278">
        <v>3243588.8158480064</v>
      </c>
      <c r="D50" s="127">
        <f t="shared" si="3"/>
        <v>-0.15441623029612894</v>
      </c>
    </row>
    <row r="51" spans="1:4" ht="15" customHeight="1" outlineLevel="1" thickBot="1" x14ac:dyDescent="0.3">
      <c r="A51" s="316" t="s">
        <v>98</v>
      </c>
      <c r="B51" s="317"/>
      <c r="C51" s="279">
        <f>SUBTOTAL(1,C42:C50)</f>
        <v>3835916.5963934385</v>
      </c>
      <c r="D51" s="123"/>
    </row>
    <row r="52" spans="1:4" outlineLevel="2" x14ac:dyDescent="0.25">
      <c r="A52" s="114" t="s">
        <v>45</v>
      </c>
      <c r="B52" s="115">
        <v>6</v>
      </c>
      <c r="C52" s="277">
        <v>3941758.0786951818</v>
      </c>
      <c r="D52" s="119">
        <f t="shared" ref="D52:D64" si="4">C52/$C$65-1</f>
        <v>-0.47727536795689041</v>
      </c>
    </row>
    <row r="53" spans="1:4" outlineLevel="2" x14ac:dyDescent="0.25">
      <c r="A53" s="117" t="s">
        <v>46</v>
      </c>
      <c r="B53" s="118">
        <v>6</v>
      </c>
      <c r="C53" s="277">
        <v>11517991.535049893</v>
      </c>
      <c r="D53" s="125">
        <f t="shared" si="4"/>
        <v>0.52742450623139647</v>
      </c>
    </row>
    <row r="54" spans="1:4" outlineLevel="2" x14ac:dyDescent="0.25">
      <c r="A54" s="117" t="s">
        <v>47</v>
      </c>
      <c r="B54" s="118">
        <v>6</v>
      </c>
      <c r="C54" s="277">
        <v>6549606.5919116838</v>
      </c>
      <c r="D54" s="124">
        <f t="shared" si="4"/>
        <v>-0.1314432221782954</v>
      </c>
    </row>
    <row r="55" spans="1:4" outlineLevel="2" x14ac:dyDescent="0.25">
      <c r="A55" s="117" t="s">
        <v>48</v>
      </c>
      <c r="B55" s="118">
        <v>6</v>
      </c>
      <c r="C55" s="277">
        <v>7108406.4357385244</v>
      </c>
      <c r="D55" s="124">
        <f t="shared" si="4"/>
        <v>-5.7339627559210182E-2</v>
      </c>
    </row>
    <row r="56" spans="1:4" outlineLevel="2" x14ac:dyDescent="0.25">
      <c r="A56" s="117" t="s">
        <v>49</v>
      </c>
      <c r="B56" s="118">
        <v>6</v>
      </c>
      <c r="C56" s="277">
        <v>6312466.3796340935</v>
      </c>
      <c r="D56" s="124">
        <f t="shared" si="4"/>
        <v>-0.16289087262529134</v>
      </c>
    </row>
    <row r="57" spans="1:4" outlineLevel="2" x14ac:dyDescent="0.25">
      <c r="A57" s="117" t="s">
        <v>50</v>
      </c>
      <c r="B57" s="118">
        <v>6</v>
      </c>
      <c r="C57" s="277">
        <v>6023069.4605719475</v>
      </c>
      <c r="D57" s="124">
        <f t="shared" si="4"/>
        <v>-0.20126839225258553</v>
      </c>
    </row>
    <row r="58" spans="1:4" outlineLevel="2" x14ac:dyDescent="0.25">
      <c r="A58" s="117" t="s">
        <v>51</v>
      </c>
      <c r="B58" s="118">
        <v>6</v>
      </c>
      <c r="C58" s="277">
        <v>6050340.6865703063</v>
      </c>
      <c r="D58" s="124">
        <f t="shared" si="4"/>
        <v>-0.19765189897959523</v>
      </c>
    </row>
    <row r="59" spans="1:4" outlineLevel="2" x14ac:dyDescent="0.25">
      <c r="A59" s="117" t="s">
        <v>52</v>
      </c>
      <c r="B59" s="118">
        <v>6</v>
      </c>
      <c r="C59" s="277">
        <v>6684669.8682746552</v>
      </c>
      <c r="D59" s="124">
        <f t="shared" si="4"/>
        <v>-0.11353220378755202</v>
      </c>
    </row>
    <row r="60" spans="1:4" outlineLevel="2" x14ac:dyDescent="0.25">
      <c r="A60" s="117" t="s">
        <v>53</v>
      </c>
      <c r="B60" s="118">
        <v>6</v>
      </c>
      <c r="C60" s="277">
        <v>7898790.8338446869</v>
      </c>
      <c r="D60" s="124">
        <f t="shared" si="4"/>
        <v>4.747487029283004E-2</v>
      </c>
    </row>
    <row r="61" spans="1:4" outlineLevel="2" x14ac:dyDescent="0.25">
      <c r="A61" s="117" t="s">
        <v>54</v>
      </c>
      <c r="B61" s="118">
        <v>6</v>
      </c>
      <c r="C61" s="277">
        <v>11837844.937983895</v>
      </c>
      <c r="D61" s="125">
        <f t="shared" si="4"/>
        <v>0.56984092271826481</v>
      </c>
    </row>
    <row r="62" spans="1:4" outlineLevel="2" x14ac:dyDescent="0.25">
      <c r="A62" s="117" t="s">
        <v>55</v>
      </c>
      <c r="B62" s="118">
        <v>6</v>
      </c>
      <c r="C62" s="277">
        <v>6804945.6890191836</v>
      </c>
      <c r="D62" s="124">
        <f t="shared" si="4"/>
        <v>-9.7582180248010353E-2</v>
      </c>
    </row>
    <row r="63" spans="1:4" outlineLevel="2" x14ac:dyDescent="0.25">
      <c r="A63" s="117" t="s">
        <v>56</v>
      </c>
      <c r="B63" s="118">
        <v>6</v>
      </c>
      <c r="C63" s="277">
        <v>8275600.5546593918</v>
      </c>
      <c r="D63" s="128">
        <f t="shared" si="4"/>
        <v>9.7444381036709826E-2</v>
      </c>
    </row>
    <row r="64" spans="1:4" ht="14.25" outlineLevel="2" thickBot="1" x14ac:dyDescent="0.3">
      <c r="A64" s="120" t="s">
        <v>57</v>
      </c>
      <c r="B64" s="121">
        <v>6</v>
      </c>
      <c r="C64" s="278">
        <v>9024813.7813020777</v>
      </c>
      <c r="D64" s="126">
        <f t="shared" si="4"/>
        <v>0.19679908530822843</v>
      </c>
    </row>
    <row r="65" spans="1:4" ht="15" customHeight="1" outlineLevel="1" thickBot="1" x14ac:dyDescent="0.3">
      <c r="A65" s="316" t="s">
        <v>99</v>
      </c>
      <c r="B65" s="317"/>
      <c r="C65" s="279">
        <f>SUBTOTAL(1,C52:C64)</f>
        <v>7540792.6794811944</v>
      </c>
      <c r="D65" s="123"/>
    </row>
    <row r="66" spans="1:4" outlineLevel="2" x14ac:dyDescent="0.25">
      <c r="A66" s="114" t="s">
        <v>58</v>
      </c>
      <c r="B66" s="115">
        <v>7</v>
      </c>
      <c r="C66" s="277">
        <v>19939648.159827851</v>
      </c>
      <c r="D66" s="116">
        <f>C66/$C$71-1</f>
        <v>0.25636912340763596</v>
      </c>
    </row>
    <row r="67" spans="1:4" outlineLevel="2" x14ac:dyDescent="0.25">
      <c r="A67" s="117" t="s">
        <v>59</v>
      </c>
      <c r="B67" s="118">
        <v>7</v>
      </c>
      <c r="C67" s="277">
        <v>11903367.042925278</v>
      </c>
      <c r="D67" s="124">
        <f>C67/$C$71-1</f>
        <v>-0.24998562173985273</v>
      </c>
    </row>
    <row r="68" spans="1:4" outlineLevel="2" x14ac:dyDescent="0.25">
      <c r="A68" s="117" t="s">
        <v>60</v>
      </c>
      <c r="B68" s="118">
        <v>7</v>
      </c>
      <c r="C68" s="277">
        <v>23037307.259508505</v>
      </c>
      <c r="D68" s="125">
        <f>C68/$C$71-1</f>
        <v>0.45154825678483546</v>
      </c>
    </row>
    <row r="69" spans="1:4" outlineLevel="2" x14ac:dyDescent="0.25">
      <c r="A69" s="117" t="s">
        <v>61</v>
      </c>
      <c r="B69" s="118">
        <v>7</v>
      </c>
      <c r="C69" s="277">
        <v>12626653.44961052</v>
      </c>
      <c r="D69" s="124">
        <f>C69/$C$71-1</f>
        <v>-0.20441236480693592</v>
      </c>
    </row>
    <row r="70" spans="1:4" ht="14.25" outlineLevel="2" thickBot="1" x14ac:dyDescent="0.3">
      <c r="A70" s="120" t="s">
        <v>62</v>
      </c>
      <c r="B70" s="121">
        <v>7</v>
      </c>
      <c r="C70" s="278">
        <v>11847283.072723754</v>
      </c>
      <c r="D70" s="127">
        <f>C70/$C$71-1</f>
        <v>-0.25351939364568143</v>
      </c>
    </row>
    <row r="71" spans="1:4" ht="15" customHeight="1" outlineLevel="1" thickBot="1" x14ac:dyDescent="0.3">
      <c r="A71" s="316" t="s">
        <v>100</v>
      </c>
      <c r="B71" s="317"/>
      <c r="C71" s="279">
        <f>SUBTOTAL(1,C66:C70)</f>
        <v>15870851.796919178</v>
      </c>
      <c r="D71" s="123"/>
    </row>
    <row r="72" spans="1:4" outlineLevel="2" x14ac:dyDescent="0.25">
      <c r="A72" s="114" t="s">
        <v>63</v>
      </c>
      <c r="B72" s="115">
        <v>8</v>
      </c>
      <c r="C72" s="277">
        <v>39664380.37862049</v>
      </c>
      <c r="D72" s="119">
        <f>C72/$C$77-1</f>
        <v>-2.1994513568214691E-2</v>
      </c>
    </row>
    <row r="73" spans="1:4" outlineLevel="2" x14ac:dyDescent="0.25">
      <c r="A73" s="117" t="s">
        <v>64</v>
      </c>
      <c r="B73" s="118">
        <v>8</v>
      </c>
      <c r="C73" s="277">
        <v>30825590.949284896</v>
      </c>
      <c r="D73" s="124">
        <f>C73/$C$77-1</f>
        <v>-0.23993273604363485</v>
      </c>
    </row>
    <row r="74" spans="1:4" outlineLevel="2" x14ac:dyDescent="0.25">
      <c r="A74" s="117" t="s">
        <v>65</v>
      </c>
      <c r="B74" s="118">
        <v>8</v>
      </c>
      <c r="C74" s="277">
        <v>71990695.401439622</v>
      </c>
      <c r="D74" s="125">
        <f>C74/$C$77-1</f>
        <v>0.77507613638653239</v>
      </c>
    </row>
    <row r="75" spans="1:4" outlineLevel="2" x14ac:dyDescent="0.25">
      <c r="A75" s="117" t="s">
        <v>66</v>
      </c>
      <c r="B75" s="118">
        <v>8</v>
      </c>
      <c r="C75" s="277">
        <v>29521040.987910237</v>
      </c>
      <c r="D75" s="124">
        <f>C75/$C$77-1</f>
        <v>-0.27209905270785506</v>
      </c>
    </row>
    <row r="76" spans="1:4" ht="14.25" outlineLevel="2" thickBot="1" x14ac:dyDescent="0.3">
      <c r="A76" s="120" t="s">
        <v>67</v>
      </c>
      <c r="B76" s="121">
        <v>8</v>
      </c>
      <c r="C76" s="278">
        <v>30780285.476537708</v>
      </c>
      <c r="D76" s="127">
        <f>C76/$C$77-1</f>
        <v>-0.24104983406682789</v>
      </c>
    </row>
    <row r="77" spans="1:4" ht="15" customHeight="1" outlineLevel="1" thickBot="1" x14ac:dyDescent="0.3">
      <c r="A77" s="316" t="s">
        <v>101</v>
      </c>
      <c r="B77" s="317"/>
      <c r="C77" s="279">
        <f>SUBTOTAL(1,C72:C76)</f>
        <v>40556398.638758592</v>
      </c>
      <c r="D77" s="283"/>
    </row>
    <row r="78" spans="1:4" hidden="1" x14ac:dyDescent="0.25">
      <c r="B78" s="129" t="s">
        <v>102</v>
      </c>
      <c r="C78" s="280">
        <f>SUBTOTAL(1,C3:C76)</f>
        <v>6764325.3283582078</v>
      </c>
      <c r="D78" s="130"/>
    </row>
    <row r="79" spans="1:4" ht="14.25" thickBot="1" x14ac:dyDescent="0.3">
      <c r="B79" s="131"/>
      <c r="C79" s="281"/>
      <c r="D79" s="132"/>
    </row>
    <row r="80" spans="1:4" ht="14.25" thickBot="1" x14ac:dyDescent="0.3">
      <c r="B80" s="133" t="s">
        <v>103</v>
      </c>
      <c r="C80" s="282">
        <f>SUBTOTAL(9,C3:C76)</f>
        <v>453209796.99999994</v>
      </c>
      <c r="D80" s="134">
        <f>COUNTIF(D3:D76,"&gt;.10")</f>
        <v>19</v>
      </c>
    </row>
    <row r="81" spans="1:4" ht="14.25" thickBot="1" x14ac:dyDescent="0.3">
      <c r="B81" s="131"/>
      <c r="C81" s="135"/>
      <c r="D81" s="136"/>
    </row>
    <row r="82" spans="1:4" ht="54" customHeight="1" thickBot="1" x14ac:dyDescent="0.3">
      <c r="A82" s="318" t="s">
        <v>241</v>
      </c>
      <c r="B82" s="319"/>
      <c r="C82" s="319"/>
      <c r="D82" s="320"/>
    </row>
    <row r="83" spans="1:4" s="8" customFormat="1" x14ac:dyDescent="0.25">
      <c r="B83" s="137"/>
      <c r="C83" s="138"/>
      <c r="D83" s="139"/>
    </row>
    <row r="84" spans="1:4" s="8" customFormat="1" x14ac:dyDescent="0.25">
      <c r="B84" s="137"/>
      <c r="C84" s="138"/>
      <c r="D84" s="139"/>
    </row>
    <row r="85" spans="1:4" s="8" customFormat="1" x14ac:dyDescent="0.25">
      <c r="B85" s="137"/>
      <c r="C85" s="138"/>
      <c r="D85" s="139"/>
    </row>
    <row r="86" spans="1:4" s="8" customFormat="1" x14ac:dyDescent="0.25">
      <c r="B86" s="137"/>
      <c r="C86" s="138"/>
      <c r="D86" s="139"/>
    </row>
    <row r="87" spans="1:4" s="8" customFormat="1" x14ac:dyDescent="0.25">
      <c r="B87" s="137"/>
      <c r="C87" s="138"/>
      <c r="D87" s="139"/>
    </row>
    <row r="88" spans="1:4" s="8" customFormat="1" x14ac:dyDescent="0.25">
      <c r="B88" s="137"/>
      <c r="C88" s="138"/>
      <c r="D88" s="139"/>
    </row>
    <row r="89" spans="1:4" s="8" customFormat="1" x14ac:dyDescent="0.25">
      <c r="B89" s="137"/>
      <c r="C89" s="138"/>
      <c r="D89" s="139"/>
    </row>
    <row r="90" spans="1:4" s="8" customFormat="1" x14ac:dyDescent="0.25">
      <c r="B90" s="137"/>
      <c r="C90" s="138"/>
      <c r="D90" s="139"/>
    </row>
    <row r="91" spans="1:4" s="8" customFormat="1" x14ac:dyDescent="0.25">
      <c r="B91" s="137"/>
      <c r="C91" s="138"/>
      <c r="D91" s="139"/>
    </row>
    <row r="92" spans="1:4" s="8" customFormat="1" x14ac:dyDescent="0.25">
      <c r="B92" s="137"/>
      <c r="C92" s="138"/>
      <c r="D92" s="139"/>
    </row>
    <row r="93" spans="1:4" s="8" customFormat="1" x14ac:dyDescent="0.25">
      <c r="B93" s="137"/>
      <c r="C93" s="138"/>
      <c r="D93" s="139"/>
    </row>
    <row r="94" spans="1:4" s="8" customFormat="1" x14ac:dyDescent="0.25">
      <c r="B94" s="137"/>
      <c r="C94" s="138"/>
      <c r="D94" s="139"/>
    </row>
  </sheetData>
  <mergeCells count="10">
    <mergeCell ref="A65:B65"/>
    <mergeCell ref="A71:B71"/>
    <mergeCell ref="A77:B77"/>
    <mergeCell ref="A82:D82"/>
    <mergeCell ref="A1:D1"/>
    <mergeCell ref="A7:B7"/>
    <mergeCell ref="A19:B19"/>
    <mergeCell ref="A31:B31"/>
    <mergeCell ref="A41:B41"/>
    <mergeCell ref="A51:B51"/>
  </mergeCells>
  <pageMargins left="0.7" right="0.7" top="0.75" bottom="0.75" header="0.3" footer="0.3"/>
  <pageSetup fitToHeight="0" orientation="portrait" horizontalDpi="1200" verticalDpi="12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New Revenue Summary</vt:lpstr>
      <vt:lpstr>Issue Requests </vt:lpstr>
      <vt:lpstr>Needs-Based Budget </vt:lpstr>
      <vt:lpstr>BUDGET CALCULATION </vt:lpstr>
      <vt:lpstr>FRS Calc.   </vt:lpstr>
      <vt:lpstr>UBF (20-21 Settle-Up) </vt:lpstr>
      <vt:lpstr>Additional CE (20-21) </vt:lpstr>
      <vt:lpstr>WWM Applied to $444.8M </vt:lpstr>
      <vt:lpstr>Peer Group Comparison </vt:lpstr>
      <vt:lpstr>Reduction Exercise </vt:lpstr>
      <vt:lpstr>'Additional CE (20-21) '!Print_Area</vt:lpstr>
      <vt:lpstr>'New Revenue Summary'!Print_Area</vt:lpstr>
      <vt:lpstr>'BUDGET CALCULATION '!Print_Titles</vt:lpstr>
      <vt:lpstr>'Issue Requests '!Print_Titles</vt:lpstr>
      <vt:lpstr>'Needs-Based Budget '!Print_Titles</vt:lpstr>
      <vt:lpstr>'Peer Group Comparison '!Print_Titles</vt:lpstr>
      <vt:lpstr>'Reduction Exercise '!Print_Titles</vt:lpstr>
      <vt:lpstr>'UBF (20-21 Settle-Up) '!Print_Titles</vt:lpstr>
      <vt:lpstr>'WWM Applied to $444.8M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gkolchakian</cp:lastModifiedBy>
  <cp:lastPrinted>2022-09-07T16:51:06Z</cp:lastPrinted>
  <dcterms:created xsi:type="dcterms:W3CDTF">2021-03-31T23:54:41Z</dcterms:created>
  <dcterms:modified xsi:type="dcterms:W3CDTF">2022-11-18T14:21:12Z</dcterms:modified>
</cp:coreProperties>
</file>