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R:\!CFY1718\Forms\Standard\Ready\"/>
    </mc:Choice>
  </mc:AlternateContent>
  <workbookProtection workbookAlgorithmName="SHA-512" workbookHashValue="jfCj6TL6eu3KVaBY1oM8a82nx1VLyHBcDeLveXFOP+xIpfpTIMFnQRoTvk3yJ4XvUfQpPHiw4mUdj+2P4w91kA==" workbookSaltValue="yn1fabLj2Vlbr1MmHZEiHA==" workbookSpinCount="100000" lockStructure="1"/>
  <bookViews>
    <workbookView xWindow="0" yWindow="0" windowWidth="20400" windowHeight="8115"/>
  </bookViews>
  <sheets>
    <sheet name="Estimate" sheetId="3" r:id="rId1"/>
    <sheet name="ReportInfo" sheetId="7" state="hidden" r:id="rId2"/>
    <sheet name="LookupData" sheetId="6" state="hidden" r:id="rId3"/>
    <sheet name="EstimatingTool" sheetId="8" r:id="rId4"/>
  </sheets>
  <definedNames>
    <definedName name="InsufficientAmount" localSheetId="3">EstimatingTool!#REF!</definedName>
    <definedName name="InsufficientAmount">Estimate!$F$55</definedName>
    <definedName name="_xlnm.Print_Area" localSheetId="0">Estimate!$A$1:$H$63</definedName>
    <definedName name="_xlnm.Print_Area" localSheetId="3">EstimatingTool!$A$1:$G$38</definedName>
    <definedName name="UnExpendedAmount" localSheetId="3">EstimatingTool!#REF!</definedName>
    <definedName name="UnExpendedAmount">Estimate!$F$52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F25" i="8" l="1"/>
  <c r="F28" i="8" s="1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3" i="6"/>
  <c r="D6" i="8"/>
  <c r="F11" i="8" s="1"/>
  <c r="F18" i="8" l="1"/>
  <c r="F17" i="8"/>
  <c r="F12" i="8"/>
  <c r="F13" i="8" s="1"/>
  <c r="E34" i="8" s="1"/>
  <c r="F10" i="8"/>
  <c r="G36" i="7"/>
  <c r="G35" i="7"/>
  <c r="G34" i="7"/>
  <c r="G33" i="7"/>
  <c r="G32" i="7"/>
  <c r="G31" i="7"/>
  <c r="G30" i="7"/>
  <c r="G29" i="7"/>
  <c r="G28" i="7"/>
  <c r="G27" i="7"/>
  <c r="G26" i="7"/>
  <c r="H25" i="7"/>
  <c r="G25" i="7"/>
  <c r="G24" i="7"/>
  <c r="G23" i="7"/>
  <c r="G22" i="7"/>
  <c r="G21" i="7"/>
  <c r="B22" i="7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F19" i="8" l="1"/>
  <c r="F27" i="8"/>
  <c r="F29" i="8" s="1"/>
  <c r="E35" i="8" s="1"/>
  <c r="G73" i="6"/>
  <c r="G74" i="6"/>
  <c r="G75" i="6"/>
  <c r="G76" i="6"/>
  <c r="G77" i="6"/>
  <c r="G78" i="6"/>
  <c r="G79" i="6"/>
  <c r="G80" i="6"/>
  <c r="G81" i="6"/>
  <c r="G82" i="6"/>
  <c r="G83" i="6"/>
  <c r="G72" i="6"/>
  <c r="B9" i="7"/>
  <c r="D9" i="7" s="1"/>
  <c r="B8" i="7"/>
  <c r="F36" i="8" l="1"/>
  <c r="C9" i="7"/>
  <c r="B11" i="7" s="1"/>
  <c r="F55" i="3" l="1"/>
  <c r="G39" i="7" s="1"/>
  <c r="F52" i="3"/>
  <c r="G38" i="7" s="1"/>
  <c r="E1" i="7"/>
  <c r="B7" i="7"/>
  <c r="F28" i="3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B10" i="7"/>
  <c r="F35" i="3" l="1"/>
  <c r="F42" i="3"/>
  <c r="F46" i="3" l="1"/>
  <c r="F48" i="3" s="1"/>
  <c r="F33" i="8" s="1"/>
  <c r="F37" i="8" s="1"/>
  <c r="F58" i="3" l="1"/>
  <c r="G37" i="7"/>
</calcChain>
</file>

<file path=xl/sharedStrings.xml><?xml version="1.0" encoding="utf-8"?>
<sst xmlns="http://schemas.openxmlformats.org/spreadsheetml/2006/main" count="458" uniqueCount="241">
  <si>
    <t>Clerk Personnel Cost</t>
  </si>
  <si>
    <t>Postage</t>
  </si>
  <si>
    <t>Juror Cost</t>
  </si>
  <si>
    <t>Petit Juror Payment (per day)</t>
  </si>
  <si>
    <t>Other Payment Amount</t>
  </si>
  <si>
    <t>Grand Juror Payment (per day)</t>
  </si>
  <si>
    <t>Meals</t>
  </si>
  <si>
    <t>Breakfast</t>
  </si>
  <si>
    <t>Lunch</t>
  </si>
  <si>
    <t>Dinner</t>
  </si>
  <si>
    <t>Lodging</t>
  </si>
  <si>
    <t>Pinellas</t>
  </si>
  <si>
    <t>Printing</t>
  </si>
  <si>
    <t>Supplies</t>
  </si>
  <si>
    <t>Other (Include Examples Below)</t>
  </si>
  <si>
    <t>Notes:</t>
  </si>
  <si>
    <t>Alachua</t>
  </si>
  <si>
    <t>Baker</t>
  </si>
  <si>
    <t>Bay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</si>
  <si>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</si>
  <si>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</si>
  <si>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</si>
  <si>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</si>
  <si>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</si>
  <si>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</si>
  <si>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</si>
  <si>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</si>
  <si>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</si>
  <si>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</si>
  <si>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</si>
  <si>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</si>
  <si>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</si>
  <si>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</si>
  <si>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</si>
  <si>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</si>
  <si>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</si>
  <si>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</si>
  <si>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</si>
  <si>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</si>
  <si>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</si>
  <si>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</si>
  <si>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</si>
  <si>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</si>
  <si>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</si>
  <si>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</si>
  <si>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</si>
  <si>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</si>
  <si>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</si>
  <si>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</si>
  <si>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</si>
  <si>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</si>
  <si>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</si>
  <si>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</si>
  <si>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</si>
  <si>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</si>
  <si>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</si>
  <si>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</si>
  <si>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</si>
  <si>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</si>
  <si>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</si>
  <si>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</si>
  <si>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</si>
  <si>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</si>
  <si>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</si>
  <si>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</si>
  <si>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</si>
  <si>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</si>
  <si>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</si>
  <si>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Sarasota</t>
  </si>
  <si>
    <t>Seminole</t>
  </si>
  <si>
    <t>St. Johns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</si>
  <si>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</si>
  <si>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</si>
  <si>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</si>
  <si>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</si>
  <si>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</si>
  <si>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</si>
  <si>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</si>
  <si>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</si>
  <si>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(Include cost of Summons procedure)</t>
  </si>
  <si>
    <t>Clerk Operational Cost</t>
  </si>
  <si>
    <t>Other **</t>
  </si>
  <si>
    <t xml:space="preserve">** Note: "Other Meals" should include the cost of providing juror concessions/beverages.  </t>
  </si>
  <si>
    <t>Bradford</t>
  </si>
  <si>
    <t>St. Lucie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</si>
  <si>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</si>
  <si>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</si>
  <si>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</si>
  <si>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</si>
  <si>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</si>
  <si>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</si>
  <si>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</si>
  <si>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</si>
  <si>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</si>
  <si>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</si>
  <si>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</si>
  <si>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</si>
  <si>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Dade</t>
  </si>
  <si>
    <t xml:space="preserve">Total ESTIMATED Jury Management Cost      </t>
  </si>
  <si>
    <r>
      <t xml:space="preserve">(Certification Statement </t>
    </r>
    <r>
      <rPr>
        <b/>
        <u/>
        <sz val="11"/>
        <color theme="1"/>
        <rFont val="Franklin Gothic Book"/>
        <family val="2"/>
        <scheme val="minor"/>
      </rPr>
      <t>Two</t>
    </r>
    <r>
      <rPr>
        <sz val="11"/>
        <color theme="1"/>
        <rFont val="Franklin Gothic Book"/>
        <family val="2"/>
        <scheme val="minor"/>
      </rPr>
      <t xml:space="preserve"> Amount)</t>
    </r>
  </si>
  <si>
    <r>
      <t xml:space="preserve">(Certification Statement </t>
    </r>
    <r>
      <rPr>
        <b/>
        <u/>
        <sz val="11"/>
        <color theme="1"/>
        <rFont val="Franklin Gothic Book"/>
        <family val="2"/>
        <scheme val="minor"/>
      </rPr>
      <t>Three</t>
    </r>
    <r>
      <rPr>
        <sz val="11"/>
        <color theme="1"/>
        <rFont val="Franklin Gothic Book"/>
        <family val="2"/>
        <scheme val="minor"/>
      </rPr>
      <t xml:space="preserve"> Amount)</t>
    </r>
  </si>
  <si>
    <r>
      <t xml:space="preserve">(Certification Statement </t>
    </r>
    <r>
      <rPr>
        <b/>
        <u/>
        <sz val="11"/>
        <color theme="1"/>
        <rFont val="Franklin Gothic Book"/>
        <family val="2"/>
        <scheme val="minor"/>
      </rPr>
      <t>One</t>
    </r>
    <r>
      <rPr>
        <sz val="11"/>
        <color theme="1"/>
        <rFont val="Franklin Gothic Book"/>
        <family val="2"/>
        <scheme val="minor"/>
      </rPr>
      <t xml:space="preserve"> Amount)</t>
    </r>
  </si>
  <si>
    <t xml:space="preserve">Total REQUESTED Jury Management Disbursement     </t>
  </si>
  <si>
    <t xml:space="preserve">County: </t>
  </si>
  <si>
    <t xml:space="preserve">Version #: </t>
  </si>
  <si>
    <t>Contact:</t>
  </si>
  <si>
    <t>E-Mail Address: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</si>
  <si>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</si>
  <si>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</si>
  <si>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</si>
  <si>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</si>
  <si>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</si>
  <si>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</si>
  <si>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</si>
  <si>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</si>
  <si>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</si>
  <si>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</si>
  <si>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</si>
  <si>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</si>
  <si>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Report Qtr Dates</t>
  </si>
  <si>
    <t>Clerk Personnel - Include Managers/Supervisors, Deputies, etc. in all phases of jury management process</t>
  </si>
  <si>
    <t>Quarterly Clerk Jury Management Estimate*</t>
  </si>
  <si>
    <t xml:space="preserve">Total Clerk Operational Cost:  </t>
  </si>
  <si>
    <t xml:space="preserve">Total Petit Juror Payment:  </t>
  </si>
  <si>
    <t xml:space="preserve">Total Grand Jury Payment:  </t>
  </si>
  <si>
    <t xml:space="preserve">Meal Total:  </t>
  </si>
  <si>
    <t xml:space="preserve">Lodging Total:  </t>
  </si>
  <si>
    <t xml:space="preserve">Total Juror Cost:  </t>
  </si>
  <si>
    <t xml:space="preserve">Total UNEXPENDED  Amount from Previously Provided JAC Distribution:  </t>
  </si>
  <si>
    <t xml:space="preserve">Total INSUFFICIENT Amount from Previously Provided JAC Distribution:  </t>
  </si>
  <si>
    <t>The Total REQUESTED Jury Management Disbursement can be amended before submission to the JAC</t>
  </si>
  <si>
    <t>The Total ESTIMATED Jury Management Cost can be amended before submission to the JAC</t>
  </si>
  <si>
    <t>* Exclude any funding provided by the County when completing this survey (S. 29.008, F.S. required County funding for court-related expenditures)</t>
  </si>
  <si>
    <t>CCOC Form Version 3
Created 11/9/17</t>
  </si>
  <si>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</si>
  <si>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</si>
  <si>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</si>
  <si>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</si>
  <si>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</si>
  <si>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</si>
  <si>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</si>
  <si>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</si>
  <si>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</si>
  <si>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A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</si>
  <si>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</si>
  <si>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</si>
  <si>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</si>
  <si>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</si>
  <si>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</si>
  <si>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</si>
  <si>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</si>
  <si>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</si>
  <si>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FiscalYearID</t>
  </si>
  <si>
    <t>PerformanceMsrSubType</t>
  </si>
  <si>
    <t>PMCourtType</t>
  </si>
  <si>
    <t>PMCourtSubType</t>
  </si>
  <si>
    <t>ReportID</t>
  </si>
  <si>
    <t>JE1.18.1.0</t>
  </si>
  <si>
    <t>Jury Est</t>
  </si>
  <si>
    <t>SubFolder Name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</si>
  <si>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</si>
  <si>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</si>
  <si>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</si>
  <si>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</si>
  <si>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</si>
  <si>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</si>
  <si>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</si>
  <si>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</si>
  <si>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</si>
  <si>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</si>
  <si>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</si>
  <si>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SFY1718-Qtr2</t>
  </si>
  <si>
    <t>SFY1718-Qtr3</t>
  </si>
  <si>
    <t>SFY1718-Qtr4</t>
  </si>
  <si>
    <t>SFY1819-Qtr1</t>
  </si>
  <si>
    <t>FilenamePortion</t>
  </si>
  <si>
    <t>JuryMgmt</t>
  </si>
  <si>
    <t>D_B_JuryMgmtRevExp</t>
  </si>
  <si>
    <t>Estimate</t>
  </si>
  <si>
    <t>Expenditure</t>
  </si>
  <si>
    <t>Personnel</t>
  </si>
  <si>
    <t>ALL</t>
  </si>
  <si>
    <t>Operational</t>
  </si>
  <si>
    <t>Other</t>
  </si>
  <si>
    <t>Petit 15</t>
  </si>
  <si>
    <t>Petit 30</t>
  </si>
  <si>
    <t>Petit Other</t>
  </si>
  <si>
    <t>Grand 15</t>
  </si>
  <si>
    <t>Grand 30</t>
  </si>
  <si>
    <t>Grand Other</t>
  </si>
  <si>
    <t>Meals Breakfast</t>
  </si>
  <si>
    <t>Meals Lunch</t>
  </si>
  <si>
    <t>Meals Dinner</t>
  </si>
  <si>
    <t>Meals Other</t>
  </si>
  <si>
    <t>Total Estimated Juror Cost</t>
  </si>
  <si>
    <t>Actual</t>
  </si>
  <si>
    <t>Balance</t>
  </si>
  <si>
    <t>Unexpended</t>
  </si>
  <si>
    <t>Insufficient</t>
  </si>
  <si>
    <t>Amount</t>
  </si>
  <si>
    <t>Note</t>
  </si>
  <si>
    <t>I</t>
  </si>
  <si>
    <t xml:space="preserve">Estimating Qtr: </t>
  </si>
  <si>
    <t xml:space="preserve">January - March </t>
  </si>
  <si>
    <t xml:space="preserve">April - June </t>
  </si>
  <si>
    <t>July - September</t>
  </si>
  <si>
    <t>October - December</t>
  </si>
  <si>
    <t>Estimate Qtr For Month</t>
  </si>
  <si>
    <t xml:space="preserve">Estimated Cost July-September </t>
  </si>
  <si>
    <t>JAC Adjusted and Endorsed Amounts for July-Sept</t>
  </si>
  <si>
    <t xml:space="preserve">Actual Expenditures July -September </t>
  </si>
  <si>
    <t>Estimated Cost October-December</t>
  </si>
  <si>
    <t>SFY True-up Amounts</t>
  </si>
  <si>
    <t>Counties with Expenditures Above JAC Disburse</t>
  </si>
  <si>
    <t>Counties with Expenditures Below JAC Disburse</t>
  </si>
  <si>
    <t>True-up SFY 1617</t>
  </si>
  <si>
    <t>January 2018 - March 2018</t>
  </si>
  <si>
    <t>Methodology for Jury Estimating Cost - Estimating Tool</t>
  </si>
  <si>
    <t>Step 1.</t>
  </si>
  <si>
    <t>Calculate Under/Over expended amounts from Quarter July - September</t>
  </si>
  <si>
    <t>JAC Distribution July-September</t>
  </si>
  <si>
    <t>Excess (Over)/Under July September</t>
  </si>
  <si>
    <t xml:space="preserve">Excess (Over)/Under July September: </t>
  </si>
  <si>
    <t>Step 2.</t>
  </si>
  <si>
    <t>Calculate JAC distribution with True-up for SFY1617</t>
  </si>
  <si>
    <t>Estimated Cost October - December</t>
  </si>
  <si>
    <t>Step 3.</t>
  </si>
  <si>
    <t>Calculate Expenditures/Projections for October - December</t>
  </si>
  <si>
    <t>October Actual Expenditures</t>
  </si>
  <si>
    <t>Estimated November + Estimated December cost</t>
  </si>
  <si>
    <t xml:space="preserve">Total October - December Cost: </t>
  </si>
  <si>
    <t xml:space="preserve">JAC Distribution October - December w/True-up: </t>
  </si>
  <si>
    <t>Total October - December Cost</t>
  </si>
  <si>
    <t>Step 4.</t>
  </si>
  <si>
    <t>Calculate January - March Projected Cost</t>
  </si>
  <si>
    <t>January - March Estimated Cost</t>
  </si>
  <si>
    <t xml:space="preserve">Excess (Over)/Under October - December </t>
  </si>
  <si>
    <t xml:space="preserve">Excess (Over)/Under October - December: </t>
  </si>
  <si>
    <t>January - March 2018</t>
  </si>
  <si>
    <t>Total Excess (Over)/Under</t>
  </si>
  <si>
    <t xml:space="preserve">Total Estimate for January - March: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</si>
</sst>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.00_);_(&quot;$&quot;* \(#,##0.00\)"/>
  </numFmts>
  <fonts count="23" x14ac:knownFonts="1">
    <font>
      <sz val="11"/>
      <color theme="1"/>
      <name val="Franklin Gothic Book"/>
      <family val="2"/>
      <scheme val="minor"/>
    </font>
    <font>
      <b/>
      <u/>
      <sz val="16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0"/>
      <name val="Arial"/>
      <family val="2"/>
    </font>
    <font>
      <sz val="11"/>
      <color rgb="FFFF0000"/>
      <name val="Franklin Gothic Book"/>
      <family val="2"/>
      <scheme val="minor"/>
    </font>
    <font>
      <b/>
      <u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4"/>
      <color theme="3"/>
      <name val="Franklin Gothic Demi"/>
      <family val="2"/>
      <scheme val="major"/>
    </font>
    <font>
      <sz val="11"/>
      <name val="Franklin Gothic Book"/>
      <family val="2"/>
      <scheme val="minor"/>
    </font>
    <font>
      <sz val="11"/>
      <name val="Franklin Gothic Demi"/>
      <family val="2"/>
      <scheme val="maj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8"/>
      <color theme="1"/>
      <name val="Franklin Gothic Demi"/>
      <family val="2"/>
      <scheme val="major"/>
    </font>
    <font>
      <sz val="12"/>
      <color theme="1"/>
      <name val="Franklin Gothic Demi"/>
      <family val="2"/>
      <scheme val="major"/>
    </font>
    <font>
      <sz val="14"/>
      <color theme="1"/>
      <name val="Franklin Gothic Demi"/>
      <family val="2"/>
      <scheme val="major"/>
    </font>
    <font>
      <sz val="10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4"/>
      <color theme="4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1"/>
      <color theme="1"/>
      <name val="Franklin Gothic Demi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 tint="0.24994659260841701"/>
      </left>
      <right style="double">
        <color theme="1" tint="0.24994659260841701"/>
      </right>
      <top style="double">
        <color theme="1" tint="0.24994659260841701"/>
      </top>
      <bottom style="double">
        <color theme="1" tint="0.24994659260841701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44" fontId="9" fillId="0" borderId="0" applyFont="0" applyFill="0" applyBorder="0" applyAlignment="0" applyProtection="0"/>
    <xf numFmtId="0" fontId="11" fillId="3" borderId="1">
      <alignment horizontal="center" vertical="center"/>
      <protection locked="0"/>
    </xf>
    <xf numFmtId="0" fontId="11" fillId="4" borderId="1">
      <alignment horizontal="center" vertical="center"/>
      <protection locked="0"/>
    </xf>
    <xf numFmtId="0" fontId="6" fillId="0" borderId="0"/>
  </cellStyleXfs>
  <cellXfs count="91">
    <xf numFmtId="0" fontId="0" fillId="0" borderId="0" xfId="0"/>
    <xf numFmtId="0" fontId="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5" fillId="0" borderId="0" xfId="0" applyFont="1" applyProtection="1"/>
    <xf numFmtId="0" fontId="4" fillId="0" borderId="0" xfId="0" applyFont="1" applyAlignment="1" applyProtection="1">
      <alignment horizontal="centerContinuous" vertical="center"/>
    </xf>
    <xf numFmtId="0" fontId="4" fillId="0" borderId="0" xfId="0" applyFont="1" applyProtection="1"/>
    <xf numFmtId="7" fontId="3" fillId="0" borderId="0" xfId="0" applyNumberFormat="1" applyFont="1" applyAlignment="1" applyProtection="1">
      <alignment horizontal="right"/>
    </xf>
    <xf numFmtId="44" fontId="3" fillId="0" borderId="0" xfId="0" applyNumberFormat="1" applyFont="1" applyProtection="1"/>
    <xf numFmtId="0" fontId="6" fillId="0" borderId="0" xfId="1"/>
    <xf numFmtId="0" fontId="7" fillId="0" borderId="0" xfId="0" applyFont="1" applyProtection="1"/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1" fillId="3" borderId="1" xfId="3" applyAlignment="1" applyProtection="1">
      <alignment horizontal="center" vertical="center"/>
      <protection locked="0"/>
    </xf>
    <xf numFmtId="0" fontId="13" fillId="0" borderId="0" xfId="1" applyFont="1"/>
    <xf numFmtId="0" fontId="14" fillId="5" borderId="0" xfId="1" applyFont="1" applyFill="1"/>
    <xf numFmtId="0" fontId="14" fillId="5" borderId="0" xfId="1" applyFont="1" applyFill="1" applyAlignment="1">
      <alignment horizontal="center" wrapText="1"/>
    </xf>
    <xf numFmtId="0" fontId="16" fillId="0" borderId="0" xfId="0" applyFont="1" applyAlignment="1" applyProtection="1">
      <alignment horizontal="right" vertical="center"/>
    </xf>
    <xf numFmtId="0" fontId="18" fillId="0" borderId="0" xfId="0" applyFont="1" applyProtection="1"/>
    <xf numFmtId="0" fontId="19" fillId="0" borderId="0" xfId="0" applyFont="1" applyProtection="1"/>
    <xf numFmtId="0" fontId="20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9" fillId="0" borderId="0" xfId="2" applyNumberFormat="1" applyFont="1" applyProtection="1"/>
    <xf numFmtId="0" fontId="17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16" fillId="0" borderId="0" xfId="0" applyFont="1" applyBorder="1" applyAlignment="1" applyProtection="1">
      <alignment wrapText="1"/>
    </xf>
    <xf numFmtId="44" fontId="0" fillId="3" borderId="2" xfId="0" applyNumberFormat="1" applyFont="1" applyFill="1" applyBorder="1" applyProtection="1">
      <protection locked="0"/>
    </xf>
    <xf numFmtId="44" fontId="0" fillId="4" borderId="2" xfId="0" applyNumberFormat="1" applyFont="1" applyFill="1" applyBorder="1" applyProtection="1">
      <protection locked="0"/>
    </xf>
    <xf numFmtId="44" fontId="16" fillId="2" borderId="3" xfId="0" applyNumberFormat="1" applyFont="1" applyFill="1" applyBorder="1" applyProtection="1"/>
    <xf numFmtId="44" fontId="17" fillId="2" borderId="3" xfId="0" applyNumberFormat="1" applyFont="1" applyFill="1" applyBorder="1" applyProtection="1"/>
    <xf numFmtId="44" fontId="17" fillId="8" borderId="6" xfId="0" applyNumberFormat="1" applyFont="1" applyFill="1" applyBorder="1" applyProtection="1"/>
    <xf numFmtId="0" fontId="0" fillId="0" borderId="0" xfId="0" applyAlignment="1" applyProtection="1">
      <alignment horizontal="left"/>
    </xf>
    <xf numFmtId="0" fontId="18" fillId="0" borderId="0" xfId="0" applyFont="1" applyAlignment="1" applyProtection="1">
      <alignment horizontal="left" vertical="center"/>
    </xf>
    <xf numFmtId="0" fontId="14" fillId="5" borderId="0" xfId="5" applyFont="1" applyFill="1" applyAlignment="1" applyProtection="1">
      <alignment wrapText="1"/>
    </xf>
    <xf numFmtId="0" fontId="13" fillId="0" borderId="0" xfId="5" applyFont="1" applyProtection="1"/>
    <xf numFmtId="0" fontId="14" fillId="5" borderId="7" xfId="5" applyFont="1" applyFill="1" applyBorder="1" applyProtection="1"/>
    <xf numFmtId="0" fontId="14" fillId="5" borderId="8" xfId="5" applyFont="1" applyFill="1" applyBorder="1" applyProtection="1"/>
    <xf numFmtId="0" fontId="14" fillId="5" borderId="9" xfId="5" applyFont="1" applyFill="1" applyBorder="1" applyProtection="1"/>
    <xf numFmtId="0" fontId="13" fillId="0" borderId="10" xfId="5" applyFont="1" applyBorder="1" applyProtection="1"/>
    <xf numFmtId="0" fontId="13" fillId="0" borderId="0" xfId="5" applyFont="1" applyBorder="1" applyProtection="1"/>
    <xf numFmtId="0" fontId="13" fillId="0" borderId="4" xfId="5" applyFont="1" applyBorder="1" applyProtection="1"/>
    <xf numFmtId="0" fontId="14" fillId="5" borderId="0" xfId="5" applyFont="1" applyFill="1" applyProtection="1"/>
    <xf numFmtId="14" fontId="13" fillId="7" borderId="0" xfId="5" applyNumberFormat="1" applyFont="1" applyFill="1" applyProtection="1">
      <protection locked="0"/>
    </xf>
    <xf numFmtId="0" fontId="13" fillId="7" borderId="0" xfId="5" applyFont="1" applyFill="1" applyProtection="1">
      <protection locked="0"/>
    </xf>
    <xf numFmtId="14" fontId="13" fillId="0" borderId="0" xfId="5" applyNumberFormat="1" applyFont="1" applyProtection="1"/>
    <xf numFmtId="0" fontId="13" fillId="0" borderId="11" xfId="5" applyFont="1" applyBorder="1" applyProtection="1"/>
    <xf numFmtId="0" fontId="13" fillId="0" borderId="12" xfId="5" applyFont="1" applyBorder="1" applyProtection="1"/>
    <xf numFmtId="0" fontId="13" fillId="0" borderId="13" xfId="5" applyFont="1" applyBorder="1" applyProtection="1"/>
    <xf numFmtId="1" fontId="13" fillId="0" borderId="0" xfId="5" applyNumberFormat="1" applyFont="1" applyProtection="1"/>
    <xf numFmtId="0" fontId="13" fillId="0" borderId="0" xfId="5" applyNumberFormat="1" applyFont="1" applyProtection="1"/>
    <xf numFmtId="0" fontId="21" fillId="6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16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wrapText="1"/>
    </xf>
    <xf numFmtId="44" fontId="13" fillId="0" borderId="0" xfId="5" applyNumberFormat="1" applyFont="1" applyProtection="1"/>
    <xf numFmtId="44" fontId="13" fillId="0" borderId="0" xfId="2" applyFont="1" applyProtection="1"/>
    <xf numFmtId="0" fontId="11" fillId="4" borderId="1" xfId="4" applyAlignment="1" applyProtection="1">
      <alignment horizontal="center" vertical="center"/>
      <protection locked="0"/>
    </xf>
    <xf numFmtId="0" fontId="11" fillId="9" borderId="1" xfId="3" applyFill="1" applyAlignment="1" applyProtection="1">
      <alignment horizontal="center" vertical="center"/>
    </xf>
    <xf numFmtId="0" fontId="14" fillId="10" borderId="0" xfId="1" applyFont="1" applyFill="1" applyAlignment="1">
      <alignment wrapText="1"/>
    </xf>
    <xf numFmtId="0" fontId="14" fillId="6" borderId="0" xfId="1" applyFont="1" applyFill="1" applyAlignment="1">
      <alignment wrapText="1"/>
    </xf>
    <xf numFmtId="0" fontId="18" fillId="12" borderId="0" xfId="1" applyFont="1" applyFill="1" applyAlignment="1">
      <alignment wrapText="1"/>
    </xf>
    <xf numFmtId="44" fontId="13" fillId="0" borderId="0" xfId="2" applyFont="1"/>
    <xf numFmtId="44" fontId="18" fillId="0" borderId="0" xfId="2" applyFont="1"/>
    <xf numFmtId="44" fontId="6" fillId="0" borderId="0" xfId="1" applyNumberFormat="1"/>
    <xf numFmtId="0" fontId="16" fillId="0" borderId="0" xfId="0" applyFont="1" applyAlignment="1" applyProtection="1">
      <alignment horizontal="left"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44" fontId="0" fillId="8" borderId="0" xfId="2" applyFont="1" applyFill="1" applyProtection="1"/>
    <xf numFmtId="44" fontId="0" fillId="8" borderId="14" xfId="2" applyFont="1" applyFill="1" applyBorder="1" applyProtection="1"/>
    <xf numFmtId="44" fontId="22" fillId="0" borderId="0" xfId="0" applyNumberFormat="1" applyFont="1" applyProtection="1"/>
    <xf numFmtId="44" fontId="0" fillId="3" borderId="0" xfId="2" applyFont="1" applyFill="1" applyProtection="1">
      <protection locked="0"/>
    </xf>
    <xf numFmtId="44" fontId="0" fillId="4" borderId="14" xfId="2" applyFont="1" applyFill="1" applyBorder="1" applyProtection="1">
      <protection locked="0"/>
    </xf>
    <xf numFmtId="44" fontId="0" fillId="8" borderId="15" xfId="2" applyFont="1" applyFill="1" applyBorder="1" applyProtection="1"/>
    <xf numFmtId="44" fontId="0" fillId="8" borderId="2" xfId="0" applyNumberFormat="1" applyFont="1" applyFill="1" applyBorder="1" applyProtection="1"/>
    <xf numFmtId="0" fontId="19" fillId="0" borderId="0" xfId="0" applyFont="1" applyBorder="1" applyAlignment="1" applyProtection="1">
      <alignment horizontal="left" vertical="center" wrapText="1"/>
    </xf>
    <xf numFmtId="0" fontId="15" fillId="8" borderId="5" xfId="0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wrapText="1"/>
    </xf>
    <xf numFmtId="0" fontId="14" fillId="5" borderId="0" xfId="1" applyFont="1" applyFill="1" applyAlignment="1">
      <alignment horizontal="center"/>
    </xf>
    <xf numFmtId="0" fontId="21" fillId="6" borderId="0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 vertical="center"/>
    </xf>
    <xf numFmtId="0" fontId="22" fillId="11" borderId="0" xfId="0" applyFont="1" applyFill="1" applyAlignment="1" applyProtection="1">
      <alignment horizontal="center" vertical="center"/>
    </xf>
    <xf numFmtId="0" fontId="18" fillId="4" borderId="2" xfId="0" applyNumberFormat="1" applyFont="1" applyFill="1" applyBorder="1" applyAlignment="1" applyProtection="1">
      <alignment horizontal="left" wrapText="1"/>
      <protection locked="0"/>
    </xf>
  </cellXfs>
  <cellStyles count="6">
    <cellStyle name="Currency" xfId="2" builtinId="4"/>
    <cellStyle name="Line 1 Report Info Fill in" xfId="3"/>
    <cellStyle name="Line 2 Report Information Fill In" xfId="4"/>
    <cellStyle name="Normal" xfId="0" builtinId="0"/>
    <cellStyle name="Normal 10 2" xfId="5"/>
    <cellStyle name="Normal 2" xfId="1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402166</xdr:colOff>
      <xdr:row>0</xdr:row>
      <xdr:rowOff>63500</xdr:rowOff>
    </xdr:from>
    <xdr:to>
      <xdr:col>7</xdr:col>
      <xdr:colOff>2664666</xdr:colOff>
      <xdr:row>2</xdr:row>
      <xdr:rowOff>251628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3D770B-34FF-4886-B05A-E014EF0DD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7833" y="63500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158749</xdr:colOff>
      <xdr:row>0</xdr:row>
      <xdr:rowOff>74084</xdr:rowOff>
    </xdr:from>
    <xdr:to>
      <xdr:col>6</xdr:col>
      <xdr:colOff>389249</xdr:colOff>
      <xdr:row>2</xdr:row>
      <xdr:rowOff>262212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4E0CD3-F32B-46BB-BECD-94E7E9F9E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0082" y="74084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6"/>
  <sheetViews>
    <sheetView tabSelected="1" view="pageBreakPreview" zoomScale="90" zoomScaleNormal="90" zoomScaleSheetLayoutView="90" workbookViewId="0">
      <selection activeCell="F9" sqref="F9"/>
    </sheetView>
  </sheetViews>
  <sheetFormatPr defaultRowHeight="15.75" x14ac:dyDescent="0.3"/>
  <cols>
    <col min="1" max="1" width="22.44140625" style="2" customWidth="1"/>
    <col min="2" max="2" width="3.33203125" style="2" customWidth="1"/>
    <col min="3" max="3" width="21.88671875" style="2" customWidth="1"/>
    <col min="4" max="4" width="31" style="2" customWidth="1"/>
    <col min="5" max="5" width="12.88671875" style="2" customWidth="1"/>
    <col min="6" max="6" width="29.33203125" style="2" customWidth="1"/>
    <col min="7" max="7" width="4.88671875" style="2" customWidth="1"/>
    <col min="8" max="8" width="32.21875" style="2" customWidth="1"/>
    <col min="9" max="16384" width="8.88671875" style="2"/>
  </cols>
  <sheetData>
    <row r="1" spans="1:13" ht="21" x14ac:dyDescent="0.3">
      <c r="A1" s="27" t="s">
        <v>121</v>
      </c>
      <c r="D1" s="1"/>
      <c r="E1" s="1"/>
      <c r="G1"/>
    </row>
    <row r="2" spans="1:13" ht="22.5" customHeight="1" x14ac:dyDescent="0.3">
      <c r="A2" s="27" t="s">
        <v>238</v>
      </c>
      <c r="D2" s="17"/>
      <c r="E2" s="18"/>
      <c r="F2" s="17"/>
      <c r="G2" s="17"/>
      <c r="H2" s="17"/>
      <c r="I2" s="17"/>
      <c r="J2" s="17"/>
      <c r="K2" s="17"/>
      <c r="L2" s="17"/>
      <c r="M2" s="17"/>
    </row>
    <row r="3" spans="1:13" ht="31.5" customHeight="1" x14ac:dyDescent="0.3">
      <c r="C3" s="17"/>
      <c r="D3" s="17"/>
      <c r="E3" s="18"/>
      <c r="F3" s="17"/>
      <c r="G3" s="17"/>
      <c r="H3" s="17"/>
      <c r="I3" s="17"/>
      <c r="J3" s="17"/>
      <c r="K3" s="17"/>
      <c r="L3" s="17"/>
      <c r="M3" s="17"/>
    </row>
    <row r="4" spans="1:13" ht="24" customHeight="1" x14ac:dyDescent="0.3">
      <c r="C4" s="19" t="s">
        <v>103</v>
      </c>
      <c r="D4" s="20"/>
      <c r="E4" s="19" t="s">
        <v>202</v>
      </c>
      <c r="F4" s="66" t="s">
        <v>203</v>
      </c>
      <c r="H4" s="57" t="s">
        <v>133</v>
      </c>
      <c r="I4" s="17"/>
    </row>
    <row r="5" spans="1:13" ht="24" customHeight="1" x14ac:dyDescent="0.3">
      <c r="C5" s="19" t="s">
        <v>105</v>
      </c>
      <c r="D5" s="65"/>
      <c r="E5" s="19" t="s">
        <v>104</v>
      </c>
      <c r="F5" s="20"/>
      <c r="G5" s="17"/>
      <c r="H5" s="17"/>
      <c r="I5" s="17"/>
      <c r="J5" s="17"/>
      <c r="K5" s="17"/>
      <c r="L5" s="17"/>
    </row>
    <row r="6" spans="1:13" ht="24" customHeight="1" x14ac:dyDescent="0.3">
      <c r="C6" s="19" t="s">
        <v>106</v>
      </c>
      <c r="D6" s="20"/>
      <c r="G6" s="17"/>
      <c r="H6" s="17"/>
      <c r="I6" s="17"/>
    </row>
    <row r="7" spans="1:13" ht="27.95" customHeight="1" x14ac:dyDescent="0.3">
      <c r="C7" s="16"/>
      <c r="D7" s="1"/>
      <c r="E7" s="1"/>
    </row>
    <row r="8" spans="1:13" ht="21" x14ac:dyDescent="0.3">
      <c r="B8" s="28" t="s">
        <v>0</v>
      </c>
      <c r="D8" s="4"/>
      <c r="E8" s="4"/>
    </row>
    <row r="9" spans="1:13" ht="32.25" customHeight="1" x14ac:dyDescent="0.3">
      <c r="C9" s="83" t="s">
        <v>120</v>
      </c>
      <c r="D9" s="83"/>
      <c r="F9" s="33"/>
    </row>
    <row r="10" spans="1:13" ht="21" x14ac:dyDescent="0.35">
      <c r="C10" s="26"/>
      <c r="D10" s="5"/>
    </row>
    <row r="11" spans="1:13" ht="21" x14ac:dyDescent="0.3">
      <c r="B11" s="28" t="s">
        <v>80</v>
      </c>
      <c r="D11" s="4"/>
      <c r="E11" s="4"/>
    </row>
    <row r="12" spans="1:13" ht="21" customHeight="1" x14ac:dyDescent="0.35">
      <c r="C12" s="83" t="s">
        <v>79</v>
      </c>
      <c r="D12" s="83"/>
      <c r="E12" s="6"/>
    </row>
    <row r="13" spans="1:13" ht="10.5" customHeight="1" x14ac:dyDescent="0.35">
      <c r="C13" s="7"/>
      <c r="D13" s="5"/>
      <c r="E13" s="6"/>
    </row>
    <row r="14" spans="1:13" ht="21.75" customHeight="1" x14ac:dyDescent="0.3">
      <c r="D14" s="26" t="s">
        <v>1</v>
      </c>
      <c r="F14" s="33"/>
    </row>
    <row r="15" spans="1:13" ht="21.75" customHeight="1" x14ac:dyDescent="0.35">
      <c r="C15" s="8"/>
      <c r="D15" s="26" t="s">
        <v>12</v>
      </c>
      <c r="F15" s="34"/>
    </row>
    <row r="16" spans="1:13" ht="21.75" customHeight="1" x14ac:dyDescent="0.35">
      <c r="C16" s="8"/>
      <c r="D16" s="26" t="s">
        <v>13</v>
      </c>
      <c r="F16" s="33"/>
    </row>
    <row r="17" spans="2:6" ht="11.25" customHeight="1" x14ac:dyDescent="0.35">
      <c r="C17" s="8"/>
      <c r="D17" s="26"/>
      <c r="E17" s="6"/>
    </row>
    <row r="18" spans="2:6" ht="21.75" customHeight="1" x14ac:dyDescent="0.35">
      <c r="C18" s="8"/>
      <c r="D18" s="26" t="s">
        <v>14</v>
      </c>
      <c r="E18" s="5"/>
      <c r="F18" s="34"/>
    </row>
    <row r="19" spans="2:6" ht="21.75" thickBot="1" x14ac:dyDescent="0.4">
      <c r="C19" s="8"/>
      <c r="D19" s="90"/>
      <c r="E19" s="90"/>
    </row>
    <row r="20" spans="2:6" ht="22.5" thickTop="1" thickBot="1" x14ac:dyDescent="0.4">
      <c r="C20" s="5"/>
      <c r="D20" s="31"/>
      <c r="E20" s="30" t="s">
        <v>122</v>
      </c>
      <c r="F20" s="35">
        <f>SUM(F18,F14:F16)</f>
        <v>0</v>
      </c>
    </row>
    <row r="21" spans="2:6" ht="10.5" customHeight="1" thickTop="1" x14ac:dyDescent="0.35">
      <c r="E21" s="9"/>
    </row>
    <row r="22" spans="2:6" ht="21" customHeight="1" x14ac:dyDescent="0.3">
      <c r="B22" s="28" t="s">
        <v>2</v>
      </c>
      <c r="D22" s="4"/>
      <c r="E22" s="10"/>
    </row>
    <row r="23" spans="2:6" ht="19.5" customHeight="1" x14ac:dyDescent="0.35">
      <c r="C23" s="85" t="s">
        <v>3</v>
      </c>
      <c r="D23" s="85"/>
      <c r="E23" s="11"/>
    </row>
    <row r="24" spans="2:6" ht="21.75" customHeight="1" x14ac:dyDescent="0.35">
      <c r="C24" s="8"/>
      <c r="D24" s="29">
        <v>15</v>
      </c>
      <c r="F24" s="34"/>
    </row>
    <row r="25" spans="2:6" ht="21.75" customHeight="1" x14ac:dyDescent="0.35">
      <c r="C25" s="8"/>
      <c r="D25" s="29">
        <v>30</v>
      </c>
      <c r="F25" s="33"/>
    </row>
    <row r="26" spans="2:6" ht="21.75" customHeight="1" x14ac:dyDescent="0.35">
      <c r="C26" s="8"/>
      <c r="D26" s="29" t="s">
        <v>4</v>
      </c>
      <c r="F26" s="34"/>
    </row>
    <row r="27" spans="2:6" ht="21.75" thickBot="1" x14ac:dyDescent="0.4">
      <c r="C27" s="8"/>
      <c r="D27" s="13"/>
      <c r="E27" s="11"/>
    </row>
    <row r="28" spans="2:6" ht="22.5" thickTop="1" thickBot="1" x14ac:dyDescent="0.4">
      <c r="C28" s="8"/>
      <c r="E28" s="24" t="s">
        <v>123</v>
      </c>
      <c r="F28" s="35">
        <f>SUM(F24:F26)</f>
        <v>0</v>
      </c>
    </row>
    <row r="29" spans="2:6" ht="21.75" thickTop="1" x14ac:dyDescent="0.35">
      <c r="C29" s="8"/>
      <c r="D29" s="5"/>
      <c r="E29" s="11"/>
    </row>
    <row r="30" spans="2:6" ht="24" customHeight="1" x14ac:dyDescent="0.35">
      <c r="C30" s="85" t="s">
        <v>5</v>
      </c>
      <c r="D30" s="85"/>
      <c r="E30" s="11"/>
    </row>
    <row r="31" spans="2:6" ht="21.75" customHeight="1" x14ac:dyDescent="0.35">
      <c r="C31" s="5"/>
      <c r="D31" s="29">
        <v>15</v>
      </c>
      <c r="F31" s="34"/>
    </row>
    <row r="32" spans="2:6" ht="21.75" customHeight="1" x14ac:dyDescent="0.35">
      <c r="C32" s="5"/>
      <c r="D32" s="29">
        <v>30</v>
      </c>
      <c r="F32" s="33"/>
    </row>
    <row r="33" spans="2:6" ht="21.75" customHeight="1" x14ac:dyDescent="0.35">
      <c r="C33" s="5"/>
      <c r="D33" s="29" t="s">
        <v>4</v>
      </c>
      <c r="F33" s="34"/>
    </row>
    <row r="34" spans="2:6" ht="21.75" thickBot="1" x14ac:dyDescent="0.4">
      <c r="C34" s="5"/>
      <c r="D34" s="12"/>
      <c r="E34" s="11"/>
    </row>
    <row r="35" spans="2:6" ht="22.5" thickTop="1" thickBot="1" x14ac:dyDescent="0.4">
      <c r="C35" s="5"/>
      <c r="E35" s="24" t="s">
        <v>124</v>
      </c>
      <c r="F35" s="35">
        <f>SUM(F31:F33)</f>
        <v>0</v>
      </c>
    </row>
    <row r="36" spans="2:6" ht="20.25" thickTop="1" x14ac:dyDescent="0.35">
      <c r="C36" s="85" t="s">
        <v>6</v>
      </c>
      <c r="D36" s="85"/>
      <c r="E36" s="11"/>
    </row>
    <row r="37" spans="2:6" ht="21.75" customHeight="1" x14ac:dyDescent="0.35">
      <c r="C37" s="5"/>
      <c r="D37" s="29" t="s">
        <v>7</v>
      </c>
      <c r="F37" s="33"/>
    </row>
    <row r="38" spans="2:6" ht="21.75" customHeight="1" x14ac:dyDescent="0.35">
      <c r="C38" s="5"/>
      <c r="D38" s="29" t="s">
        <v>8</v>
      </c>
      <c r="F38" s="34"/>
    </row>
    <row r="39" spans="2:6" ht="21.75" customHeight="1" x14ac:dyDescent="0.35">
      <c r="C39" s="5"/>
      <c r="D39" s="29" t="s">
        <v>9</v>
      </c>
      <c r="F39" s="33"/>
    </row>
    <row r="40" spans="2:6" ht="21.75" customHeight="1" x14ac:dyDescent="0.35">
      <c r="C40" s="5"/>
      <c r="D40" s="29" t="s">
        <v>81</v>
      </c>
      <c r="F40" s="34"/>
    </row>
    <row r="41" spans="2:6" ht="21.75" thickBot="1" x14ac:dyDescent="0.4">
      <c r="C41" s="5"/>
      <c r="D41" s="5"/>
      <c r="E41" s="11"/>
    </row>
    <row r="42" spans="2:6" ht="22.5" thickTop="1" thickBot="1" x14ac:dyDescent="0.4">
      <c r="C42" s="5"/>
      <c r="E42" s="24" t="s">
        <v>125</v>
      </c>
      <c r="F42" s="35">
        <f>SUM(F37:F40)</f>
        <v>0</v>
      </c>
    </row>
    <row r="43" spans="2:6" ht="21.75" thickTop="1" x14ac:dyDescent="0.35">
      <c r="C43" s="5"/>
      <c r="D43" s="5"/>
      <c r="E43" s="11"/>
    </row>
    <row r="44" spans="2:6" ht="21.75" customHeight="1" x14ac:dyDescent="0.3">
      <c r="C44" s="32" t="s">
        <v>10</v>
      </c>
      <c r="D44" s="32"/>
      <c r="E44" s="24" t="s">
        <v>126</v>
      </c>
      <c r="F44" s="33"/>
    </row>
    <row r="45" spans="2:6" ht="21.75" thickBot="1" x14ac:dyDescent="0.4">
      <c r="C45" s="3"/>
      <c r="D45" s="5"/>
      <c r="E45" s="11"/>
    </row>
    <row r="46" spans="2:6" ht="22.5" thickTop="1" thickBot="1" x14ac:dyDescent="0.4">
      <c r="C46" s="5"/>
      <c r="E46" s="30" t="s">
        <v>127</v>
      </c>
      <c r="F46" s="36">
        <f>F44+F42+F35+F28</f>
        <v>0</v>
      </c>
    </row>
    <row r="47" spans="2:6" ht="22.5" customHeight="1" thickTop="1" thickBot="1" x14ac:dyDescent="0.35">
      <c r="C47" s="38" t="s">
        <v>101</v>
      </c>
    </row>
    <row r="48" spans="2:6" ht="26.25" customHeight="1" thickTop="1" thickBot="1" x14ac:dyDescent="0.4">
      <c r="B48" s="84" t="s">
        <v>98</v>
      </c>
      <c r="C48" s="84"/>
      <c r="D48" s="84"/>
      <c r="E48" s="84"/>
      <c r="F48" s="37">
        <f>F46+F20+F9</f>
        <v>0</v>
      </c>
    </row>
    <row r="49" spans="2:8" ht="16.5" thickTop="1" x14ac:dyDescent="0.3">
      <c r="D49" s="15" t="s">
        <v>131</v>
      </c>
    </row>
    <row r="51" spans="2:8" x14ac:dyDescent="0.3">
      <c r="B51" s="59"/>
      <c r="C51" s="61" t="s">
        <v>99</v>
      </c>
      <c r="D51" s="59"/>
      <c r="E51" s="59"/>
      <c r="F51" s="59"/>
      <c r="G51" s="59"/>
      <c r="H51" s="59"/>
    </row>
    <row r="52" spans="2:8" ht="21.75" customHeight="1" x14ac:dyDescent="0.3">
      <c r="B52" s="59"/>
      <c r="C52" s="58"/>
      <c r="D52" s="59"/>
      <c r="E52" s="60" t="s">
        <v>128</v>
      </c>
      <c r="F52" s="82">
        <f>IF(EstimatingTool!F36&gt;0,EstimatingTool!F36,0)</f>
        <v>0</v>
      </c>
      <c r="G52" s="59"/>
      <c r="H52" s="62"/>
    </row>
    <row r="53" spans="2:8" x14ac:dyDescent="0.3">
      <c r="B53" s="59"/>
      <c r="C53" s="58"/>
      <c r="D53" s="59"/>
      <c r="E53" s="59"/>
      <c r="F53" s="59"/>
      <c r="G53" s="59"/>
      <c r="H53" s="62"/>
    </row>
    <row r="54" spans="2:8" ht="21.75" customHeight="1" x14ac:dyDescent="0.3">
      <c r="B54" s="59"/>
      <c r="C54" s="61" t="s">
        <v>100</v>
      </c>
      <c r="D54" s="59"/>
      <c r="E54" s="59"/>
      <c r="F54" s="59"/>
      <c r="G54" s="59"/>
      <c r="H54" s="62"/>
    </row>
    <row r="55" spans="2:8" ht="21.75" customHeight="1" x14ac:dyDescent="0.3">
      <c r="B55" s="59"/>
      <c r="C55" s="58"/>
      <c r="D55" s="59"/>
      <c r="E55" s="60" t="s">
        <v>129</v>
      </c>
      <c r="F55" s="82">
        <f>IF(EstimatingTool!F36&lt;0,-1*EstimatingTool!F36,0)</f>
        <v>0</v>
      </c>
      <c r="G55" s="59"/>
      <c r="H55" s="62"/>
    </row>
    <row r="56" spans="2:8" x14ac:dyDescent="0.3">
      <c r="B56" s="59"/>
      <c r="C56" s="59"/>
      <c r="D56" s="59"/>
      <c r="E56" s="59"/>
      <c r="F56" s="59"/>
      <c r="G56" s="59"/>
      <c r="H56" s="59"/>
    </row>
    <row r="57" spans="2:8" ht="16.5" thickBot="1" x14ac:dyDescent="0.35"/>
    <row r="58" spans="2:8" ht="25.5" thickTop="1" thickBot="1" x14ac:dyDescent="0.4">
      <c r="B58" s="84" t="s">
        <v>102</v>
      </c>
      <c r="C58" s="84"/>
      <c r="D58" s="84"/>
      <c r="E58" s="84"/>
      <c r="F58" s="37">
        <f>IF(F48-F52+F55&lt;0,0,F48-F52+F55)</f>
        <v>0</v>
      </c>
    </row>
    <row r="59" spans="2:8" ht="16.5" thickTop="1" x14ac:dyDescent="0.3">
      <c r="D59" s="15" t="s">
        <v>130</v>
      </c>
    </row>
    <row r="61" spans="2:8" x14ac:dyDescent="0.3">
      <c r="B61" s="39" t="s">
        <v>15</v>
      </c>
      <c r="G61"/>
    </row>
    <row r="62" spans="2:8" x14ac:dyDescent="0.3">
      <c r="C62" s="25" t="s">
        <v>132</v>
      </c>
      <c r="G62"/>
    </row>
    <row r="63" spans="2:8" x14ac:dyDescent="0.3">
      <c r="C63" s="25" t="s">
        <v>82</v>
      </c>
      <c r="G63"/>
    </row>
    <row r="64" spans="2:8" x14ac:dyDescent="0.3">
      <c r="G64"/>
    </row>
    <row r="65" spans="7:7" x14ac:dyDescent="0.3">
      <c r="G65"/>
    </row>
    <row r="66" spans="7:7" x14ac:dyDescent="0.3">
      <c r="G66"/>
    </row>
  </sheetData>
  <sheetProtection algorithmName="SHA-512" hashValue="MDvB5L7BhClhK2S0Kl2wS53YouIRcDtvu2F/hjrzlLyo+nWKjTtCu05ZEAhf+kJ6CJr7N/iGuGQxk3YjTz6xWg==" saltValue="Xu8p7SNXJtFJmg5bpmnnfg==" spinCount="100000" sheet="1" objects="1" scenarios="1"/>
  <mergeCells count="8">
    <mergeCell ref="C9:D9"/>
    <mergeCell ref="C12:D12"/>
    <mergeCell ref="B58:E58"/>
    <mergeCell ref="C23:D23"/>
    <mergeCell ref="C30:D30"/>
    <mergeCell ref="C36:D36"/>
    <mergeCell ref="D19:E19"/>
    <mergeCell ref="B48:E48"/>
  </mergeCells>
  <conditionalFormatting sqref="F52">
    <cfRule type="expression" dxfId="1" priority="2">
      <formula>$F$55&gt;0</formula>
    </cfRule>
  </conditionalFormatting>
  <conditionalFormatting sqref="F55">
    <cfRule type="expression" dxfId="0" priority="1">
      <formula>$F$52&gt;0</formula>
    </cfRule>
  </conditionalFormatting>
  <dataValidations count="5">
    <dataValidation type="whole" operator="greaterThanOrEqual" allowBlank="1" showInputMessage="1" showErrorMessage="1" sqref="F37:F40 F24:F26 F14:F16 F31:F33 F44">
      <formula1>0</formula1>
    </dataValidation>
    <dataValidation type="custom" operator="greaterThanOrEqual" showErrorMessage="1" errorTitle="ERROR" error="There are dollars listed in the Unexpended field or you have entered an invalid amount (&lt;0). " promptTitle="Previous Dollars" prompt="Enter a dollar amount for EITHER Unexpended or Insufficient. It is not possible to have dollars in both." sqref="F55">
      <formula1>OR(AND(ISNUMBER(F55),F52=0,F55&gt;=0),F55=0)</formula1>
    </dataValidation>
    <dataValidation type="custom" operator="greaterThanOrEqual" showErrorMessage="1" errorTitle="ERROR" error="There are dollars listed in the Insufficient field or you have entered an invalid amount (&lt;0)." promptTitle="Previous Dollars" prompt="Enter a dollar amount for EITHER Unexpended or Insufficient. It is not possible to have dollars in both." sqref="F52">
      <formula1>OR(AND(UnExpendedAmount&gt;=0,ISNUMBER(UnExpendedAmount),OR(ISBLANK(F55),F55=0)),F52=0)</formula1>
    </dataValidation>
    <dataValidation type="whole" operator="greaterThanOrEqual" allowBlank="1" showInputMessage="1" showErrorMessage="1" sqref="F18">
      <formula1>0</formula1>
    </dataValidation>
    <dataValidation type="whole" operator="greaterThanOrEqual" allowBlank="1" showInputMessage="1" showErrorMessage="1" errorTitle="ERROR" error="Must be a positive whole number." sqref="F9">
      <formula1>0</formula1>
    </dataValidation>
  </dataValidations>
  <pageMargins left="0.25" right="0.25" top="0.5" bottom="0.5" header="0.25" footer="0.25"/>
  <pageSetup scale="56" orientation="portrait" r:id="rId1"/>
  <headerFooter>
    <oddFooter>&amp;L&amp;"+,Regular"&amp;8&amp;K03+000Page &amp;P of &amp;N&amp;C&amp;"+,Regular"&amp;8&amp;K03+000Printed: &amp;D &amp;T&amp;R&amp;"+,Regular"&amp;8&amp;K03+000&amp;F</oddFooter>
  </headerFooter>
  <ignoredErrors>
    <ignoredError sqref="F55 F5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LookupData!$A$72:$A$86</xm:f>
          </x14:formula1>
          <xm:sqref>F5</xm:sqref>
        </x14:dataValidation>
        <x14:dataValidation type="list" allowBlank="1" showInputMessage="1" showErrorMessage="1">
          <x14:formula1>
            <xm:f>LookupData!$C$72:$C$75</xm:f>
          </x14:formula1>
          <xm:sqref>F4</xm:sqref>
        </x14:dataValidation>
        <x14:dataValidation type="list" allowBlank="1" showInputMessage="1" showErrorMessage="1">
          <x14:formula1>
            <xm:f>LookupData!$E$3:$E$69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1"/>
  <sheetViews>
    <sheetView workbookViewId="0">
      <selection activeCell="B21" sqref="B21"/>
    </sheetView>
  </sheetViews>
  <sheetFormatPr defaultRowHeight="13.5" x14ac:dyDescent="0.25"/>
  <cols>
    <col min="1" max="1" width="16.21875" style="41" customWidth="1"/>
    <col min="2" max="3" width="8.109375" style="41" customWidth="1"/>
    <col min="4" max="4" width="10.33203125" style="41" customWidth="1"/>
    <col min="5" max="16384" width="8.88671875" style="41"/>
  </cols>
  <sheetData>
    <row r="1" spans="1:12" x14ac:dyDescent="0.25">
      <c r="A1" s="40" t="s">
        <v>134</v>
      </c>
      <c r="B1" s="41" t="s">
        <v>158</v>
      </c>
      <c r="D1" s="40" t="s">
        <v>135</v>
      </c>
      <c r="E1" s="41" t="str">
        <f>IF(Estimate!D4="","None",Estimate!D4)</f>
        <v>None</v>
      </c>
      <c r="G1" s="42" t="s">
        <v>136</v>
      </c>
      <c r="H1" s="43" t="s">
        <v>137</v>
      </c>
      <c r="I1" s="43" t="s">
        <v>138</v>
      </c>
      <c r="J1" s="43" t="s">
        <v>139</v>
      </c>
      <c r="K1" s="43" t="s">
        <v>140</v>
      </c>
      <c r="L1" s="44" t="s">
        <v>141</v>
      </c>
    </row>
    <row r="2" spans="1:12" x14ac:dyDescent="0.25">
      <c r="A2" s="40" t="s">
        <v>142</v>
      </c>
      <c r="B2" s="41" t="s">
        <v>157</v>
      </c>
      <c r="G2" s="45">
        <v>1</v>
      </c>
      <c r="H2" s="46" t="s">
        <v>177</v>
      </c>
      <c r="I2" s="46" t="s">
        <v>143</v>
      </c>
      <c r="J2" s="46" t="s">
        <v>201</v>
      </c>
      <c r="K2" s="46">
        <v>20</v>
      </c>
      <c r="L2" s="47">
        <v>39</v>
      </c>
    </row>
    <row r="3" spans="1:12" x14ac:dyDescent="0.25">
      <c r="G3" s="45">
        <v>2</v>
      </c>
      <c r="H3" s="46"/>
      <c r="I3" s="46"/>
      <c r="J3" s="46"/>
      <c r="K3" s="46"/>
      <c r="L3" s="47"/>
    </row>
    <row r="4" spans="1:12" x14ac:dyDescent="0.25">
      <c r="G4" s="45">
        <v>3</v>
      </c>
      <c r="H4" s="46"/>
      <c r="I4" s="46"/>
      <c r="J4" s="46"/>
      <c r="K4" s="46"/>
      <c r="L4" s="47"/>
    </row>
    <row r="5" spans="1:12" x14ac:dyDescent="0.25">
      <c r="A5" s="48" t="s">
        <v>144</v>
      </c>
      <c r="B5" s="49">
        <v>43059</v>
      </c>
      <c r="G5" s="45">
        <v>4</v>
      </c>
      <c r="H5" s="46"/>
      <c r="I5" s="46"/>
      <c r="J5" s="46"/>
      <c r="K5" s="46"/>
      <c r="L5" s="47"/>
    </row>
    <row r="6" spans="1:12" x14ac:dyDescent="0.25">
      <c r="A6" s="48" t="s">
        <v>145</v>
      </c>
      <c r="B6" s="50"/>
      <c r="G6" s="45">
        <v>5</v>
      </c>
      <c r="L6" s="47"/>
    </row>
    <row r="7" spans="1:12" x14ac:dyDescent="0.25">
      <c r="A7" s="48" t="s">
        <v>146</v>
      </c>
      <c r="B7" s="41" t="str">
        <f>TEXT(B5,"MMM")</f>
        <v>Nov</v>
      </c>
      <c r="G7" s="45">
        <v>6</v>
      </c>
      <c r="H7" s="46"/>
      <c r="I7" s="46"/>
      <c r="J7" s="46"/>
      <c r="K7" s="46"/>
      <c r="L7" s="47"/>
    </row>
    <row r="8" spans="1:12" x14ac:dyDescent="0.25">
      <c r="A8" s="48" t="s">
        <v>147</v>
      </c>
      <c r="B8" s="41">
        <f>IF(Estimate!F5="",1,Estimate!F5)</f>
        <v>1</v>
      </c>
      <c r="G8" s="45">
        <v>7</v>
      </c>
      <c r="H8" s="46"/>
      <c r="I8" s="46"/>
      <c r="J8" s="46"/>
      <c r="K8" s="46"/>
      <c r="L8" s="47"/>
    </row>
    <row r="9" spans="1:12" x14ac:dyDescent="0.25">
      <c r="A9" s="48" t="s">
        <v>148</v>
      </c>
      <c r="B9" s="51" t="str">
        <f>IF(Estimate!F4="",INDEX(LookupData!E72:E83,MATCH(TEXT(EDATE(B5,-1),"MMM"),LookupData!D72:D83,0)),Estimate!F4)</f>
        <v xml:space="preserve">January - March </v>
      </c>
      <c r="C9" s="41" t="str">
        <f>INDEX(LookupData!F72:F83,MATCH(ReportInfo!B9,LookupData!E72:E83,0))</f>
        <v>SFY1718-Qtr2</v>
      </c>
      <c r="D9" s="41" t="str">
        <f>INDEX(LookupData!G72:G83,MATCH(ReportInfo!B9,LookupData!E72:E83,0))</f>
        <v>Qtr2</v>
      </c>
      <c r="G9" s="45">
        <v>8</v>
      </c>
      <c r="H9" s="46"/>
      <c r="I9" s="46"/>
      <c r="J9" s="46"/>
      <c r="K9" s="46"/>
      <c r="L9" s="47"/>
    </row>
    <row r="10" spans="1:12" x14ac:dyDescent="0.25">
      <c r="A10" s="48" t="s">
        <v>149</v>
      </c>
      <c r="B10" s="41" t="str">
        <f>E1&amp;" "&amp;B1&amp;" "&amp;D9&amp;" Ver"&amp;B8&amp;" "&amp;TEXT(B5,"Mmddyy")&amp;".xlsx"</f>
        <v>None Jury Est Qtr2 Ver1 112017.xlsx</v>
      </c>
      <c r="G10" s="45">
        <v>9</v>
      </c>
      <c r="H10" s="46"/>
      <c r="I10" s="46"/>
      <c r="J10" s="46"/>
      <c r="K10" s="46"/>
      <c r="L10" s="47"/>
    </row>
    <row r="11" spans="1:12" x14ac:dyDescent="0.25">
      <c r="A11" s="48" t="s">
        <v>150</v>
      </c>
      <c r="B11" s="41" t="str">
        <f>"R:\!CFY1718\Incoming Reports\Jury Mgmt Estimates\"&amp;C9&amp;"\"</f>
        <v>R:\!CFY1718\Incoming Reports\Jury Mgmt Estimates\SFY1718-Qtr2\</v>
      </c>
      <c r="G11" s="45">
        <v>10</v>
      </c>
      <c r="H11" s="46"/>
      <c r="I11" s="46"/>
      <c r="J11" s="46"/>
      <c r="K11" s="46"/>
      <c r="L11" s="47"/>
    </row>
    <row r="12" spans="1:12" ht="14.25" thickBot="1" x14ac:dyDescent="0.3">
      <c r="G12" s="52">
        <v>11</v>
      </c>
      <c r="H12" s="53"/>
      <c r="I12" s="53"/>
      <c r="J12" s="53"/>
      <c r="K12" s="53"/>
      <c r="L12" s="54"/>
    </row>
    <row r="13" spans="1:12" x14ac:dyDescent="0.25">
      <c r="A13" s="48" t="s">
        <v>151</v>
      </c>
      <c r="B13" s="41">
        <v>1</v>
      </c>
      <c r="G13" s="46"/>
      <c r="H13" s="46"/>
      <c r="I13" s="46"/>
      <c r="J13" s="46"/>
      <c r="K13" s="46"/>
      <c r="L13" s="46"/>
    </row>
    <row r="14" spans="1:12" x14ac:dyDescent="0.25">
      <c r="G14" s="46"/>
      <c r="H14" s="46"/>
      <c r="I14" s="46"/>
      <c r="J14" s="46"/>
      <c r="K14" s="46"/>
      <c r="L14" s="46"/>
    </row>
    <row r="20" spans="1:9" ht="27" x14ac:dyDescent="0.25">
      <c r="A20" s="40" t="s">
        <v>107</v>
      </c>
      <c r="B20" s="40" t="s">
        <v>152</v>
      </c>
      <c r="C20" s="40" t="s">
        <v>176</v>
      </c>
      <c r="D20" s="40" t="s">
        <v>153</v>
      </c>
      <c r="E20" s="40" t="s">
        <v>154</v>
      </c>
      <c r="F20" s="40" t="s">
        <v>155</v>
      </c>
      <c r="G20" s="40" t="s">
        <v>199</v>
      </c>
      <c r="H20" s="40" t="s">
        <v>200</v>
      </c>
      <c r="I20" s="40" t="s">
        <v>156</v>
      </c>
    </row>
    <row r="21" spans="1:9" x14ac:dyDescent="0.25">
      <c r="A21" s="41">
        <f>IFERROR(INDEX(LookupData!A3:A69,MATCH(E1,LookupData!E3:E69,0)),0)</f>
        <v>0</v>
      </c>
      <c r="B21" s="41">
        <v>18</v>
      </c>
      <c r="C21" s="41" t="s">
        <v>178</v>
      </c>
      <c r="D21" s="41" t="s">
        <v>179</v>
      </c>
      <c r="E21" s="41" t="s">
        <v>180</v>
      </c>
      <c r="F21" s="41" t="s">
        <v>181</v>
      </c>
      <c r="G21" s="64">
        <f>Estimate!F9</f>
        <v>0</v>
      </c>
      <c r="H21" s="55"/>
      <c r="I21" s="55">
        <v>6</v>
      </c>
    </row>
    <row r="22" spans="1:9" x14ac:dyDescent="0.25">
      <c r="A22" s="41">
        <f>A21</f>
        <v>0</v>
      </c>
      <c r="B22" s="41">
        <f>B21</f>
        <v>18</v>
      </c>
      <c r="C22" s="41" t="s">
        <v>178</v>
      </c>
      <c r="D22" s="41" t="s">
        <v>179</v>
      </c>
      <c r="E22" s="41" t="s">
        <v>182</v>
      </c>
      <c r="F22" s="41" t="s">
        <v>1</v>
      </c>
      <c r="G22" s="63">
        <f>Estimate!F14</f>
        <v>0</v>
      </c>
      <c r="I22" s="55">
        <v>6</v>
      </c>
    </row>
    <row r="23" spans="1:9" x14ac:dyDescent="0.25">
      <c r="A23" s="41">
        <f t="shared" ref="A23:A37" si="0">A22</f>
        <v>0</v>
      </c>
      <c r="B23" s="41">
        <f t="shared" ref="B23:B37" si="1">B22</f>
        <v>18</v>
      </c>
      <c r="C23" s="41" t="s">
        <v>178</v>
      </c>
      <c r="D23" s="41" t="s">
        <v>179</v>
      </c>
      <c r="E23" s="41" t="s">
        <v>182</v>
      </c>
      <c r="F23" s="41" t="s">
        <v>12</v>
      </c>
      <c r="G23" s="63">
        <f>Estimate!F15</f>
        <v>0</v>
      </c>
      <c r="I23" s="55">
        <v>6</v>
      </c>
    </row>
    <row r="24" spans="1:9" x14ac:dyDescent="0.25">
      <c r="A24" s="41">
        <f t="shared" si="0"/>
        <v>0</v>
      </c>
      <c r="B24" s="41">
        <f t="shared" si="1"/>
        <v>18</v>
      </c>
      <c r="C24" s="41" t="s">
        <v>178</v>
      </c>
      <c r="D24" s="41" t="s">
        <v>179</v>
      </c>
      <c r="E24" s="41" t="s">
        <v>182</v>
      </c>
      <c r="F24" s="41" t="s">
        <v>13</v>
      </c>
      <c r="G24" s="63">
        <f>Estimate!F16</f>
        <v>0</v>
      </c>
      <c r="I24" s="55">
        <v>6</v>
      </c>
    </row>
    <row r="25" spans="1:9" x14ac:dyDescent="0.25">
      <c r="A25" s="41">
        <f t="shared" si="0"/>
        <v>0</v>
      </c>
      <c r="B25" s="41">
        <f t="shared" si="1"/>
        <v>18</v>
      </c>
      <c r="C25" s="41" t="s">
        <v>178</v>
      </c>
      <c r="D25" s="41" t="s">
        <v>179</v>
      </c>
      <c r="E25" s="41" t="s">
        <v>182</v>
      </c>
      <c r="F25" s="41" t="s">
        <v>183</v>
      </c>
      <c r="G25" s="63">
        <f>Estimate!F18</f>
        <v>0</v>
      </c>
      <c r="H25" s="41" t="str">
        <f>IF(ISBLANK(Estimate!D19),"",Estimate!D19)</f>
        <v/>
      </c>
      <c r="I25" s="55">
        <v>6</v>
      </c>
    </row>
    <row r="26" spans="1:9" x14ac:dyDescent="0.25">
      <c r="A26" s="41">
        <f t="shared" si="0"/>
        <v>0</v>
      </c>
      <c r="B26" s="41">
        <f t="shared" si="1"/>
        <v>18</v>
      </c>
      <c r="C26" s="41" t="s">
        <v>178</v>
      </c>
      <c r="D26" s="41" t="s">
        <v>179</v>
      </c>
      <c r="E26" s="41" t="s">
        <v>2</v>
      </c>
      <c r="F26" s="41" t="s">
        <v>184</v>
      </c>
      <c r="G26" s="63">
        <f>Estimate!F24</f>
        <v>0</v>
      </c>
      <c r="I26" s="55">
        <v>6</v>
      </c>
    </row>
    <row r="27" spans="1:9" x14ac:dyDescent="0.25">
      <c r="A27" s="41">
        <f t="shared" si="0"/>
        <v>0</v>
      </c>
      <c r="B27" s="41">
        <f t="shared" si="1"/>
        <v>18</v>
      </c>
      <c r="C27" s="41" t="s">
        <v>178</v>
      </c>
      <c r="D27" s="41" t="s">
        <v>179</v>
      </c>
      <c r="E27" s="41" t="s">
        <v>2</v>
      </c>
      <c r="F27" s="41" t="s">
        <v>185</v>
      </c>
      <c r="G27" s="63">
        <f>Estimate!F25</f>
        <v>0</v>
      </c>
      <c r="I27" s="55">
        <v>6</v>
      </c>
    </row>
    <row r="28" spans="1:9" x14ac:dyDescent="0.25">
      <c r="A28" s="41">
        <f t="shared" si="0"/>
        <v>0</v>
      </c>
      <c r="B28" s="41">
        <f t="shared" si="1"/>
        <v>18</v>
      </c>
      <c r="C28" s="41" t="s">
        <v>178</v>
      </c>
      <c r="D28" s="41" t="s">
        <v>179</v>
      </c>
      <c r="E28" s="41" t="s">
        <v>2</v>
      </c>
      <c r="F28" s="41" t="s">
        <v>186</v>
      </c>
      <c r="G28" s="63">
        <f>Estimate!F26</f>
        <v>0</v>
      </c>
      <c r="I28" s="55">
        <v>6</v>
      </c>
    </row>
    <row r="29" spans="1:9" x14ac:dyDescent="0.25">
      <c r="A29" s="41">
        <f t="shared" si="0"/>
        <v>0</v>
      </c>
      <c r="B29" s="41">
        <f t="shared" si="1"/>
        <v>18</v>
      </c>
      <c r="C29" s="41" t="s">
        <v>178</v>
      </c>
      <c r="D29" s="41" t="s">
        <v>179</v>
      </c>
      <c r="E29" s="41" t="s">
        <v>2</v>
      </c>
      <c r="F29" s="41" t="s">
        <v>187</v>
      </c>
      <c r="G29" s="63">
        <f>Estimate!F31</f>
        <v>0</v>
      </c>
      <c r="I29" s="55">
        <v>6</v>
      </c>
    </row>
    <row r="30" spans="1:9" x14ac:dyDescent="0.25">
      <c r="A30" s="41">
        <f t="shared" si="0"/>
        <v>0</v>
      </c>
      <c r="B30" s="41">
        <f t="shared" si="1"/>
        <v>18</v>
      </c>
      <c r="C30" s="41" t="s">
        <v>178</v>
      </c>
      <c r="D30" s="41" t="s">
        <v>179</v>
      </c>
      <c r="E30" s="41" t="s">
        <v>2</v>
      </c>
      <c r="F30" s="41" t="s">
        <v>188</v>
      </c>
      <c r="G30" s="63">
        <f>Estimate!F32</f>
        <v>0</v>
      </c>
      <c r="I30" s="55">
        <v>6</v>
      </c>
    </row>
    <row r="31" spans="1:9" x14ac:dyDescent="0.25">
      <c r="A31" s="41">
        <f t="shared" si="0"/>
        <v>0</v>
      </c>
      <c r="B31" s="41">
        <f t="shared" si="1"/>
        <v>18</v>
      </c>
      <c r="C31" s="41" t="s">
        <v>178</v>
      </c>
      <c r="D31" s="41" t="s">
        <v>179</v>
      </c>
      <c r="E31" s="41" t="s">
        <v>2</v>
      </c>
      <c r="F31" s="41" t="s">
        <v>189</v>
      </c>
      <c r="G31" s="63">
        <f>Estimate!F33</f>
        <v>0</v>
      </c>
      <c r="I31" s="55">
        <v>6</v>
      </c>
    </row>
    <row r="32" spans="1:9" x14ac:dyDescent="0.25">
      <c r="A32" s="41">
        <f t="shared" si="0"/>
        <v>0</v>
      </c>
      <c r="B32" s="41">
        <f t="shared" si="1"/>
        <v>18</v>
      </c>
      <c r="C32" s="41" t="s">
        <v>178</v>
      </c>
      <c r="D32" s="41" t="s">
        <v>179</v>
      </c>
      <c r="E32" s="41" t="s">
        <v>2</v>
      </c>
      <c r="F32" s="41" t="s">
        <v>190</v>
      </c>
      <c r="G32" s="63">
        <f>Estimate!F37</f>
        <v>0</v>
      </c>
      <c r="I32" s="55">
        <v>6</v>
      </c>
    </row>
    <row r="33" spans="1:9" x14ac:dyDescent="0.25">
      <c r="A33" s="41">
        <f t="shared" si="0"/>
        <v>0</v>
      </c>
      <c r="B33" s="41">
        <f t="shared" si="1"/>
        <v>18</v>
      </c>
      <c r="C33" s="41" t="s">
        <v>178</v>
      </c>
      <c r="D33" s="41" t="s">
        <v>179</v>
      </c>
      <c r="E33" s="41" t="s">
        <v>2</v>
      </c>
      <c r="F33" s="41" t="s">
        <v>191</v>
      </c>
      <c r="G33" s="63">
        <f>Estimate!F38</f>
        <v>0</v>
      </c>
      <c r="I33" s="55">
        <v>6</v>
      </c>
    </row>
    <row r="34" spans="1:9" x14ac:dyDescent="0.25">
      <c r="A34" s="41">
        <f t="shared" si="0"/>
        <v>0</v>
      </c>
      <c r="B34" s="41">
        <f t="shared" si="1"/>
        <v>18</v>
      </c>
      <c r="C34" s="41" t="s">
        <v>178</v>
      </c>
      <c r="D34" s="41" t="s">
        <v>179</v>
      </c>
      <c r="E34" s="41" t="s">
        <v>2</v>
      </c>
      <c r="F34" s="41" t="s">
        <v>192</v>
      </c>
      <c r="G34" s="63">
        <f>Estimate!F39</f>
        <v>0</v>
      </c>
      <c r="I34" s="55">
        <v>6</v>
      </c>
    </row>
    <row r="35" spans="1:9" x14ac:dyDescent="0.25">
      <c r="A35" s="41">
        <f t="shared" si="0"/>
        <v>0</v>
      </c>
      <c r="B35" s="41">
        <f t="shared" si="1"/>
        <v>18</v>
      </c>
      <c r="C35" s="41" t="s">
        <v>178</v>
      </c>
      <c r="D35" s="41" t="s">
        <v>179</v>
      </c>
      <c r="E35" s="41" t="s">
        <v>2</v>
      </c>
      <c r="F35" s="41" t="s">
        <v>193</v>
      </c>
      <c r="G35" s="63">
        <f>Estimate!F40</f>
        <v>0</v>
      </c>
      <c r="I35" s="55">
        <v>6</v>
      </c>
    </row>
    <row r="36" spans="1:9" x14ac:dyDescent="0.25">
      <c r="A36" s="41">
        <f t="shared" si="0"/>
        <v>0</v>
      </c>
      <c r="B36" s="41">
        <f t="shared" si="1"/>
        <v>18</v>
      </c>
      <c r="C36" s="41" t="s">
        <v>178</v>
      </c>
      <c r="D36" s="41" t="s">
        <v>179</v>
      </c>
      <c r="E36" s="41" t="s">
        <v>2</v>
      </c>
      <c r="F36" s="41" t="s">
        <v>10</v>
      </c>
      <c r="G36" s="63">
        <f>Estimate!F44</f>
        <v>0</v>
      </c>
      <c r="I36" s="55">
        <v>6</v>
      </c>
    </row>
    <row r="37" spans="1:9" x14ac:dyDescent="0.25">
      <c r="A37" s="41">
        <f t="shared" si="0"/>
        <v>0</v>
      </c>
      <c r="B37" s="41">
        <f t="shared" si="1"/>
        <v>18</v>
      </c>
      <c r="C37" s="41" t="s">
        <v>178</v>
      </c>
      <c r="D37" s="41" t="s">
        <v>179</v>
      </c>
      <c r="E37" s="41" t="s">
        <v>194</v>
      </c>
      <c r="F37" s="41" t="s">
        <v>181</v>
      </c>
      <c r="G37" s="63">
        <f>Estimate!F48</f>
        <v>0</v>
      </c>
      <c r="I37" s="55">
        <v>6</v>
      </c>
    </row>
    <row r="38" spans="1:9" x14ac:dyDescent="0.25">
      <c r="A38" s="41">
        <f t="shared" ref="A38:A39" si="2">A37</f>
        <v>0</v>
      </c>
      <c r="B38" s="41">
        <f t="shared" ref="B38:B39" si="3">B37</f>
        <v>18</v>
      </c>
      <c r="C38" s="41" t="s">
        <v>195</v>
      </c>
      <c r="D38" s="41" t="s">
        <v>196</v>
      </c>
      <c r="E38" s="41" t="s">
        <v>197</v>
      </c>
      <c r="F38" s="41" t="s">
        <v>181</v>
      </c>
      <c r="G38" s="63">
        <f>UnExpendedAmount</f>
        <v>0</v>
      </c>
      <c r="I38" s="55">
        <v>6</v>
      </c>
    </row>
    <row r="39" spans="1:9" x14ac:dyDescent="0.25">
      <c r="A39" s="41">
        <f t="shared" si="2"/>
        <v>0</v>
      </c>
      <c r="B39" s="41">
        <f t="shared" si="3"/>
        <v>18</v>
      </c>
      <c r="C39" s="41" t="s">
        <v>195</v>
      </c>
      <c r="D39" s="41" t="s">
        <v>196</v>
      </c>
      <c r="E39" s="41" t="s">
        <v>198</v>
      </c>
      <c r="F39" s="41" t="s">
        <v>181</v>
      </c>
      <c r="G39" s="63">
        <f>InsufficientAmount</f>
        <v>0</v>
      </c>
      <c r="I39" s="55">
        <v>6</v>
      </c>
    </row>
    <row r="110" spans="21:21" x14ac:dyDescent="0.25">
      <c r="U110" s="55"/>
    </row>
    <row r="111" spans="21:21" x14ac:dyDescent="0.25">
      <c r="U111" s="55"/>
    </row>
    <row r="112" spans="21:21" x14ac:dyDescent="0.25">
      <c r="U112" s="55"/>
    </row>
    <row r="113" spans="21:32" x14ac:dyDescent="0.25">
      <c r="U113" s="55"/>
      <c r="V113" s="55"/>
    </row>
    <row r="114" spans="21:32" x14ac:dyDescent="0.25">
      <c r="U114" s="55"/>
      <c r="V114" s="55"/>
      <c r="W114" s="55"/>
    </row>
    <row r="115" spans="21:32" x14ac:dyDescent="0.25">
      <c r="U115" s="55"/>
      <c r="V115" s="55"/>
      <c r="W115" s="55"/>
      <c r="X115" s="55"/>
      <c r="Y115" s="55"/>
      <c r="Z115" s="55"/>
      <c r="AA115" s="55"/>
      <c r="AB115" s="55"/>
    </row>
    <row r="116" spans="21:32" x14ac:dyDescent="0.25"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</row>
    <row r="117" spans="21:32" x14ac:dyDescent="0.25"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</row>
    <row r="118" spans="21:32" x14ac:dyDescent="0.25"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</row>
    <row r="119" spans="21:32" x14ac:dyDescent="0.25"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</row>
    <row r="120" spans="21:32" x14ac:dyDescent="0.25"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</row>
    <row r="121" spans="21:32" x14ac:dyDescent="0.25"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</row>
    <row r="122" spans="21:32" x14ac:dyDescent="0.25"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</row>
    <row r="123" spans="21:32" x14ac:dyDescent="0.25"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</row>
    <row r="124" spans="21:32" x14ac:dyDescent="0.25"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</row>
    <row r="125" spans="21:32" x14ac:dyDescent="0.25"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</row>
    <row r="126" spans="21:32" x14ac:dyDescent="0.25"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</row>
    <row r="127" spans="21:32" x14ac:dyDescent="0.25"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</row>
    <row r="128" spans="21:32" x14ac:dyDescent="0.25"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</row>
    <row r="129" spans="21:33" x14ac:dyDescent="0.25"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</row>
    <row r="130" spans="21:33" x14ac:dyDescent="0.25"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</row>
    <row r="195" spans="33:33" x14ac:dyDescent="0.25">
      <c r="AG195" s="56"/>
    </row>
    <row r="196" spans="33:33" x14ac:dyDescent="0.25">
      <c r="AG196" s="56"/>
    </row>
    <row r="197" spans="33:33" x14ac:dyDescent="0.25">
      <c r="AG197" s="56"/>
    </row>
    <row r="198" spans="33:33" x14ac:dyDescent="0.25">
      <c r="AG198" s="56"/>
    </row>
    <row r="199" spans="33:33" x14ac:dyDescent="0.25">
      <c r="AG199" s="56"/>
    </row>
    <row r="200" spans="33:33" x14ac:dyDescent="0.25">
      <c r="AG200" s="56"/>
    </row>
    <row r="201" spans="33:33" x14ac:dyDescent="0.25">
      <c r="AG201" s="56"/>
    </row>
    <row r="202" spans="33:33" x14ac:dyDescent="0.25">
      <c r="AG202" s="56"/>
    </row>
    <row r="203" spans="33:33" x14ac:dyDescent="0.25">
      <c r="AG203" s="56"/>
    </row>
    <row r="204" spans="33:33" x14ac:dyDescent="0.25">
      <c r="AG204" s="56"/>
    </row>
    <row r="205" spans="33:33" x14ac:dyDescent="0.25">
      <c r="AG205" s="56"/>
    </row>
    <row r="206" spans="33:33" x14ac:dyDescent="0.25">
      <c r="AG206" s="56"/>
    </row>
    <row r="207" spans="33:33" x14ac:dyDescent="0.25">
      <c r="AG207" s="56"/>
    </row>
    <row r="208" spans="33:33" x14ac:dyDescent="0.25">
      <c r="AG208" s="56"/>
    </row>
    <row r="209" spans="33:33" x14ac:dyDescent="0.25">
      <c r="AG209" s="56"/>
    </row>
    <row r="210" spans="33:33" x14ac:dyDescent="0.25">
      <c r="AG210" s="56"/>
    </row>
    <row r="211" spans="33:33" x14ac:dyDescent="0.25">
      <c r="AG211" s="5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3" sqref="L3:L69"/>
    </sheetView>
  </sheetViews>
  <sheetFormatPr defaultRowHeight="12.75" x14ac:dyDescent="0.2"/>
  <cols>
    <col min="1" max="4" width="8.88671875" style="14"/>
    <col min="5" max="5" width="8.109375" style="14" customWidth="1"/>
    <col min="6" max="6" width="11.44140625" style="14" customWidth="1"/>
    <col min="7" max="7" width="10.5546875" style="14" customWidth="1"/>
    <col min="8" max="9" width="10.33203125" style="14" bestFit="1" customWidth="1"/>
    <col min="10" max="11" width="9.44140625" style="14" bestFit="1" customWidth="1"/>
    <col min="12" max="12" width="10.33203125" style="14" customWidth="1"/>
    <col min="13" max="16384" width="8.88671875" style="14"/>
  </cols>
  <sheetData>
    <row r="1" spans="1:13" ht="13.5" x14ac:dyDescent="0.25">
      <c r="A1" s="21"/>
      <c r="B1" s="21"/>
      <c r="C1" s="21"/>
      <c r="D1" s="21"/>
      <c r="E1" s="21"/>
      <c r="J1" s="86" t="s">
        <v>212</v>
      </c>
      <c r="K1" s="86"/>
    </row>
    <row r="2" spans="1:13" ht="64.5" customHeight="1" x14ac:dyDescent="0.25">
      <c r="A2" s="22" t="s">
        <v>107</v>
      </c>
      <c r="B2" s="22" t="s">
        <v>108</v>
      </c>
      <c r="C2" s="22" t="s">
        <v>109</v>
      </c>
      <c r="D2" s="22" t="s">
        <v>110</v>
      </c>
      <c r="E2" s="22" t="s">
        <v>111</v>
      </c>
      <c r="F2" s="67" t="s">
        <v>208</v>
      </c>
      <c r="G2" s="67" t="s">
        <v>209</v>
      </c>
      <c r="H2" s="67" t="s">
        <v>210</v>
      </c>
      <c r="I2" s="67" t="s">
        <v>211</v>
      </c>
      <c r="J2" s="68" t="s">
        <v>213</v>
      </c>
      <c r="K2" s="68" t="s">
        <v>214</v>
      </c>
      <c r="L2" s="69" t="s">
        <v>215</v>
      </c>
    </row>
    <row r="3" spans="1:13" ht="13.5" x14ac:dyDescent="0.25">
      <c r="A3" s="21">
        <v>1</v>
      </c>
      <c r="B3" s="21">
        <v>1</v>
      </c>
      <c r="C3" s="21" t="s">
        <v>16</v>
      </c>
      <c r="D3" s="21" t="s">
        <v>16</v>
      </c>
      <c r="E3" s="21" t="s">
        <v>16</v>
      </c>
      <c r="F3" s="70">
        <v>39600</v>
      </c>
      <c r="G3" s="70">
        <v>38847.599999999999</v>
      </c>
      <c r="H3" s="70">
        <v>41037.009999999995</v>
      </c>
      <c r="I3" s="70">
        <v>38000</v>
      </c>
      <c r="J3" s="70"/>
      <c r="K3" s="70">
        <v>2090.08</v>
      </c>
      <c r="L3" s="71">
        <f>IF(ISBLANK(J3),(K3),-1*J3)</f>
        <v>2090.08</v>
      </c>
      <c r="M3" s="72"/>
    </row>
    <row r="4" spans="1:13" ht="13.5" x14ac:dyDescent="0.25">
      <c r="A4" s="21">
        <v>2</v>
      </c>
      <c r="B4" s="21">
        <v>1</v>
      </c>
      <c r="C4" s="21" t="s">
        <v>17</v>
      </c>
      <c r="D4" s="21" t="s">
        <v>17</v>
      </c>
      <c r="E4" s="21" t="s">
        <v>17</v>
      </c>
      <c r="F4" s="70">
        <v>4355</v>
      </c>
      <c r="G4" s="70">
        <v>4272.25</v>
      </c>
      <c r="H4" s="70">
        <v>7239.93</v>
      </c>
      <c r="I4" s="70">
        <v>4395</v>
      </c>
      <c r="J4" s="70">
        <v>292.83999999999997</v>
      </c>
      <c r="K4" s="70"/>
      <c r="L4" s="71">
        <f t="shared" ref="L4:L67" si="0">IF(ISBLANK(J4),(K4),-1*J4)</f>
        <v>-292.83999999999997</v>
      </c>
      <c r="M4" s="72"/>
    </row>
    <row r="5" spans="1:13" ht="13.5" x14ac:dyDescent="0.25">
      <c r="A5" s="21">
        <v>3</v>
      </c>
      <c r="B5" s="21">
        <v>1</v>
      </c>
      <c r="C5" s="21" t="s">
        <v>18</v>
      </c>
      <c r="D5" s="21" t="s">
        <v>18</v>
      </c>
      <c r="E5" s="21" t="s">
        <v>18</v>
      </c>
      <c r="F5" s="70">
        <v>27906</v>
      </c>
      <c r="G5" s="70">
        <v>27375.79</v>
      </c>
      <c r="H5" s="70">
        <v>58198.94</v>
      </c>
      <c r="I5" s="70">
        <v>29161</v>
      </c>
      <c r="J5" s="70"/>
      <c r="K5" s="70">
        <v>8937.59</v>
      </c>
      <c r="L5" s="71">
        <f t="shared" si="0"/>
        <v>8937.59</v>
      </c>
    </row>
    <row r="6" spans="1:13" ht="13.5" x14ac:dyDescent="0.25">
      <c r="A6" s="21">
        <v>4</v>
      </c>
      <c r="B6" s="21">
        <v>1</v>
      </c>
      <c r="C6" s="21" t="s">
        <v>83</v>
      </c>
      <c r="D6" s="21" t="s">
        <v>83</v>
      </c>
      <c r="E6" s="21" t="s">
        <v>83</v>
      </c>
      <c r="F6" s="70">
        <v>9010.25</v>
      </c>
      <c r="G6" s="70">
        <v>8839.06</v>
      </c>
      <c r="H6" s="70">
        <v>13967.36</v>
      </c>
      <c r="I6" s="70">
        <v>9465</v>
      </c>
      <c r="J6" s="70"/>
      <c r="K6" s="70">
        <v>1289.45</v>
      </c>
      <c r="L6" s="71">
        <f t="shared" si="0"/>
        <v>1289.45</v>
      </c>
    </row>
    <row r="7" spans="1:13" ht="13.5" x14ac:dyDescent="0.25">
      <c r="A7" s="21">
        <v>5</v>
      </c>
      <c r="B7" s="21">
        <v>1</v>
      </c>
      <c r="C7" s="21" t="s">
        <v>19</v>
      </c>
      <c r="D7" s="21" t="s">
        <v>19</v>
      </c>
      <c r="E7" s="21" t="s">
        <v>19</v>
      </c>
      <c r="F7" s="70">
        <v>113655</v>
      </c>
      <c r="G7" s="70">
        <v>111495.55</v>
      </c>
      <c r="H7" s="70">
        <v>122086.28</v>
      </c>
      <c r="I7" s="70">
        <v>113000</v>
      </c>
      <c r="J7" s="70">
        <v>5797.62</v>
      </c>
      <c r="K7" s="70"/>
      <c r="L7" s="71">
        <f t="shared" si="0"/>
        <v>-5797.62</v>
      </c>
    </row>
    <row r="8" spans="1:13" ht="13.5" x14ac:dyDescent="0.25">
      <c r="A8" s="21">
        <v>6</v>
      </c>
      <c r="B8" s="21">
        <v>1</v>
      </c>
      <c r="C8" s="21" t="s">
        <v>20</v>
      </c>
      <c r="D8" s="21" t="s">
        <v>20</v>
      </c>
      <c r="E8" s="21" t="s">
        <v>20</v>
      </c>
      <c r="F8" s="70">
        <v>174220</v>
      </c>
      <c r="G8" s="70">
        <v>170909.82</v>
      </c>
      <c r="H8" s="70">
        <v>179257.43000000002</v>
      </c>
      <c r="I8" s="70">
        <v>197860</v>
      </c>
      <c r="J8" s="70">
        <v>18756.12</v>
      </c>
      <c r="K8" s="70"/>
      <c r="L8" s="71">
        <f t="shared" si="0"/>
        <v>-18756.12</v>
      </c>
    </row>
    <row r="9" spans="1:13" ht="13.5" x14ac:dyDescent="0.25">
      <c r="A9" s="21">
        <v>7</v>
      </c>
      <c r="B9" s="21">
        <v>1</v>
      </c>
      <c r="C9" s="21" t="s">
        <v>21</v>
      </c>
      <c r="D9" s="21" t="s">
        <v>21</v>
      </c>
      <c r="E9" s="21" t="s">
        <v>21</v>
      </c>
      <c r="F9" s="70">
        <v>2505</v>
      </c>
      <c r="G9" s="70">
        <v>2457.4</v>
      </c>
      <c r="H9" s="70">
        <v>2811.5</v>
      </c>
      <c r="I9" s="70">
        <v>2925</v>
      </c>
      <c r="J9" s="70"/>
      <c r="K9" s="70">
        <v>490.54</v>
      </c>
      <c r="L9" s="71">
        <f t="shared" si="0"/>
        <v>490.54</v>
      </c>
    </row>
    <row r="10" spans="1:13" ht="13.5" x14ac:dyDescent="0.25">
      <c r="A10" s="21">
        <v>8</v>
      </c>
      <c r="B10" s="21">
        <v>1</v>
      </c>
      <c r="C10" s="21" t="s">
        <v>22</v>
      </c>
      <c r="D10" s="21" t="s">
        <v>22</v>
      </c>
      <c r="E10" s="21" t="s">
        <v>22</v>
      </c>
      <c r="F10" s="70">
        <v>42962</v>
      </c>
      <c r="G10" s="70">
        <v>42145.72</v>
      </c>
      <c r="H10" s="70">
        <v>35026.28</v>
      </c>
      <c r="I10" s="70">
        <v>37814</v>
      </c>
      <c r="J10" s="70"/>
      <c r="K10" s="70">
        <v>23990.639999999999</v>
      </c>
      <c r="L10" s="71">
        <f t="shared" si="0"/>
        <v>23990.639999999999</v>
      </c>
    </row>
    <row r="11" spans="1:13" ht="13.5" x14ac:dyDescent="0.25">
      <c r="A11" s="21">
        <v>9</v>
      </c>
      <c r="B11" s="21">
        <v>1</v>
      </c>
      <c r="C11" s="21" t="s">
        <v>23</v>
      </c>
      <c r="D11" s="21" t="s">
        <v>23</v>
      </c>
      <c r="E11" s="21" t="s">
        <v>23</v>
      </c>
      <c r="F11" s="70">
        <v>16170</v>
      </c>
      <c r="G11" s="70">
        <v>15862.77</v>
      </c>
      <c r="H11" s="70">
        <v>19817.920000000002</v>
      </c>
      <c r="I11" s="70">
        <v>13715</v>
      </c>
      <c r="J11" s="70"/>
      <c r="K11" s="70">
        <v>6199.93</v>
      </c>
      <c r="L11" s="71">
        <f t="shared" si="0"/>
        <v>6199.93</v>
      </c>
    </row>
    <row r="12" spans="1:13" ht="13.5" x14ac:dyDescent="0.25">
      <c r="A12" s="21">
        <v>10</v>
      </c>
      <c r="B12" s="21">
        <v>1</v>
      </c>
      <c r="C12" s="21" t="s">
        <v>24</v>
      </c>
      <c r="D12" s="21" t="s">
        <v>24</v>
      </c>
      <c r="E12" s="21" t="s">
        <v>24</v>
      </c>
      <c r="F12" s="70">
        <v>15822.35</v>
      </c>
      <c r="G12" s="70">
        <v>15521.73</v>
      </c>
      <c r="H12" s="70">
        <v>14700.34</v>
      </c>
      <c r="I12" s="70">
        <v>14050</v>
      </c>
      <c r="J12" s="70"/>
      <c r="K12" s="70">
        <v>5607.65</v>
      </c>
      <c r="L12" s="71">
        <f t="shared" si="0"/>
        <v>5607.65</v>
      </c>
    </row>
    <row r="13" spans="1:13" ht="13.5" x14ac:dyDescent="0.25">
      <c r="A13" s="21">
        <v>11</v>
      </c>
      <c r="B13" s="21">
        <v>1</v>
      </c>
      <c r="C13" s="21" t="s">
        <v>25</v>
      </c>
      <c r="D13" s="21" t="s">
        <v>25</v>
      </c>
      <c r="E13" s="21" t="s">
        <v>25</v>
      </c>
      <c r="F13" s="70">
        <v>69609.62</v>
      </c>
      <c r="G13" s="70">
        <v>68287.039999999994</v>
      </c>
      <c r="H13" s="70">
        <v>51866.71</v>
      </c>
      <c r="I13" s="70">
        <v>61570</v>
      </c>
      <c r="J13" s="70"/>
      <c r="K13" s="70">
        <v>21154.67</v>
      </c>
      <c r="L13" s="71">
        <f t="shared" si="0"/>
        <v>21154.67</v>
      </c>
    </row>
    <row r="14" spans="1:13" ht="13.5" x14ac:dyDescent="0.25">
      <c r="A14" s="21">
        <v>12</v>
      </c>
      <c r="B14" s="21">
        <v>1</v>
      </c>
      <c r="C14" s="21" t="s">
        <v>26</v>
      </c>
      <c r="D14" s="21" t="s">
        <v>26</v>
      </c>
      <c r="E14" s="21" t="s">
        <v>26</v>
      </c>
      <c r="F14" s="70">
        <v>13240</v>
      </c>
      <c r="G14" s="70">
        <v>12988.44</v>
      </c>
      <c r="H14" s="70">
        <v>16979.71</v>
      </c>
      <c r="I14" s="70">
        <v>13968</v>
      </c>
      <c r="J14" s="70"/>
      <c r="K14" s="70">
        <v>9046.94</v>
      </c>
      <c r="L14" s="71">
        <f t="shared" si="0"/>
        <v>9046.94</v>
      </c>
    </row>
    <row r="15" spans="1:13" ht="13.5" x14ac:dyDescent="0.25">
      <c r="A15" s="21">
        <v>13</v>
      </c>
      <c r="B15" s="21">
        <v>1</v>
      </c>
      <c r="C15" s="21" t="s">
        <v>97</v>
      </c>
      <c r="D15" s="21" t="s">
        <v>112</v>
      </c>
      <c r="E15" s="21" t="s">
        <v>112</v>
      </c>
      <c r="F15" s="70">
        <v>282058.27</v>
      </c>
      <c r="G15" s="70">
        <v>276699.16000000003</v>
      </c>
      <c r="H15" s="70">
        <v>309380.65999999997</v>
      </c>
      <c r="I15" s="70">
        <v>301789</v>
      </c>
      <c r="J15" s="70"/>
      <c r="K15" s="70">
        <v>65750.820000000007</v>
      </c>
      <c r="L15" s="71">
        <f t="shared" si="0"/>
        <v>65750.820000000007</v>
      </c>
    </row>
    <row r="16" spans="1:13" ht="13.5" x14ac:dyDescent="0.25">
      <c r="A16" s="21">
        <v>14</v>
      </c>
      <c r="B16" s="21">
        <v>1</v>
      </c>
      <c r="C16" s="21" t="s">
        <v>27</v>
      </c>
      <c r="D16" s="21" t="s">
        <v>27</v>
      </c>
      <c r="E16" s="21" t="s">
        <v>27</v>
      </c>
      <c r="F16" s="70">
        <v>6025</v>
      </c>
      <c r="G16" s="70">
        <v>5910.52</v>
      </c>
      <c r="H16" s="70">
        <v>8162.07</v>
      </c>
      <c r="I16" s="70">
        <v>9200</v>
      </c>
      <c r="J16" s="70">
        <v>77.11</v>
      </c>
      <c r="K16" s="70"/>
      <c r="L16" s="71">
        <f t="shared" si="0"/>
        <v>-77.11</v>
      </c>
    </row>
    <row r="17" spans="1:12" ht="13.5" x14ac:dyDescent="0.25">
      <c r="A17" s="21">
        <v>15</v>
      </c>
      <c r="B17" s="21">
        <v>1</v>
      </c>
      <c r="C17" s="21" t="s">
        <v>28</v>
      </c>
      <c r="D17" s="21" t="s">
        <v>28</v>
      </c>
      <c r="E17" s="21" t="s">
        <v>28</v>
      </c>
      <c r="F17" s="70">
        <v>2725</v>
      </c>
      <c r="G17" s="70">
        <v>2673.22</v>
      </c>
      <c r="H17" s="70">
        <v>0</v>
      </c>
      <c r="I17" s="70">
        <v>3185</v>
      </c>
      <c r="J17" s="70"/>
      <c r="K17" s="70">
        <v>4817.2</v>
      </c>
      <c r="L17" s="71">
        <f t="shared" si="0"/>
        <v>4817.2</v>
      </c>
    </row>
    <row r="18" spans="1:12" ht="13.5" x14ac:dyDescent="0.25">
      <c r="A18" s="21">
        <v>16</v>
      </c>
      <c r="B18" s="21">
        <v>1</v>
      </c>
      <c r="C18" s="21" t="s">
        <v>29</v>
      </c>
      <c r="D18" s="21" t="s">
        <v>29</v>
      </c>
      <c r="E18" s="21" t="s">
        <v>29</v>
      </c>
      <c r="F18" s="70">
        <v>104554.09</v>
      </c>
      <c r="G18" s="70">
        <v>102567.56</v>
      </c>
      <c r="H18" s="70">
        <v>102518.61</v>
      </c>
      <c r="I18" s="70">
        <v>107817</v>
      </c>
      <c r="J18" s="70"/>
      <c r="K18" s="70">
        <v>12824.65</v>
      </c>
      <c r="L18" s="71">
        <f t="shared" si="0"/>
        <v>12824.65</v>
      </c>
    </row>
    <row r="19" spans="1:12" ht="13.5" x14ac:dyDescent="0.25">
      <c r="A19" s="21">
        <v>17</v>
      </c>
      <c r="B19" s="21">
        <v>1</v>
      </c>
      <c r="C19" s="21" t="s">
        <v>30</v>
      </c>
      <c r="D19" s="21" t="s">
        <v>30</v>
      </c>
      <c r="E19" s="21" t="s">
        <v>30</v>
      </c>
      <c r="F19" s="70">
        <v>76862</v>
      </c>
      <c r="G19" s="70">
        <v>75401.62</v>
      </c>
      <c r="H19" s="70">
        <v>73775.12000000001</v>
      </c>
      <c r="I19" s="70">
        <v>72733</v>
      </c>
      <c r="J19" s="70"/>
      <c r="K19" s="70">
        <v>4649.6000000000004</v>
      </c>
      <c r="L19" s="71">
        <f t="shared" si="0"/>
        <v>4649.6000000000004</v>
      </c>
    </row>
    <row r="20" spans="1:12" ht="13.5" x14ac:dyDescent="0.25">
      <c r="A20" s="21">
        <v>18</v>
      </c>
      <c r="B20" s="21">
        <v>1</v>
      </c>
      <c r="C20" s="21" t="s">
        <v>31</v>
      </c>
      <c r="D20" s="21" t="s">
        <v>31</v>
      </c>
      <c r="E20" s="21" t="s">
        <v>31</v>
      </c>
      <c r="F20" s="70">
        <v>15346</v>
      </c>
      <c r="G20" s="70">
        <v>15054.43</v>
      </c>
      <c r="H20" s="70">
        <v>16810.170000000002</v>
      </c>
      <c r="I20" s="70">
        <v>15255</v>
      </c>
      <c r="J20" s="70"/>
      <c r="K20" s="70">
        <v>130.03</v>
      </c>
      <c r="L20" s="71">
        <f t="shared" si="0"/>
        <v>130.03</v>
      </c>
    </row>
    <row r="21" spans="1:12" ht="13.5" x14ac:dyDescent="0.25">
      <c r="A21" s="21">
        <v>19</v>
      </c>
      <c r="B21" s="21">
        <v>1</v>
      </c>
      <c r="C21" s="21" t="s">
        <v>32</v>
      </c>
      <c r="D21" s="21" t="s">
        <v>32</v>
      </c>
      <c r="E21" s="21" t="s">
        <v>32</v>
      </c>
      <c r="F21" s="70">
        <v>5331.96</v>
      </c>
      <c r="G21" s="70">
        <v>5230.6499999999996</v>
      </c>
      <c r="H21" s="70">
        <v>2925.47</v>
      </c>
      <c r="I21" s="70">
        <v>3816</v>
      </c>
      <c r="J21" s="70"/>
      <c r="K21" s="70">
        <v>2516.8200000000002</v>
      </c>
      <c r="L21" s="71">
        <f t="shared" si="0"/>
        <v>2516.8200000000002</v>
      </c>
    </row>
    <row r="22" spans="1:12" ht="13.5" x14ac:dyDescent="0.25">
      <c r="A22" s="21">
        <v>20</v>
      </c>
      <c r="B22" s="21">
        <v>1</v>
      </c>
      <c r="C22" s="21" t="s">
        <v>33</v>
      </c>
      <c r="D22" s="21" t="s">
        <v>33</v>
      </c>
      <c r="E22" s="21" t="s">
        <v>33</v>
      </c>
      <c r="F22" s="70">
        <v>14709.060000000001</v>
      </c>
      <c r="G22" s="70">
        <v>14429.590000000002</v>
      </c>
      <c r="H22" s="70">
        <v>19586.91</v>
      </c>
      <c r="I22" s="70">
        <v>14552</v>
      </c>
      <c r="J22" s="70"/>
      <c r="K22" s="70">
        <v>4908.1499999999996</v>
      </c>
      <c r="L22" s="71">
        <f t="shared" si="0"/>
        <v>4908.1499999999996</v>
      </c>
    </row>
    <row r="23" spans="1:12" ht="13.5" x14ac:dyDescent="0.25">
      <c r="A23" s="21">
        <v>21</v>
      </c>
      <c r="B23" s="21">
        <v>1</v>
      </c>
      <c r="C23" s="21" t="s">
        <v>34</v>
      </c>
      <c r="D23" s="21" t="s">
        <v>34</v>
      </c>
      <c r="E23" s="21" t="s">
        <v>34</v>
      </c>
      <c r="F23" s="70">
        <v>2400</v>
      </c>
      <c r="G23" s="70">
        <v>2354.4</v>
      </c>
      <c r="H23" s="70">
        <v>1440.8600000000001</v>
      </c>
      <c r="I23" s="70">
        <v>1025</v>
      </c>
      <c r="J23" s="70"/>
      <c r="K23" s="70">
        <v>4499.79</v>
      </c>
      <c r="L23" s="71">
        <f t="shared" si="0"/>
        <v>4499.79</v>
      </c>
    </row>
    <row r="24" spans="1:12" ht="13.5" x14ac:dyDescent="0.25">
      <c r="A24" s="21">
        <v>22</v>
      </c>
      <c r="B24" s="21">
        <v>1</v>
      </c>
      <c r="C24" s="21" t="s">
        <v>35</v>
      </c>
      <c r="D24" s="21" t="s">
        <v>35</v>
      </c>
      <c r="E24" s="21" t="s">
        <v>35</v>
      </c>
      <c r="F24" s="70">
        <v>5004.46</v>
      </c>
      <c r="G24" s="70">
        <v>4909.38</v>
      </c>
      <c r="H24" s="70">
        <v>4742.6099999999997</v>
      </c>
      <c r="I24" s="70">
        <v>4687</v>
      </c>
      <c r="J24" s="70"/>
      <c r="K24" s="70">
        <v>324.36</v>
      </c>
      <c r="L24" s="71">
        <f t="shared" si="0"/>
        <v>324.36</v>
      </c>
    </row>
    <row r="25" spans="1:12" ht="13.5" x14ac:dyDescent="0.25">
      <c r="A25" s="21">
        <v>23</v>
      </c>
      <c r="B25" s="21">
        <v>1</v>
      </c>
      <c r="C25" s="21" t="s">
        <v>36</v>
      </c>
      <c r="D25" s="21" t="s">
        <v>36</v>
      </c>
      <c r="E25" s="21" t="s">
        <v>36</v>
      </c>
      <c r="F25" s="70">
        <v>5311.58</v>
      </c>
      <c r="G25" s="70">
        <v>5210.66</v>
      </c>
      <c r="H25" s="70">
        <v>5654.0199999999995</v>
      </c>
      <c r="I25" s="70">
        <v>5020</v>
      </c>
      <c r="J25" s="70"/>
      <c r="K25" s="70">
        <v>141.44999999999999</v>
      </c>
      <c r="L25" s="71">
        <f t="shared" si="0"/>
        <v>141.44999999999999</v>
      </c>
    </row>
    <row r="26" spans="1:12" ht="13.5" x14ac:dyDescent="0.25">
      <c r="A26" s="21">
        <v>24</v>
      </c>
      <c r="B26" s="21">
        <v>1</v>
      </c>
      <c r="C26" s="21" t="s">
        <v>37</v>
      </c>
      <c r="D26" s="21" t="s">
        <v>37</v>
      </c>
      <c r="E26" s="21" t="s">
        <v>37</v>
      </c>
      <c r="F26" s="70">
        <v>1914</v>
      </c>
      <c r="G26" s="70">
        <v>1877.63</v>
      </c>
      <c r="H26" s="70">
        <v>5578.32</v>
      </c>
      <c r="I26" s="70">
        <v>4807</v>
      </c>
      <c r="J26" s="70">
        <v>1457.77</v>
      </c>
      <c r="K26" s="70"/>
      <c r="L26" s="71">
        <f t="shared" si="0"/>
        <v>-1457.77</v>
      </c>
    </row>
    <row r="27" spans="1:12" ht="13.5" x14ac:dyDescent="0.25">
      <c r="A27" s="21">
        <v>25</v>
      </c>
      <c r="B27" s="21">
        <v>1</v>
      </c>
      <c r="C27" s="21" t="s">
        <v>38</v>
      </c>
      <c r="D27" s="21" t="s">
        <v>38</v>
      </c>
      <c r="E27" s="21" t="s">
        <v>38</v>
      </c>
      <c r="F27" s="70">
        <v>5500</v>
      </c>
      <c r="G27" s="70">
        <v>5395.5</v>
      </c>
      <c r="H27" s="70">
        <v>7385.07</v>
      </c>
      <c r="I27" s="70">
        <v>4960</v>
      </c>
      <c r="J27" s="70">
        <v>2550.5100000000002</v>
      </c>
      <c r="K27" s="70"/>
      <c r="L27" s="71">
        <f t="shared" si="0"/>
        <v>-2550.5100000000002</v>
      </c>
    </row>
    <row r="28" spans="1:12" ht="13.5" x14ac:dyDescent="0.25">
      <c r="A28" s="21">
        <v>26</v>
      </c>
      <c r="B28" s="21">
        <v>1</v>
      </c>
      <c r="C28" s="21" t="s">
        <v>39</v>
      </c>
      <c r="D28" s="21" t="s">
        <v>39</v>
      </c>
      <c r="E28" s="21" t="s">
        <v>39</v>
      </c>
      <c r="F28" s="70">
        <v>12105</v>
      </c>
      <c r="G28" s="70">
        <v>11875</v>
      </c>
      <c r="H28" s="70">
        <v>16319.01</v>
      </c>
      <c r="I28" s="70">
        <v>12405</v>
      </c>
      <c r="J28" s="70"/>
      <c r="K28" s="70">
        <v>71.08</v>
      </c>
      <c r="L28" s="71">
        <f t="shared" si="0"/>
        <v>71.08</v>
      </c>
    </row>
    <row r="29" spans="1:12" ht="13.5" x14ac:dyDescent="0.25">
      <c r="A29" s="21">
        <v>27</v>
      </c>
      <c r="B29" s="21">
        <v>1</v>
      </c>
      <c r="C29" s="21" t="s">
        <v>40</v>
      </c>
      <c r="D29" s="21" t="s">
        <v>40</v>
      </c>
      <c r="E29" s="21" t="s">
        <v>40</v>
      </c>
      <c r="F29" s="70">
        <v>41692.58</v>
      </c>
      <c r="G29" s="70">
        <v>40900.42</v>
      </c>
      <c r="H29" s="70">
        <v>37677.97</v>
      </c>
      <c r="I29" s="70">
        <v>30310</v>
      </c>
      <c r="J29" s="70"/>
      <c r="K29" s="70">
        <v>7795.24</v>
      </c>
      <c r="L29" s="71">
        <f t="shared" si="0"/>
        <v>7795.24</v>
      </c>
    </row>
    <row r="30" spans="1:12" ht="13.5" x14ac:dyDescent="0.25">
      <c r="A30" s="21">
        <v>28</v>
      </c>
      <c r="B30" s="21">
        <v>1</v>
      </c>
      <c r="C30" s="21" t="s">
        <v>41</v>
      </c>
      <c r="D30" s="21" t="s">
        <v>41</v>
      </c>
      <c r="E30" s="21" t="s">
        <v>41</v>
      </c>
      <c r="F30" s="70">
        <v>22140</v>
      </c>
      <c r="G30" s="70">
        <v>21719.34</v>
      </c>
      <c r="H30" s="70">
        <v>26467.95</v>
      </c>
      <c r="I30" s="70">
        <v>21610</v>
      </c>
      <c r="J30" s="70"/>
      <c r="K30" s="70">
        <v>3865.32</v>
      </c>
      <c r="L30" s="71">
        <f t="shared" si="0"/>
        <v>3865.32</v>
      </c>
    </row>
    <row r="31" spans="1:12" ht="13.5" x14ac:dyDescent="0.25">
      <c r="A31" s="21">
        <v>29</v>
      </c>
      <c r="B31" s="21">
        <v>1</v>
      </c>
      <c r="C31" s="21" t="s">
        <v>42</v>
      </c>
      <c r="D31" s="21" t="s">
        <v>42</v>
      </c>
      <c r="E31" s="21" t="s">
        <v>42</v>
      </c>
      <c r="F31" s="70">
        <v>120915</v>
      </c>
      <c r="G31" s="70">
        <v>118617.61</v>
      </c>
      <c r="H31" s="70">
        <v>132086.13</v>
      </c>
      <c r="I31" s="70">
        <v>112300</v>
      </c>
      <c r="J31" s="70">
        <v>1896.27</v>
      </c>
      <c r="K31" s="70"/>
      <c r="L31" s="71">
        <f t="shared" si="0"/>
        <v>-1896.27</v>
      </c>
    </row>
    <row r="32" spans="1:12" ht="13.5" x14ac:dyDescent="0.25">
      <c r="A32" s="21">
        <v>30</v>
      </c>
      <c r="B32" s="21">
        <v>1</v>
      </c>
      <c r="C32" s="21" t="s">
        <v>43</v>
      </c>
      <c r="D32" s="21" t="s">
        <v>43</v>
      </c>
      <c r="E32" s="21" t="s">
        <v>43</v>
      </c>
      <c r="F32" s="70">
        <v>6192</v>
      </c>
      <c r="G32" s="70">
        <v>6074.35</v>
      </c>
      <c r="H32" s="70">
        <v>5494.63</v>
      </c>
      <c r="I32" s="70">
        <v>5026</v>
      </c>
      <c r="J32" s="70">
        <v>579.72</v>
      </c>
      <c r="K32" s="70"/>
      <c r="L32" s="71">
        <f t="shared" si="0"/>
        <v>-579.72</v>
      </c>
    </row>
    <row r="33" spans="1:12" ht="13.5" x14ac:dyDescent="0.25">
      <c r="A33" s="21">
        <v>31</v>
      </c>
      <c r="B33" s="21">
        <v>1</v>
      </c>
      <c r="C33" s="21" t="s">
        <v>44</v>
      </c>
      <c r="D33" s="21" t="s">
        <v>44</v>
      </c>
      <c r="E33" s="21" t="s">
        <v>44</v>
      </c>
      <c r="F33" s="70">
        <v>48145.4</v>
      </c>
      <c r="G33" s="70">
        <v>47230.64</v>
      </c>
      <c r="H33" s="70">
        <v>62131.060000000005</v>
      </c>
      <c r="I33" s="70">
        <v>37407</v>
      </c>
      <c r="J33" s="70"/>
      <c r="K33" s="70">
        <v>8826.32</v>
      </c>
      <c r="L33" s="71">
        <f t="shared" si="0"/>
        <v>8826.32</v>
      </c>
    </row>
    <row r="34" spans="1:12" ht="13.5" x14ac:dyDescent="0.25">
      <c r="A34" s="21">
        <v>32</v>
      </c>
      <c r="B34" s="21">
        <v>1</v>
      </c>
      <c r="C34" s="21" t="s">
        <v>45</v>
      </c>
      <c r="D34" s="21" t="s">
        <v>45</v>
      </c>
      <c r="E34" s="21" t="s">
        <v>45</v>
      </c>
      <c r="F34" s="70">
        <v>7250</v>
      </c>
      <c r="G34" s="70">
        <v>7112.25</v>
      </c>
      <c r="H34" s="70">
        <v>6983.75</v>
      </c>
      <c r="I34" s="70">
        <v>7250</v>
      </c>
      <c r="J34" s="70">
        <v>1270</v>
      </c>
      <c r="K34" s="70"/>
      <c r="L34" s="71">
        <f t="shared" si="0"/>
        <v>-1270</v>
      </c>
    </row>
    <row r="35" spans="1:12" ht="13.5" x14ac:dyDescent="0.25">
      <c r="A35" s="21">
        <v>33</v>
      </c>
      <c r="B35" s="21">
        <v>1</v>
      </c>
      <c r="C35" s="21" t="s">
        <v>46</v>
      </c>
      <c r="D35" s="21" t="s">
        <v>46</v>
      </c>
      <c r="E35" s="21" t="s">
        <v>46</v>
      </c>
      <c r="F35" s="70">
        <v>5850.82</v>
      </c>
      <c r="G35" s="70">
        <v>5739.65</v>
      </c>
      <c r="H35" s="70">
        <v>7514.02</v>
      </c>
      <c r="I35" s="70">
        <v>6185</v>
      </c>
      <c r="J35" s="70">
        <v>1938.5</v>
      </c>
      <c r="K35" s="70"/>
      <c r="L35" s="71">
        <f t="shared" si="0"/>
        <v>-1938.5</v>
      </c>
    </row>
    <row r="36" spans="1:12" ht="13.5" x14ac:dyDescent="0.25">
      <c r="A36" s="21">
        <v>34</v>
      </c>
      <c r="B36" s="21">
        <v>1</v>
      </c>
      <c r="C36" s="21" t="s">
        <v>47</v>
      </c>
      <c r="D36" s="21" t="s">
        <v>47</v>
      </c>
      <c r="E36" s="21" t="s">
        <v>47</v>
      </c>
      <c r="F36" s="70">
        <v>0</v>
      </c>
      <c r="G36" s="70">
        <v>0</v>
      </c>
      <c r="H36" s="70">
        <v>1797.3</v>
      </c>
      <c r="I36" s="70">
        <v>1395</v>
      </c>
      <c r="J36" s="70"/>
      <c r="K36" s="70">
        <v>1370.54</v>
      </c>
      <c r="L36" s="71">
        <f t="shared" si="0"/>
        <v>1370.54</v>
      </c>
    </row>
    <row r="37" spans="1:12" ht="13.5" x14ac:dyDescent="0.25">
      <c r="A37" s="21">
        <v>35</v>
      </c>
      <c r="B37" s="21">
        <v>1</v>
      </c>
      <c r="C37" s="21" t="s">
        <v>48</v>
      </c>
      <c r="D37" s="21" t="s">
        <v>48</v>
      </c>
      <c r="E37" s="21" t="s">
        <v>48</v>
      </c>
      <c r="F37" s="70">
        <v>54145</v>
      </c>
      <c r="G37" s="70">
        <v>53116.24</v>
      </c>
      <c r="H37" s="70">
        <v>51564.229999999996</v>
      </c>
      <c r="I37" s="70">
        <v>57441</v>
      </c>
      <c r="J37" s="70"/>
      <c r="K37" s="70">
        <v>12697.17</v>
      </c>
      <c r="L37" s="71">
        <f t="shared" si="0"/>
        <v>12697.17</v>
      </c>
    </row>
    <row r="38" spans="1:12" ht="13.5" x14ac:dyDescent="0.25">
      <c r="A38" s="21">
        <v>36</v>
      </c>
      <c r="B38" s="21">
        <v>1</v>
      </c>
      <c r="C38" s="21" t="s">
        <v>49</v>
      </c>
      <c r="D38" s="21" t="s">
        <v>49</v>
      </c>
      <c r="E38" s="21" t="s">
        <v>49</v>
      </c>
      <c r="F38" s="70">
        <v>66823</v>
      </c>
      <c r="G38" s="70">
        <v>65553.36</v>
      </c>
      <c r="H38" s="70">
        <v>64391.179999999993</v>
      </c>
      <c r="I38" s="70">
        <v>63484</v>
      </c>
      <c r="J38" s="70"/>
      <c r="K38" s="70">
        <v>11701.96</v>
      </c>
      <c r="L38" s="71">
        <f t="shared" si="0"/>
        <v>11701.96</v>
      </c>
    </row>
    <row r="39" spans="1:12" ht="13.5" x14ac:dyDescent="0.25">
      <c r="A39" s="21">
        <v>37</v>
      </c>
      <c r="B39" s="21">
        <v>1</v>
      </c>
      <c r="C39" s="21" t="s">
        <v>50</v>
      </c>
      <c r="D39" s="21" t="s">
        <v>50</v>
      </c>
      <c r="E39" s="21" t="s">
        <v>50</v>
      </c>
      <c r="F39" s="70">
        <v>61935</v>
      </c>
      <c r="G39" s="70">
        <v>60758.23</v>
      </c>
      <c r="H39" s="70">
        <v>63582.89</v>
      </c>
      <c r="I39" s="70">
        <v>61941</v>
      </c>
      <c r="J39" s="70"/>
      <c r="K39" s="70">
        <v>1242.03</v>
      </c>
      <c r="L39" s="71">
        <f t="shared" si="0"/>
        <v>1242.03</v>
      </c>
    </row>
    <row r="40" spans="1:12" ht="13.5" x14ac:dyDescent="0.25">
      <c r="A40" s="21">
        <v>38</v>
      </c>
      <c r="B40" s="21">
        <v>1</v>
      </c>
      <c r="C40" s="21" t="s">
        <v>51</v>
      </c>
      <c r="D40" s="21" t="s">
        <v>51</v>
      </c>
      <c r="E40" s="21" t="s">
        <v>51</v>
      </c>
      <c r="F40" s="70">
        <v>17060</v>
      </c>
      <c r="G40" s="70">
        <v>16735.86</v>
      </c>
      <c r="H40" s="70">
        <v>16426.93</v>
      </c>
      <c r="I40" s="70">
        <v>17316</v>
      </c>
      <c r="J40" s="70"/>
      <c r="K40" s="70">
        <v>3690.38</v>
      </c>
      <c r="L40" s="71">
        <f t="shared" si="0"/>
        <v>3690.38</v>
      </c>
    </row>
    <row r="41" spans="1:12" ht="13.5" x14ac:dyDescent="0.25">
      <c r="A41" s="21">
        <v>39</v>
      </c>
      <c r="B41" s="21">
        <v>1</v>
      </c>
      <c r="C41" s="21" t="s">
        <v>52</v>
      </c>
      <c r="D41" s="21" t="s">
        <v>52</v>
      </c>
      <c r="E41" s="21" t="s">
        <v>52</v>
      </c>
      <c r="F41" s="70">
        <v>2268</v>
      </c>
      <c r="G41" s="70">
        <v>2224.91</v>
      </c>
      <c r="H41" s="70">
        <v>3065.37</v>
      </c>
      <c r="I41" s="70">
        <v>2101</v>
      </c>
      <c r="J41" s="70"/>
      <c r="K41" s="70">
        <v>531.39</v>
      </c>
      <c r="L41" s="71">
        <f t="shared" si="0"/>
        <v>531.39</v>
      </c>
    </row>
    <row r="42" spans="1:12" ht="13.5" x14ac:dyDescent="0.25">
      <c r="A42" s="21">
        <v>40</v>
      </c>
      <c r="B42" s="21">
        <v>1</v>
      </c>
      <c r="C42" s="21" t="s">
        <v>53</v>
      </c>
      <c r="D42" s="21" t="s">
        <v>53</v>
      </c>
      <c r="E42" s="21" t="s">
        <v>53</v>
      </c>
      <c r="F42" s="70">
        <v>2458.42</v>
      </c>
      <c r="G42" s="70">
        <v>2411.71</v>
      </c>
      <c r="H42" s="70">
        <v>2051.6</v>
      </c>
      <c r="I42" s="70">
        <v>2463</v>
      </c>
      <c r="J42" s="70"/>
      <c r="K42" s="70">
        <v>2068.85</v>
      </c>
      <c r="L42" s="71">
        <f t="shared" si="0"/>
        <v>2068.85</v>
      </c>
    </row>
    <row r="43" spans="1:12" ht="13.5" x14ac:dyDescent="0.25">
      <c r="A43" s="21">
        <v>41</v>
      </c>
      <c r="B43" s="21">
        <v>1</v>
      </c>
      <c r="C43" s="21" t="s">
        <v>54</v>
      </c>
      <c r="D43" s="21" t="s">
        <v>54</v>
      </c>
      <c r="E43" s="21" t="s">
        <v>54</v>
      </c>
      <c r="F43" s="70">
        <v>35254.959999999999</v>
      </c>
      <c r="G43" s="70">
        <v>34585.120000000003</v>
      </c>
      <c r="H43" s="70">
        <v>36531.149999999994</v>
      </c>
      <c r="I43" s="70">
        <v>36771</v>
      </c>
      <c r="J43" s="70">
        <v>14793</v>
      </c>
      <c r="K43" s="70"/>
      <c r="L43" s="71">
        <f t="shared" si="0"/>
        <v>-14793</v>
      </c>
    </row>
    <row r="44" spans="1:12" ht="13.5" x14ac:dyDescent="0.25">
      <c r="A44" s="21">
        <v>42</v>
      </c>
      <c r="B44" s="21">
        <v>1</v>
      </c>
      <c r="C44" s="21" t="s">
        <v>55</v>
      </c>
      <c r="D44" s="21" t="s">
        <v>55</v>
      </c>
      <c r="E44" s="21" t="s">
        <v>55</v>
      </c>
      <c r="F44" s="70">
        <v>50836.119999999995</v>
      </c>
      <c r="G44" s="70">
        <v>49870.229999999996</v>
      </c>
      <c r="H44" s="70">
        <v>51978.11</v>
      </c>
      <c r="I44" s="70">
        <v>58002</v>
      </c>
      <c r="J44" s="70">
        <v>5923.42</v>
      </c>
      <c r="K44" s="70"/>
      <c r="L44" s="71">
        <f t="shared" si="0"/>
        <v>-5923.42</v>
      </c>
    </row>
    <row r="45" spans="1:12" ht="13.5" x14ac:dyDescent="0.25">
      <c r="A45" s="21">
        <v>43</v>
      </c>
      <c r="B45" s="21">
        <v>1</v>
      </c>
      <c r="C45" s="21" t="s">
        <v>56</v>
      </c>
      <c r="D45" s="21" t="s">
        <v>56</v>
      </c>
      <c r="E45" s="21" t="s">
        <v>56</v>
      </c>
      <c r="F45" s="70">
        <v>35792.82</v>
      </c>
      <c r="G45" s="70">
        <v>35112.76</v>
      </c>
      <c r="H45" s="70">
        <v>30448.049999999996</v>
      </c>
      <c r="I45" s="70">
        <v>36323</v>
      </c>
      <c r="J45" s="70"/>
      <c r="K45" s="70">
        <v>21038.3</v>
      </c>
      <c r="L45" s="71">
        <f t="shared" si="0"/>
        <v>21038.3</v>
      </c>
    </row>
    <row r="46" spans="1:12" ht="13.5" x14ac:dyDescent="0.25">
      <c r="A46" s="21">
        <v>44</v>
      </c>
      <c r="B46" s="21">
        <v>1</v>
      </c>
      <c r="C46" s="21" t="s">
        <v>57</v>
      </c>
      <c r="D46" s="21" t="s">
        <v>57</v>
      </c>
      <c r="E46" s="21" t="s">
        <v>57</v>
      </c>
      <c r="F46" s="70">
        <v>34434.04</v>
      </c>
      <c r="G46" s="70">
        <v>33779.79</v>
      </c>
      <c r="H46" s="70">
        <v>38551.640000000007</v>
      </c>
      <c r="I46" s="70">
        <v>28769</v>
      </c>
      <c r="J46" s="70">
        <v>11546.26</v>
      </c>
      <c r="K46" s="70"/>
      <c r="L46" s="71">
        <f t="shared" si="0"/>
        <v>-11546.26</v>
      </c>
    </row>
    <row r="47" spans="1:12" ht="13.5" x14ac:dyDescent="0.25">
      <c r="A47" s="21">
        <v>45</v>
      </c>
      <c r="B47" s="21">
        <v>1</v>
      </c>
      <c r="C47" s="21" t="s">
        <v>58</v>
      </c>
      <c r="D47" s="21" t="s">
        <v>58</v>
      </c>
      <c r="E47" s="21" t="s">
        <v>58</v>
      </c>
      <c r="F47" s="70">
        <v>15340.73</v>
      </c>
      <c r="G47" s="70">
        <v>15049.26</v>
      </c>
      <c r="H47" s="70">
        <v>15049.26</v>
      </c>
      <c r="I47" s="70">
        <v>17678</v>
      </c>
      <c r="J47" s="70"/>
      <c r="K47" s="70">
        <v>1308.7</v>
      </c>
      <c r="L47" s="71">
        <f t="shared" si="0"/>
        <v>1308.7</v>
      </c>
    </row>
    <row r="48" spans="1:12" ht="13.5" x14ac:dyDescent="0.25">
      <c r="A48" s="21">
        <v>46</v>
      </c>
      <c r="B48" s="21">
        <v>1</v>
      </c>
      <c r="C48" s="21" t="s">
        <v>59</v>
      </c>
      <c r="D48" s="21" t="s">
        <v>59</v>
      </c>
      <c r="E48" s="21" t="s">
        <v>59</v>
      </c>
      <c r="F48" s="70">
        <v>27680</v>
      </c>
      <c r="G48" s="70">
        <v>27154.080000000002</v>
      </c>
      <c r="H48" s="70">
        <v>24270.120000000003</v>
      </c>
      <c r="I48" s="70">
        <v>27140</v>
      </c>
      <c r="J48" s="70">
        <v>8408.61</v>
      </c>
      <c r="K48" s="70"/>
      <c r="L48" s="71">
        <f t="shared" si="0"/>
        <v>-8408.61</v>
      </c>
    </row>
    <row r="49" spans="1:12" ht="13.5" x14ac:dyDescent="0.25">
      <c r="A49" s="21">
        <v>47</v>
      </c>
      <c r="B49" s="21">
        <v>1</v>
      </c>
      <c r="C49" s="21" t="s">
        <v>60</v>
      </c>
      <c r="D49" s="21" t="s">
        <v>60</v>
      </c>
      <c r="E49" s="21" t="s">
        <v>60</v>
      </c>
      <c r="F49" s="70">
        <v>14371</v>
      </c>
      <c r="G49" s="70">
        <v>14097.95</v>
      </c>
      <c r="H49" s="70">
        <v>21908.39</v>
      </c>
      <c r="I49" s="70">
        <v>16100</v>
      </c>
      <c r="J49" s="70">
        <v>4243.8</v>
      </c>
      <c r="K49" s="70"/>
      <c r="L49" s="71">
        <f t="shared" si="0"/>
        <v>-4243.8</v>
      </c>
    </row>
    <row r="50" spans="1:12" ht="13.5" x14ac:dyDescent="0.25">
      <c r="A50" s="21">
        <v>48</v>
      </c>
      <c r="B50" s="21">
        <v>1</v>
      </c>
      <c r="C50" s="21" t="s">
        <v>61</v>
      </c>
      <c r="D50" s="21" t="s">
        <v>61</v>
      </c>
      <c r="E50" s="21" t="s">
        <v>61</v>
      </c>
      <c r="F50" s="70">
        <v>196555</v>
      </c>
      <c r="G50" s="70">
        <v>192820.45</v>
      </c>
      <c r="H50" s="70">
        <v>172462.96</v>
      </c>
      <c r="I50" s="70">
        <v>176555</v>
      </c>
      <c r="J50" s="70"/>
      <c r="K50" s="70">
        <v>9838.7099999999991</v>
      </c>
      <c r="L50" s="71">
        <f t="shared" si="0"/>
        <v>9838.7099999999991</v>
      </c>
    </row>
    <row r="51" spans="1:12" ht="13.5" x14ac:dyDescent="0.25">
      <c r="A51" s="21">
        <v>49</v>
      </c>
      <c r="B51" s="21">
        <v>1</v>
      </c>
      <c r="C51" s="21" t="s">
        <v>62</v>
      </c>
      <c r="D51" s="21" t="s">
        <v>62</v>
      </c>
      <c r="E51" s="21" t="s">
        <v>62</v>
      </c>
      <c r="F51" s="70">
        <v>88895.9</v>
      </c>
      <c r="G51" s="70">
        <v>87206.87999999999</v>
      </c>
      <c r="H51" s="70">
        <v>60052.75</v>
      </c>
      <c r="I51" s="70">
        <v>61626</v>
      </c>
      <c r="J51" s="70"/>
      <c r="K51" s="70">
        <v>17032.759999999998</v>
      </c>
      <c r="L51" s="71">
        <f t="shared" si="0"/>
        <v>17032.759999999998</v>
      </c>
    </row>
    <row r="52" spans="1:12" ht="13.5" x14ac:dyDescent="0.25">
      <c r="A52" s="21">
        <v>50</v>
      </c>
      <c r="B52" s="21">
        <v>1</v>
      </c>
      <c r="C52" s="21" t="s">
        <v>63</v>
      </c>
      <c r="D52" s="21" t="s">
        <v>63</v>
      </c>
      <c r="E52" s="21" t="s">
        <v>63</v>
      </c>
      <c r="F52" s="70">
        <v>203314.34</v>
      </c>
      <c r="G52" s="70">
        <v>199451.37</v>
      </c>
      <c r="H52" s="70">
        <v>208712.81999999998</v>
      </c>
      <c r="I52" s="70">
        <v>179830</v>
      </c>
      <c r="J52" s="70"/>
      <c r="K52" s="70">
        <v>24359.9</v>
      </c>
      <c r="L52" s="71">
        <f t="shared" si="0"/>
        <v>24359.9</v>
      </c>
    </row>
    <row r="53" spans="1:12" ht="13.5" x14ac:dyDescent="0.25">
      <c r="A53" s="21">
        <v>51</v>
      </c>
      <c r="B53" s="21">
        <v>1</v>
      </c>
      <c r="C53" s="21" t="s">
        <v>64</v>
      </c>
      <c r="D53" s="21" t="s">
        <v>64</v>
      </c>
      <c r="E53" s="21" t="s">
        <v>64</v>
      </c>
      <c r="F53" s="70">
        <v>46898.34</v>
      </c>
      <c r="G53" s="70">
        <v>46007.27</v>
      </c>
      <c r="H53" s="70">
        <v>42283.39</v>
      </c>
      <c r="I53" s="70">
        <v>56303</v>
      </c>
      <c r="J53" s="70">
        <v>17332.689999999999</v>
      </c>
      <c r="K53" s="70"/>
      <c r="L53" s="71">
        <f t="shared" si="0"/>
        <v>-17332.689999999999</v>
      </c>
    </row>
    <row r="54" spans="1:12" ht="13.5" x14ac:dyDescent="0.25">
      <c r="A54" s="21">
        <v>52</v>
      </c>
      <c r="B54" s="21">
        <v>1</v>
      </c>
      <c r="C54" s="21" t="s">
        <v>11</v>
      </c>
      <c r="D54" s="21" t="s">
        <v>11</v>
      </c>
      <c r="E54" s="21" t="s">
        <v>11</v>
      </c>
      <c r="F54" s="70">
        <v>156217.15</v>
      </c>
      <c r="G54" s="70">
        <v>153249.01999999999</v>
      </c>
      <c r="H54" s="70">
        <v>154816.79</v>
      </c>
      <c r="I54" s="70">
        <v>147988</v>
      </c>
      <c r="J54" s="70"/>
      <c r="K54" s="70">
        <v>26590.79</v>
      </c>
      <c r="L54" s="71">
        <f t="shared" si="0"/>
        <v>26590.79</v>
      </c>
    </row>
    <row r="55" spans="1:12" ht="13.5" x14ac:dyDescent="0.25">
      <c r="A55" s="21">
        <v>53</v>
      </c>
      <c r="B55" s="21">
        <v>1</v>
      </c>
      <c r="C55" s="21" t="s">
        <v>65</v>
      </c>
      <c r="D55" s="21" t="s">
        <v>65</v>
      </c>
      <c r="E55" s="21" t="s">
        <v>65</v>
      </c>
      <c r="F55" s="70">
        <v>90000</v>
      </c>
      <c r="G55" s="70">
        <v>88290</v>
      </c>
      <c r="H55" s="70">
        <v>71183.070000000007</v>
      </c>
      <c r="I55" s="70">
        <v>80000</v>
      </c>
      <c r="J55" s="70"/>
      <c r="K55" s="70">
        <v>6141.59</v>
      </c>
      <c r="L55" s="71">
        <f t="shared" si="0"/>
        <v>6141.59</v>
      </c>
    </row>
    <row r="56" spans="1:12" ht="13.5" x14ac:dyDescent="0.25">
      <c r="A56" s="21">
        <v>54</v>
      </c>
      <c r="B56" s="21">
        <v>1</v>
      </c>
      <c r="C56" s="21" t="s">
        <v>66</v>
      </c>
      <c r="D56" s="21" t="s">
        <v>66</v>
      </c>
      <c r="E56" s="21" t="s">
        <v>66</v>
      </c>
      <c r="F56" s="70">
        <v>26350</v>
      </c>
      <c r="G56" s="70">
        <v>25849.35</v>
      </c>
      <c r="H56" s="70">
        <v>26891.440000000002</v>
      </c>
      <c r="I56" s="70">
        <v>25850</v>
      </c>
      <c r="J56" s="70"/>
      <c r="K56" s="70">
        <v>7321.13</v>
      </c>
      <c r="L56" s="71">
        <f t="shared" si="0"/>
        <v>7321.13</v>
      </c>
    </row>
    <row r="57" spans="1:12" ht="13.5" x14ac:dyDescent="0.25">
      <c r="A57" s="21">
        <v>55</v>
      </c>
      <c r="B57" s="21">
        <v>1</v>
      </c>
      <c r="C57" s="21" t="s">
        <v>67</v>
      </c>
      <c r="D57" s="21" t="s">
        <v>67</v>
      </c>
      <c r="E57" s="21" t="s">
        <v>67</v>
      </c>
      <c r="F57" s="70">
        <v>47112</v>
      </c>
      <c r="G57" s="70">
        <v>46216.87</v>
      </c>
      <c r="H57" s="70">
        <v>58880.97</v>
      </c>
      <c r="I57" s="70">
        <v>43923</v>
      </c>
      <c r="J57" s="70"/>
      <c r="K57" s="70">
        <v>1030.3800000000001</v>
      </c>
      <c r="L57" s="71">
        <f t="shared" si="0"/>
        <v>1030.3800000000001</v>
      </c>
    </row>
    <row r="58" spans="1:12" ht="13.5" x14ac:dyDescent="0.25">
      <c r="A58" s="21">
        <v>56</v>
      </c>
      <c r="B58" s="21">
        <v>1</v>
      </c>
      <c r="C58" s="21" t="s">
        <v>68</v>
      </c>
      <c r="D58" s="21" t="s">
        <v>68</v>
      </c>
      <c r="E58" s="21" t="s">
        <v>68</v>
      </c>
      <c r="F58" s="70">
        <v>84863.25</v>
      </c>
      <c r="G58" s="70">
        <v>83250.850000000006</v>
      </c>
      <c r="H58" s="70">
        <v>100070.23</v>
      </c>
      <c r="I58" s="70">
        <v>86071</v>
      </c>
      <c r="J58" s="70"/>
      <c r="K58" s="70">
        <v>1510.95</v>
      </c>
      <c r="L58" s="71">
        <f t="shared" si="0"/>
        <v>1510.95</v>
      </c>
    </row>
    <row r="59" spans="1:12" ht="13.5" x14ac:dyDescent="0.25">
      <c r="A59" s="21">
        <v>57</v>
      </c>
      <c r="B59" s="21">
        <v>1</v>
      </c>
      <c r="C59" s="21" t="s">
        <v>69</v>
      </c>
      <c r="D59" s="21" t="s">
        <v>69</v>
      </c>
      <c r="E59" s="21" t="s">
        <v>69</v>
      </c>
      <c r="F59" s="70">
        <v>51134</v>
      </c>
      <c r="G59" s="70">
        <v>50162.45</v>
      </c>
      <c r="H59" s="70">
        <v>43754.31</v>
      </c>
      <c r="I59" s="70">
        <v>53814</v>
      </c>
      <c r="J59" s="70">
        <v>250.58</v>
      </c>
      <c r="K59" s="70"/>
      <c r="L59" s="71">
        <f t="shared" si="0"/>
        <v>-250.58</v>
      </c>
    </row>
    <row r="60" spans="1:12" ht="13.5" x14ac:dyDescent="0.25">
      <c r="A60" s="21">
        <v>58</v>
      </c>
      <c r="B60" s="21">
        <v>1</v>
      </c>
      <c r="C60" s="21" t="s">
        <v>70</v>
      </c>
      <c r="D60" s="21" t="s">
        <v>113</v>
      </c>
      <c r="E60" s="21" t="s">
        <v>114</v>
      </c>
      <c r="F60" s="70">
        <v>28775</v>
      </c>
      <c r="G60" s="70">
        <v>28228.27</v>
      </c>
      <c r="H60" s="70">
        <v>27805.850000000002</v>
      </c>
      <c r="I60" s="70">
        <v>18950</v>
      </c>
      <c r="J60" s="70">
        <v>12374.8</v>
      </c>
      <c r="K60" s="70"/>
      <c r="L60" s="71">
        <f t="shared" si="0"/>
        <v>-12374.8</v>
      </c>
    </row>
    <row r="61" spans="1:12" ht="13.5" x14ac:dyDescent="0.25">
      <c r="A61" s="21">
        <v>59</v>
      </c>
      <c r="B61" s="21">
        <v>1</v>
      </c>
      <c r="C61" s="21" t="s">
        <v>84</v>
      </c>
      <c r="D61" s="21" t="s">
        <v>115</v>
      </c>
      <c r="E61" s="21" t="s">
        <v>116</v>
      </c>
      <c r="F61" s="70">
        <v>76520</v>
      </c>
      <c r="G61" s="70">
        <v>75066.12</v>
      </c>
      <c r="H61" s="70">
        <v>59889.22</v>
      </c>
      <c r="I61" s="70">
        <v>83425</v>
      </c>
      <c r="J61" s="70">
        <v>25907.05</v>
      </c>
      <c r="K61" s="70"/>
      <c r="L61" s="71">
        <f t="shared" si="0"/>
        <v>-25907.05</v>
      </c>
    </row>
    <row r="62" spans="1:12" ht="13.5" x14ac:dyDescent="0.25">
      <c r="A62" s="21">
        <v>60</v>
      </c>
      <c r="B62" s="21">
        <v>1</v>
      </c>
      <c r="C62" s="21" t="s">
        <v>71</v>
      </c>
      <c r="D62" s="21" t="s">
        <v>71</v>
      </c>
      <c r="E62" s="21" t="s">
        <v>71</v>
      </c>
      <c r="F62" s="70">
        <v>16125</v>
      </c>
      <c r="G62" s="70">
        <v>15818.62</v>
      </c>
      <c r="H62" s="70">
        <v>15818.62</v>
      </c>
      <c r="I62" s="70">
        <v>16125</v>
      </c>
      <c r="J62" s="70">
        <v>5581.86</v>
      </c>
      <c r="K62" s="70"/>
      <c r="L62" s="71">
        <f t="shared" si="0"/>
        <v>-5581.86</v>
      </c>
    </row>
    <row r="63" spans="1:12" ht="13.5" x14ac:dyDescent="0.25">
      <c r="A63" s="21">
        <v>61</v>
      </c>
      <c r="B63" s="21">
        <v>1</v>
      </c>
      <c r="C63" s="21" t="s">
        <v>72</v>
      </c>
      <c r="D63" s="21" t="s">
        <v>72</v>
      </c>
      <c r="E63" s="21" t="s">
        <v>72</v>
      </c>
      <c r="F63" s="70">
        <v>7867.28</v>
      </c>
      <c r="G63" s="70">
        <v>7717.8</v>
      </c>
      <c r="H63" s="70">
        <v>5681.82</v>
      </c>
      <c r="I63" s="70">
        <v>8403</v>
      </c>
      <c r="J63" s="70"/>
      <c r="K63" s="70">
        <v>7054.2</v>
      </c>
      <c r="L63" s="71">
        <f t="shared" si="0"/>
        <v>7054.2</v>
      </c>
    </row>
    <row r="64" spans="1:12" ht="13.5" x14ac:dyDescent="0.25">
      <c r="A64" s="21">
        <v>62</v>
      </c>
      <c r="B64" s="21">
        <v>1</v>
      </c>
      <c r="C64" s="21" t="s">
        <v>73</v>
      </c>
      <c r="D64" s="21" t="s">
        <v>73</v>
      </c>
      <c r="E64" s="21" t="s">
        <v>73</v>
      </c>
      <c r="F64" s="70">
        <v>2766.38</v>
      </c>
      <c r="G64" s="70">
        <v>2713.82</v>
      </c>
      <c r="H64" s="70">
        <v>2882.36</v>
      </c>
      <c r="I64" s="70">
        <v>2605</v>
      </c>
      <c r="J64" s="70">
        <v>963.43</v>
      </c>
      <c r="K64" s="70"/>
      <c r="L64" s="71">
        <f t="shared" si="0"/>
        <v>-963.43</v>
      </c>
    </row>
    <row r="65" spans="1:12" ht="13.5" x14ac:dyDescent="0.25">
      <c r="A65" s="21">
        <v>63</v>
      </c>
      <c r="B65" s="21">
        <v>1</v>
      </c>
      <c r="C65" s="21" t="s">
        <v>74</v>
      </c>
      <c r="D65" s="21" t="s">
        <v>74</v>
      </c>
      <c r="E65" s="21" t="s">
        <v>74</v>
      </c>
      <c r="F65" s="70">
        <v>4402</v>
      </c>
      <c r="G65" s="70">
        <v>4318.3599999999997</v>
      </c>
      <c r="H65" s="70">
        <v>1744.1399999999999</v>
      </c>
      <c r="I65" s="70">
        <v>3065</v>
      </c>
      <c r="J65" s="70"/>
      <c r="K65" s="70">
        <v>2474.96</v>
      </c>
      <c r="L65" s="71">
        <f t="shared" si="0"/>
        <v>2474.96</v>
      </c>
    </row>
    <row r="66" spans="1:12" ht="13.5" x14ac:dyDescent="0.25">
      <c r="A66" s="21">
        <v>64</v>
      </c>
      <c r="B66" s="21">
        <v>1</v>
      </c>
      <c r="C66" s="21" t="s">
        <v>75</v>
      </c>
      <c r="D66" s="21" t="s">
        <v>75</v>
      </c>
      <c r="E66" s="21" t="s">
        <v>75</v>
      </c>
      <c r="F66" s="70">
        <v>75621.81</v>
      </c>
      <c r="G66" s="70">
        <v>74185</v>
      </c>
      <c r="H66" s="70">
        <v>61745.14</v>
      </c>
      <c r="I66" s="70">
        <v>68800</v>
      </c>
      <c r="J66" s="70"/>
      <c r="K66" s="70">
        <v>10450.98</v>
      </c>
      <c r="L66" s="71">
        <f t="shared" si="0"/>
        <v>10450.98</v>
      </c>
    </row>
    <row r="67" spans="1:12" ht="13.5" x14ac:dyDescent="0.25">
      <c r="A67" s="21">
        <v>65</v>
      </c>
      <c r="B67" s="21">
        <v>1</v>
      </c>
      <c r="C67" s="21" t="s">
        <v>76</v>
      </c>
      <c r="D67" s="21" t="s">
        <v>76</v>
      </c>
      <c r="E67" s="21" t="s">
        <v>76</v>
      </c>
      <c r="F67" s="70">
        <v>8010</v>
      </c>
      <c r="G67" s="70">
        <v>7857.81</v>
      </c>
      <c r="H67" s="70">
        <v>7746.48</v>
      </c>
      <c r="I67" s="70">
        <v>8415</v>
      </c>
      <c r="J67" s="70">
        <v>5218.83</v>
      </c>
      <c r="K67" s="70"/>
      <c r="L67" s="71">
        <f t="shared" si="0"/>
        <v>-5218.83</v>
      </c>
    </row>
    <row r="68" spans="1:12" ht="13.5" x14ac:dyDescent="0.25">
      <c r="A68" s="21">
        <v>66</v>
      </c>
      <c r="B68" s="21">
        <v>1</v>
      </c>
      <c r="C68" s="21" t="s">
        <v>77</v>
      </c>
      <c r="D68" s="21" t="s">
        <v>77</v>
      </c>
      <c r="E68" s="21" t="s">
        <v>77</v>
      </c>
      <c r="F68" s="70">
        <v>16000</v>
      </c>
      <c r="G68" s="70">
        <v>15696</v>
      </c>
      <c r="H68" s="70">
        <v>16325.8</v>
      </c>
      <c r="I68" s="70">
        <v>14100</v>
      </c>
      <c r="J68" s="70"/>
      <c r="K68" s="70">
        <v>199.59</v>
      </c>
      <c r="L68" s="71">
        <f t="shared" ref="L68:L69" si="1">IF(ISBLANK(J68),(K68),-1*J68)</f>
        <v>199.59</v>
      </c>
    </row>
    <row r="69" spans="1:12" ht="13.5" x14ac:dyDescent="0.25">
      <c r="A69" s="21">
        <v>67</v>
      </c>
      <c r="B69" s="21">
        <v>1</v>
      </c>
      <c r="C69" s="21" t="s">
        <v>78</v>
      </c>
      <c r="D69" s="21" t="s">
        <v>78</v>
      </c>
      <c r="E69" s="21" t="s">
        <v>78</v>
      </c>
      <c r="F69" s="70">
        <v>12039.61</v>
      </c>
      <c r="G69" s="70">
        <v>11810.86</v>
      </c>
      <c r="H69" s="70">
        <v>17672.62</v>
      </c>
      <c r="I69" s="70">
        <v>10439</v>
      </c>
      <c r="J69" s="70">
        <v>2725.21</v>
      </c>
      <c r="K69" s="70"/>
      <c r="L69" s="71">
        <f t="shared" si="1"/>
        <v>-2725.21</v>
      </c>
    </row>
    <row r="70" spans="1:12" ht="56.25" customHeight="1" x14ac:dyDescent="0.25">
      <c r="A70" s="21"/>
      <c r="B70" s="21"/>
      <c r="C70" s="21"/>
      <c r="D70" s="21"/>
      <c r="E70" s="21"/>
    </row>
    <row r="71" spans="1:12" ht="40.5" x14ac:dyDescent="0.25">
      <c r="A71" s="23" t="s">
        <v>117</v>
      </c>
      <c r="B71" s="23" t="s">
        <v>118</v>
      </c>
      <c r="C71" s="23" t="s">
        <v>119</v>
      </c>
      <c r="D71" s="23" t="s">
        <v>118</v>
      </c>
      <c r="E71" s="23" t="s">
        <v>207</v>
      </c>
      <c r="F71" s="23" t="s">
        <v>159</v>
      </c>
      <c r="G71" s="23" t="s">
        <v>175</v>
      </c>
    </row>
    <row r="72" spans="1:12" ht="13.5" x14ac:dyDescent="0.25">
      <c r="A72" s="21">
        <v>1</v>
      </c>
      <c r="B72" s="21" t="s">
        <v>85</v>
      </c>
      <c r="C72" s="21" t="s">
        <v>206</v>
      </c>
      <c r="D72" s="14" t="s">
        <v>160</v>
      </c>
      <c r="E72" s="21" t="s">
        <v>203</v>
      </c>
      <c r="F72" s="21" t="s">
        <v>171</v>
      </c>
      <c r="G72" s="14" t="str">
        <f>RIGHT(F72,4)</f>
        <v>Qtr2</v>
      </c>
    </row>
    <row r="73" spans="1:12" ht="13.5" x14ac:dyDescent="0.25">
      <c r="A73" s="21">
        <v>2</v>
      </c>
      <c r="B73" s="21" t="s">
        <v>86</v>
      </c>
      <c r="C73" s="21" t="s">
        <v>203</v>
      </c>
      <c r="D73" s="14" t="s">
        <v>161</v>
      </c>
      <c r="E73" s="21" t="s">
        <v>203</v>
      </c>
      <c r="F73" s="21" t="s">
        <v>171</v>
      </c>
      <c r="G73" s="14" t="str">
        <f t="shared" ref="G73:G83" si="2">RIGHT(F73,4)</f>
        <v>Qtr2</v>
      </c>
    </row>
    <row r="74" spans="1:12" ht="13.5" x14ac:dyDescent="0.25">
      <c r="A74" s="21">
        <v>3</v>
      </c>
      <c r="B74" s="21" t="s">
        <v>87</v>
      </c>
      <c r="C74" s="21" t="s">
        <v>204</v>
      </c>
      <c r="D74" s="14" t="s">
        <v>162</v>
      </c>
      <c r="E74" s="21" t="s">
        <v>203</v>
      </c>
      <c r="F74" s="21" t="s">
        <v>171</v>
      </c>
      <c r="G74" s="14" t="str">
        <f t="shared" si="2"/>
        <v>Qtr2</v>
      </c>
    </row>
    <row r="75" spans="1:12" ht="13.5" x14ac:dyDescent="0.25">
      <c r="A75" s="21">
        <v>4</v>
      </c>
      <c r="B75" s="21" t="s">
        <v>88</v>
      </c>
      <c r="C75" s="21" t="s">
        <v>205</v>
      </c>
      <c r="D75" s="14" t="s">
        <v>163</v>
      </c>
      <c r="E75" s="21" t="s">
        <v>204</v>
      </c>
      <c r="F75" s="21" t="s">
        <v>172</v>
      </c>
      <c r="G75" s="14" t="str">
        <f t="shared" si="2"/>
        <v>Qtr3</v>
      </c>
    </row>
    <row r="76" spans="1:12" ht="13.5" x14ac:dyDescent="0.25">
      <c r="A76" s="21">
        <v>5</v>
      </c>
      <c r="B76" s="21" t="s">
        <v>89</v>
      </c>
      <c r="C76" s="21"/>
      <c r="D76" s="14" t="s">
        <v>164</v>
      </c>
      <c r="E76" s="21" t="s">
        <v>204</v>
      </c>
      <c r="F76" s="21" t="s">
        <v>172</v>
      </c>
      <c r="G76" s="14" t="str">
        <f t="shared" si="2"/>
        <v>Qtr3</v>
      </c>
    </row>
    <row r="77" spans="1:12" ht="13.5" x14ac:dyDescent="0.25">
      <c r="A77" s="21">
        <v>6</v>
      </c>
      <c r="B77" s="21" t="s">
        <v>90</v>
      </c>
      <c r="C77" s="21"/>
      <c r="D77" s="14" t="s">
        <v>165</v>
      </c>
      <c r="E77" s="21" t="s">
        <v>204</v>
      </c>
      <c r="F77" s="21" t="s">
        <v>172</v>
      </c>
      <c r="G77" s="14" t="str">
        <f t="shared" si="2"/>
        <v>Qtr3</v>
      </c>
    </row>
    <row r="78" spans="1:12" ht="13.5" x14ac:dyDescent="0.25">
      <c r="A78" s="21">
        <v>7</v>
      </c>
      <c r="B78" s="21" t="s">
        <v>91</v>
      </c>
      <c r="C78" s="21"/>
      <c r="D78" s="14" t="s">
        <v>166</v>
      </c>
      <c r="E78" s="21" t="s">
        <v>205</v>
      </c>
      <c r="F78" s="21" t="s">
        <v>173</v>
      </c>
      <c r="G78" s="14" t="str">
        <f t="shared" si="2"/>
        <v>Qtr4</v>
      </c>
    </row>
    <row r="79" spans="1:12" ht="13.5" x14ac:dyDescent="0.25">
      <c r="A79" s="21">
        <v>8</v>
      </c>
      <c r="B79" s="21" t="s">
        <v>92</v>
      </c>
      <c r="C79" s="21"/>
      <c r="D79" s="14" t="s">
        <v>92</v>
      </c>
      <c r="E79" s="21" t="s">
        <v>205</v>
      </c>
      <c r="F79" s="21" t="s">
        <v>173</v>
      </c>
      <c r="G79" s="14" t="str">
        <f t="shared" si="2"/>
        <v>Qtr4</v>
      </c>
    </row>
    <row r="80" spans="1:12" ht="13.5" x14ac:dyDescent="0.25">
      <c r="A80" s="21">
        <v>9</v>
      </c>
      <c r="B80" s="21" t="s">
        <v>93</v>
      </c>
      <c r="C80" s="21"/>
      <c r="D80" s="14" t="s">
        <v>167</v>
      </c>
      <c r="E80" s="21" t="s">
        <v>205</v>
      </c>
      <c r="F80" s="21" t="s">
        <v>173</v>
      </c>
      <c r="G80" s="14" t="str">
        <f t="shared" si="2"/>
        <v>Qtr4</v>
      </c>
    </row>
    <row r="81" spans="1:7" ht="13.5" x14ac:dyDescent="0.25">
      <c r="A81" s="21">
        <v>10</v>
      </c>
      <c r="B81" s="21" t="s">
        <v>94</v>
      </c>
      <c r="C81" s="21"/>
      <c r="D81" s="14" t="s">
        <v>168</v>
      </c>
      <c r="E81" s="21" t="s">
        <v>206</v>
      </c>
      <c r="F81" s="21" t="s">
        <v>174</v>
      </c>
      <c r="G81" s="14" t="str">
        <f t="shared" si="2"/>
        <v>Qtr1</v>
      </c>
    </row>
    <row r="82" spans="1:7" ht="13.5" x14ac:dyDescent="0.25">
      <c r="A82" s="21">
        <v>11</v>
      </c>
      <c r="B82" s="21" t="s">
        <v>95</v>
      </c>
      <c r="C82" s="21"/>
      <c r="D82" s="14" t="s">
        <v>169</v>
      </c>
      <c r="E82" s="21" t="s">
        <v>206</v>
      </c>
      <c r="F82" s="21" t="s">
        <v>174</v>
      </c>
      <c r="G82" s="14" t="str">
        <f t="shared" si="2"/>
        <v>Qtr1</v>
      </c>
    </row>
    <row r="83" spans="1:7" ht="13.5" x14ac:dyDescent="0.25">
      <c r="A83" s="21">
        <v>12</v>
      </c>
      <c r="B83" s="21" t="s">
        <v>96</v>
      </c>
      <c r="C83" s="21"/>
      <c r="D83" s="14" t="s">
        <v>170</v>
      </c>
      <c r="E83" s="21" t="s">
        <v>206</v>
      </c>
      <c r="F83" s="21" t="s">
        <v>174</v>
      </c>
      <c r="G83" s="14" t="str">
        <f t="shared" si="2"/>
        <v>Qtr1</v>
      </c>
    </row>
    <row r="84" spans="1:7" ht="13.5" x14ac:dyDescent="0.25">
      <c r="A84" s="21">
        <v>13</v>
      </c>
      <c r="B84" s="21"/>
      <c r="C84" s="21"/>
      <c r="D84" s="21"/>
      <c r="E84" s="21"/>
    </row>
    <row r="85" spans="1:7" ht="13.5" x14ac:dyDescent="0.25">
      <c r="A85" s="21">
        <v>14</v>
      </c>
      <c r="B85" s="21"/>
      <c r="C85" s="21"/>
      <c r="D85" s="21"/>
      <c r="E85" s="21"/>
    </row>
    <row r="86" spans="1:7" ht="13.5" x14ac:dyDescent="0.25">
      <c r="A86" s="21">
        <v>15</v>
      </c>
      <c r="B86" s="21"/>
      <c r="C86" s="21"/>
      <c r="D86" s="21"/>
      <c r="E86" s="21"/>
    </row>
  </sheetData>
  <mergeCells count="1">
    <mergeCell ref="J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zoomScale="90" zoomScaleNormal="90" zoomScaleSheetLayoutView="90" workbookViewId="0">
      <selection activeCell="F24" sqref="F24"/>
    </sheetView>
  </sheetViews>
  <sheetFormatPr defaultRowHeight="15.75" x14ac:dyDescent="0.3"/>
  <cols>
    <col min="1" max="1" width="5.6640625" style="2" customWidth="1"/>
    <col min="2" max="2" width="7.21875" style="2" customWidth="1"/>
    <col min="3" max="3" width="7.5546875" style="2" customWidth="1"/>
    <col min="4" max="4" width="33.6640625" style="2" customWidth="1"/>
    <col min="5" max="5" width="15.88671875" style="2" customWidth="1"/>
    <col min="6" max="6" width="23.6640625" style="2" customWidth="1"/>
    <col min="7" max="7" width="5.5546875" style="2" customWidth="1"/>
    <col min="8" max="8" width="32.21875" style="2" customWidth="1"/>
    <col min="9" max="16384" width="8.88671875" style="2"/>
  </cols>
  <sheetData>
    <row r="1" spans="1:13" ht="21" x14ac:dyDescent="0.3">
      <c r="A1" s="27" t="s">
        <v>217</v>
      </c>
      <c r="D1" s="1"/>
      <c r="E1" s="1"/>
    </row>
    <row r="2" spans="1:13" ht="22.5" customHeight="1" x14ac:dyDescent="0.3">
      <c r="A2" s="27" t="s">
        <v>216</v>
      </c>
      <c r="D2" s="17"/>
      <c r="E2" s="18"/>
      <c r="F2" s="17"/>
      <c r="G2" s="17"/>
      <c r="H2" s="17"/>
      <c r="I2" s="17"/>
      <c r="J2" s="17"/>
      <c r="K2" s="17"/>
      <c r="L2" s="17"/>
      <c r="M2" s="17"/>
    </row>
    <row r="3" spans="1:13" ht="31.5" customHeight="1" x14ac:dyDescent="0.3">
      <c r="C3" s="17"/>
      <c r="D3" s="17"/>
      <c r="E3" s="18"/>
      <c r="F3" s="17"/>
      <c r="G3" s="17"/>
      <c r="H3" s="17"/>
      <c r="I3" s="17"/>
      <c r="J3" s="17"/>
      <c r="K3" s="17"/>
      <c r="L3" s="17"/>
      <c r="M3" s="17"/>
    </row>
    <row r="4" spans="1:13" ht="24" customHeight="1" x14ac:dyDescent="0.3">
      <c r="C4" s="17"/>
      <c r="D4" s="17"/>
      <c r="E4" s="18"/>
      <c r="F4" s="87" t="s">
        <v>133</v>
      </c>
      <c r="G4" s="87"/>
      <c r="I4" s="17"/>
    </row>
    <row r="5" spans="1:13" ht="24" customHeight="1" x14ac:dyDescent="0.3">
      <c r="C5" s="17"/>
      <c r="D5" s="17"/>
      <c r="E5" s="18"/>
      <c r="F5" s="17"/>
      <c r="G5" s="17"/>
      <c r="H5" s="17"/>
      <c r="I5" s="17"/>
      <c r="J5" s="17"/>
      <c r="K5" s="17"/>
      <c r="L5" s="17"/>
    </row>
    <row r="6" spans="1:13" ht="21" customHeight="1" x14ac:dyDescent="0.3">
      <c r="C6" s="19" t="s">
        <v>103</v>
      </c>
      <c r="D6" s="66" t="str">
        <f>IF(ISBLANK(Estimate!D4),"",Estimate!D4)</f>
        <v/>
      </c>
      <c r="E6" s="19" t="s">
        <v>202</v>
      </c>
      <c r="F6" s="66" t="s">
        <v>203</v>
      </c>
    </row>
    <row r="7" spans="1:13" ht="22.5" customHeight="1" x14ac:dyDescent="0.3"/>
    <row r="8" spans="1:13" ht="16.5" x14ac:dyDescent="0.3">
      <c r="B8" s="73" t="s">
        <v>218</v>
      </c>
      <c r="C8" s="89" t="s">
        <v>219</v>
      </c>
      <c r="D8" s="89"/>
      <c r="E8" s="89"/>
      <c r="F8" s="89"/>
    </row>
    <row r="9" spans="1:13" ht="16.5" x14ac:dyDescent="0.3">
      <c r="C9" s="74"/>
      <c r="D9" s="74"/>
    </row>
    <row r="10" spans="1:13" ht="16.5" x14ac:dyDescent="0.3">
      <c r="D10" s="75" t="s">
        <v>208</v>
      </c>
      <c r="F10" s="76">
        <f>IFERROR(INDEX(LookupData!F$3:F$69,MATCH(EstimatingTool!$D$6,LookupData!$E$3:$E$69,0)),0)</f>
        <v>0</v>
      </c>
    </row>
    <row r="11" spans="1:13" ht="16.5" x14ac:dyDescent="0.3">
      <c r="D11" s="75" t="s">
        <v>220</v>
      </c>
      <c r="F11" s="76">
        <f>IFERROR(INDEX(LookupData!G$3:G$69,MATCH(EstimatingTool!$D$6,LookupData!$E$3:$E$69,0)),0)</f>
        <v>0</v>
      </c>
    </row>
    <row r="12" spans="1:13" ht="17.25" thickBot="1" x14ac:dyDescent="0.35">
      <c r="D12" s="75" t="s">
        <v>210</v>
      </c>
      <c r="F12" s="77">
        <f>IFERROR(INDEX(LookupData!H$3:H$69,MATCH(EstimatingTool!$D$6,LookupData!$E$3:$E$69,0)),0)</f>
        <v>0</v>
      </c>
    </row>
    <row r="13" spans="1:13" ht="17.25" thickTop="1" x14ac:dyDescent="0.3">
      <c r="C13" s="26"/>
      <c r="D13" s="88" t="s">
        <v>222</v>
      </c>
      <c r="E13" s="88"/>
      <c r="F13" s="78">
        <f>F11-F12</f>
        <v>0</v>
      </c>
    </row>
    <row r="14" spans="1:13" ht="21" x14ac:dyDescent="0.35">
      <c r="C14" s="26"/>
      <c r="D14" s="5"/>
    </row>
    <row r="15" spans="1:13" ht="16.5" x14ac:dyDescent="0.3">
      <c r="B15" s="73" t="s">
        <v>223</v>
      </c>
      <c r="C15" s="89" t="s">
        <v>224</v>
      </c>
      <c r="D15" s="89"/>
      <c r="E15" s="89"/>
      <c r="F15" s="89"/>
    </row>
    <row r="16" spans="1:13" ht="21" x14ac:dyDescent="0.35">
      <c r="C16" s="26"/>
      <c r="D16" s="5"/>
    </row>
    <row r="17" spans="2:6" ht="16.5" x14ac:dyDescent="0.3">
      <c r="C17" s="26"/>
      <c r="D17" s="75" t="s">
        <v>225</v>
      </c>
      <c r="F17" s="76">
        <f>IFERROR(INDEX(LookupData!I$3:I$69,MATCH(EstimatingTool!$D$6,LookupData!$E$3:$E$69,0)),0)</f>
        <v>0</v>
      </c>
    </row>
    <row r="18" spans="2:6" ht="17.25" thickBot="1" x14ac:dyDescent="0.35">
      <c r="C18" s="26"/>
      <c r="D18" s="75" t="s">
        <v>215</v>
      </c>
      <c r="F18" s="77">
        <f>IFERROR(INDEX(LookupData!L$3:L$69,MATCH(EstimatingTool!$D$6,LookupData!$E$3:$E$69,0)),0)</f>
        <v>0</v>
      </c>
    </row>
    <row r="19" spans="2:6" ht="17.25" thickTop="1" x14ac:dyDescent="0.3">
      <c r="C19" s="26"/>
      <c r="D19" s="88" t="s">
        <v>231</v>
      </c>
      <c r="E19" s="88"/>
      <c r="F19" s="78">
        <f>F17-F18</f>
        <v>0</v>
      </c>
    </row>
    <row r="20" spans="2:6" ht="21" x14ac:dyDescent="0.35">
      <c r="C20" s="26"/>
      <c r="D20" s="5"/>
    </row>
    <row r="21" spans="2:6" ht="16.5" x14ac:dyDescent="0.3">
      <c r="B21" s="73" t="s">
        <v>226</v>
      </c>
      <c r="C21" s="89" t="s">
        <v>227</v>
      </c>
      <c r="D21" s="89"/>
      <c r="E21" s="89"/>
      <c r="F21" s="89"/>
    </row>
    <row r="22" spans="2:6" ht="21" x14ac:dyDescent="0.35">
      <c r="C22" s="26"/>
      <c r="D22" s="5"/>
    </row>
    <row r="23" spans="2:6" ht="16.5" x14ac:dyDescent="0.3">
      <c r="C23" s="26"/>
      <c r="D23" s="75" t="s">
        <v>228</v>
      </c>
      <c r="F23" s="79"/>
    </row>
    <row r="24" spans="2:6" ht="17.25" thickBot="1" x14ac:dyDescent="0.35">
      <c r="C24" s="26"/>
      <c r="D24" s="75" t="s">
        <v>229</v>
      </c>
      <c r="F24" s="80"/>
    </row>
    <row r="25" spans="2:6" ht="17.25" thickTop="1" x14ac:dyDescent="0.3">
      <c r="C25" s="26"/>
      <c r="D25" s="88" t="s">
        <v>230</v>
      </c>
      <c r="E25" s="88"/>
      <c r="F25" s="78">
        <f>SUM(F23:F24)</f>
        <v>0</v>
      </c>
    </row>
    <row r="26" spans="2:6" ht="21" x14ac:dyDescent="0.35">
      <c r="C26" s="26"/>
      <c r="D26" s="5"/>
    </row>
    <row r="27" spans="2:6" ht="16.5" x14ac:dyDescent="0.3">
      <c r="C27" s="26"/>
      <c r="D27" s="75" t="s">
        <v>225</v>
      </c>
      <c r="F27" s="76">
        <f>F17</f>
        <v>0</v>
      </c>
    </row>
    <row r="28" spans="2:6" ht="17.25" thickBot="1" x14ac:dyDescent="0.35">
      <c r="C28" s="26"/>
      <c r="D28" s="75" t="s">
        <v>232</v>
      </c>
      <c r="F28" s="77">
        <f>F25</f>
        <v>0</v>
      </c>
    </row>
    <row r="29" spans="2:6" ht="17.25" thickTop="1" x14ac:dyDescent="0.3">
      <c r="C29" s="26"/>
      <c r="D29" s="88" t="s">
        <v>237</v>
      </c>
      <c r="E29" s="88"/>
      <c r="F29" s="78">
        <f>F27-F28</f>
        <v>0</v>
      </c>
    </row>
    <row r="30" spans="2:6" ht="21" x14ac:dyDescent="0.35">
      <c r="C30" s="26"/>
      <c r="D30" s="5"/>
    </row>
    <row r="31" spans="2:6" ht="16.5" x14ac:dyDescent="0.3">
      <c r="B31" s="73" t="s">
        <v>233</v>
      </c>
      <c r="C31" s="89" t="s">
        <v>234</v>
      </c>
      <c r="D31" s="89"/>
      <c r="E31" s="89"/>
      <c r="F31" s="89"/>
    </row>
    <row r="32" spans="2:6" ht="16.5" x14ac:dyDescent="0.3">
      <c r="C32" s="74"/>
      <c r="D32" s="74"/>
    </row>
    <row r="33" spans="3:7" ht="16.5" x14ac:dyDescent="0.3">
      <c r="D33" s="75" t="s">
        <v>235</v>
      </c>
      <c r="F33" s="76">
        <f>Estimate!F48</f>
        <v>0</v>
      </c>
    </row>
    <row r="34" spans="3:7" ht="16.5" x14ac:dyDescent="0.3">
      <c r="D34" s="75" t="s">
        <v>221</v>
      </c>
      <c r="E34" s="76">
        <f>F13</f>
        <v>0</v>
      </c>
    </row>
    <row r="35" spans="3:7" ht="16.5" x14ac:dyDescent="0.3">
      <c r="D35" s="75" t="s">
        <v>236</v>
      </c>
      <c r="E35" s="81">
        <f>F29</f>
        <v>0</v>
      </c>
    </row>
    <row r="36" spans="3:7" ht="17.25" thickBot="1" x14ac:dyDescent="0.35">
      <c r="D36" s="75" t="s">
        <v>239</v>
      </c>
      <c r="E36"/>
      <c r="F36" s="77">
        <f>SUM(E34:E35)</f>
        <v>0</v>
      </c>
    </row>
    <row r="37" spans="3:7" ht="18" thickTop="1" thickBot="1" x14ac:dyDescent="0.35">
      <c r="C37" s="26"/>
      <c r="D37" s="88" t="s">
        <v>240</v>
      </c>
      <c r="E37" s="88"/>
      <c r="F37" s="35">
        <f>F33-E34-E35</f>
        <v>0</v>
      </c>
    </row>
    <row r="38" spans="3:7" ht="21.75" thickTop="1" x14ac:dyDescent="0.35">
      <c r="C38" s="26"/>
      <c r="D38" s="5"/>
      <c r="G38"/>
    </row>
    <row r="39" spans="3:7" x14ac:dyDescent="0.3">
      <c r="G39"/>
    </row>
    <row r="40" spans="3:7" x14ac:dyDescent="0.3">
      <c r="C40" s="25"/>
      <c r="G40"/>
    </row>
    <row r="41" spans="3:7" x14ac:dyDescent="0.3">
      <c r="G41"/>
    </row>
  </sheetData>
  <sheetProtection algorithmName="SHA-512" hashValue="l7ENRjHP6aWr9UiupVumfU+jM80gDHfr+uxmcUylC1TCRCc9G2dfcjUJzrVSPNOcJASRvhR87FLoLVJJN8dtcw==" saltValue="vAwttk4o3coefX5Wk//HiA==" spinCount="100000" sheet="1" objects="1" scenarios="1"/>
  <mergeCells count="10">
    <mergeCell ref="C21:F21"/>
    <mergeCell ref="D25:E25"/>
    <mergeCell ref="D29:E29"/>
    <mergeCell ref="C31:F31"/>
    <mergeCell ref="D37:E37"/>
    <mergeCell ref="F4:G4"/>
    <mergeCell ref="D13:E13"/>
    <mergeCell ref="C8:F8"/>
    <mergeCell ref="C15:F15"/>
    <mergeCell ref="D19:E19"/>
  </mergeCells>
  <pageMargins left="0.25" right="0.25" top="0.5" bottom="0.5" header="0.25" footer="0.25"/>
  <pageSetup scale="89" orientation="portrait" r:id="rId1"/>
  <headerFooter>
    <oddFooter>&amp;L&amp;"+,Regular"&amp;8&amp;K03+000Page &amp;P of &amp;N&amp;C&amp;"+,Regular"&amp;8&amp;K03+000Printed: &amp;D &amp;T&amp;R&amp;"+,Regular"&amp;8&amp;K03+000&amp;F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LookupData!$C$72:$C$75</xm:f>
          </x14:formula1>
          <xm:sqref>F6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Estimate</vt:lpstr>
      <vt:lpstr>ReportInfo</vt:lpstr>
      <vt:lpstr>LookupData</vt:lpstr>
      <vt:lpstr>EstimatingTool</vt:lpstr>
      <vt:lpstr>InsufficientAmount</vt:lpstr>
      <vt:lpstr>Estimate!Print_Area</vt:lpstr>
      <vt:lpstr>EstimatingTool!Print_Area</vt:lpstr>
      <vt:lpstr>UnExpendedAmount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Young</dc:creator>
  <cp:lastModifiedBy>Lisa Daws</cp:lastModifiedBy>
  <cp:lastPrinted>2017-11-13T20:53:34Z</cp:lastPrinted>
  <dcterms:created xsi:type="dcterms:W3CDTF">2016-03-09T19:14:21Z</dcterms:created>
  <dcterms:modified xsi:type="dcterms:W3CDTF">2017-11-15T18:06:30Z</dcterms:modified>
</cp:coreProperties>
</file>